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10"/>
  <workbookPr/>
  <mc:AlternateContent xmlns:mc="http://schemas.openxmlformats.org/markup-compatibility/2006">
    <mc:Choice Requires="x15">
      <x15ac:absPath xmlns:x15ac="http://schemas.microsoft.com/office/spreadsheetml/2010/11/ac" url="https://acted.sharepoint.com/sites/IMPACTUKR/Documents partages/ISU/HNMU/UKR2403_MSNA/02_Data/03_Data_Analysis/01_Frequency_Tables/MSNA_Displacement_output/01_For publication/"/>
    </mc:Choice>
  </mc:AlternateContent>
  <xr:revisionPtr revIDLastSave="90" documentId="8_{32BC390D-1147-4F72-9AD3-3BCDC558E701}" xr6:coauthVersionLast="47" xr6:coauthVersionMax="47" xr10:uidLastSave="{9794E6E2-572F-45C4-B155-35429EF9F2A6}"/>
  <bookViews>
    <workbookView xWindow="-108" yWindow="-108" windowWidth="23256" windowHeight="12456" firstSheet="1" xr2:uid="{00000000-000D-0000-FFFF-FFFF00000000}"/>
  </bookViews>
  <sheets>
    <sheet name="READ_ME" sheetId="4" r:id="rId1"/>
    <sheet name="Table_of_content" sheetId="1" r:id="rId2"/>
    <sheet name="Data" sheetId="2" r:id="rId3"/>
    <sheet name="Sheet" sheetId="3" r:id="rId4"/>
  </sheets>
  <definedNames>
    <definedName name="_xlnm._FilterDatabase" localSheetId="2" hidden="1">Data!$A$1:$BC$5442</definedName>
    <definedName name="Slicer_Disaggregations">#N/A</definedName>
    <definedName name="Slicer_Indicator">#N/A</definedName>
    <definedName name="Slicer_Sector">#N/A</definedName>
  </definedNames>
  <calcPr calcId="191028"/>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35" i="1" l="1"/>
  <c r="E187" i="1"/>
  <c r="E102" i="1"/>
  <c r="E255" i="1"/>
  <c r="E112" i="1"/>
  <c r="E111" i="1"/>
  <c r="E103" i="1"/>
  <c r="E99" i="1"/>
  <c r="E98" i="1"/>
  <c r="E89" i="1"/>
  <c r="E88" i="1"/>
  <c r="E83" i="1"/>
  <c r="E82" i="1"/>
  <c r="E254" i="1"/>
  <c r="E252" i="1"/>
  <c r="E250" i="1"/>
  <c r="E241" i="1"/>
  <c r="E239" i="1"/>
  <c r="E237" i="1"/>
  <c r="E234" i="1"/>
  <c r="E232" i="1"/>
  <c r="E230" i="1"/>
  <c r="E228" i="1"/>
  <c r="E226" i="1"/>
  <c r="E224" i="1"/>
  <c r="E222" i="1"/>
  <c r="E220" i="1"/>
  <c r="E218" i="1"/>
  <c r="E216" i="1"/>
  <c r="E212" i="1"/>
  <c r="E210" i="1"/>
  <c r="E208" i="1"/>
  <c r="E206" i="1"/>
  <c r="E204" i="1"/>
  <c r="E202" i="1"/>
  <c r="E200" i="1"/>
  <c r="E198" i="1"/>
  <c r="E196" i="1"/>
  <c r="E194" i="1"/>
  <c r="E192" i="1"/>
  <c r="E190" i="1"/>
  <c r="E188" i="1"/>
  <c r="E186" i="1"/>
  <c r="E184" i="1"/>
  <c r="E182" i="1"/>
  <c r="E180" i="1"/>
  <c r="E178" i="1"/>
  <c r="E176" i="1"/>
  <c r="E174" i="1"/>
  <c r="E172" i="1"/>
  <c r="E170" i="1"/>
  <c r="E167" i="1"/>
  <c r="E165" i="1"/>
  <c r="E163" i="1"/>
  <c r="E161" i="1"/>
  <c r="E159" i="1"/>
  <c r="E157" i="1"/>
  <c r="E155" i="1"/>
  <c r="E153" i="1"/>
  <c r="E151" i="1"/>
  <c r="E149" i="1"/>
  <c r="E147" i="1"/>
  <c r="E145" i="1"/>
  <c r="E140" i="1"/>
  <c r="E138" i="1"/>
  <c r="E137" i="1"/>
  <c r="E136" i="1"/>
  <c r="E134" i="1"/>
  <c r="E133" i="1"/>
  <c r="E129" i="1"/>
  <c r="E128" i="1"/>
  <c r="E126" i="1"/>
  <c r="E125" i="1"/>
  <c r="E123" i="1"/>
  <c r="E122" i="1"/>
  <c r="E119" i="1"/>
  <c r="E118" i="1"/>
  <c r="E116" i="1"/>
  <c r="E114" i="1"/>
  <c r="E109" i="1"/>
  <c r="E107" i="1"/>
  <c r="E105" i="1"/>
  <c r="E101" i="1"/>
  <c r="E97" i="1"/>
  <c r="E95" i="1"/>
  <c r="E93" i="1"/>
  <c r="E91" i="1"/>
  <c r="E87" i="1"/>
  <c r="E85" i="1"/>
  <c r="E81" i="1"/>
  <c r="E78" i="1"/>
  <c r="E76" i="1"/>
  <c r="E74" i="1"/>
  <c r="E72" i="1"/>
  <c r="E68" i="1"/>
  <c r="E66" i="1"/>
  <c r="E63" i="1"/>
  <c r="E52" i="1"/>
  <c r="E50" i="1"/>
  <c r="E48" i="1"/>
  <c r="E46" i="1"/>
  <c r="E39" i="1"/>
  <c r="E37" i="1"/>
  <c r="E34" i="1"/>
  <c r="E32" i="1"/>
  <c r="E30" i="1"/>
  <c r="E29" i="1"/>
  <c r="E26" i="1"/>
  <c r="E25" i="1"/>
  <c r="E24" i="1"/>
  <c r="E22" i="1"/>
  <c r="E21" i="1"/>
  <c r="E20" i="1"/>
  <c r="E18" i="1"/>
  <c r="E17" i="1"/>
  <c r="E16" i="1"/>
  <c r="E14" i="1"/>
  <c r="E9" i="1"/>
  <c r="E253" i="1"/>
  <c r="E251" i="1"/>
  <c r="E249" i="1"/>
  <c r="E248" i="1"/>
  <c r="E247" i="1"/>
  <c r="E246" i="1"/>
  <c r="E245" i="1"/>
  <c r="E244" i="1"/>
  <c r="E243" i="1"/>
  <c r="E242" i="1"/>
  <c r="E240" i="1"/>
  <c r="E238" i="1"/>
  <c r="E236" i="1"/>
  <c r="E233" i="1"/>
  <c r="E231" i="1"/>
  <c r="E229" i="1"/>
  <c r="E227" i="1"/>
  <c r="E225" i="1"/>
  <c r="E223" i="1"/>
  <c r="E221" i="1"/>
  <c r="E219" i="1"/>
  <c r="E217" i="1"/>
  <c r="E215" i="1"/>
  <c r="E214" i="1"/>
  <c r="E213" i="1"/>
  <c r="E211" i="1"/>
  <c r="E209" i="1"/>
  <c r="E207" i="1"/>
  <c r="E205" i="1"/>
  <c r="E203" i="1"/>
  <c r="E201" i="1"/>
  <c r="E199" i="1"/>
  <c r="E197" i="1"/>
  <c r="E195" i="1"/>
  <c r="E193" i="1"/>
  <c r="E191" i="1"/>
  <c r="E189" i="1"/>
  <c r="E185" i="1"/>
  <c r="E183" i="1"/>
  <c r="E181" i="1"/>
  <c r="E179" i="1"/>
  <c r="E177" i="1"/>
  <c r="E175" i="1"/>
  <c r="E173" i="1"/>
  <c r="E171" i="1"/>
  <c r="E169" i="1"/>
  <c r="E168" i="1"/>
  <c r="E166" i="1"/>
  <c r="E164" i="1"/>
  <c r="E162" i="1"/>
  <c r="E160" i="1"/>
  <c r="E158" i="1"/>
  <c r="E156" i="1"/>
  <c r="E154" i="1"/>
  <c r="E152" i="1"/>
  <c r="E150" i="1"/>
  <c r="E148" i="1"/>
  <c r="E146" i="1"/>
  <c r="E144" i="1"/>
  <c r="E143" i="1"/>
  <c r="E142" i="1"/>
  <c r="E141" i="1"/>
  <c r="E139" i="1"/>
  <c r="E135" i="1"/>
  <c r="E132" i="1"/>
  <c r="E131" i="1"/>
  <c r="E130" i="1"/>
  <c r="E127" i="1"/>
  <c r="E124" i="1"/>
  <c r="E121" i="1"/>
  <c r="E120" i="1"/>
  <c r="E117" i="1"/>
  <c r="E115" i="1"/>
  <c r="E113" i="1"/>
  <c r="E110" i="1"/>
  <c r="E108" i="1"/>
  <c r="E106" i="1"/>
  <c r="E104" i="1"/>
  <c r="E100" i="1"/>
  <c r="E96" i="1"/>
  <c r="E94" i="1"/>
  <c r="E92" i="1"/>
  <c r="E90" i="1"/>
  <c r="E86" i="1"/>
  <c r="E84" i="1"/>
  <c r="E80" i="1"/>
  <c r="E79" i="1"/>
  <c r="E77" i="1"/>
  <c r="E75" i="1"/>
  <c r="E73" i="1"/>
  <c r="E71" i="1"/>
  <c r="E70" i="1"/>
  <c r="E69" i="1"/>
  <c r="E67" i="1"/>
  <c r="E65" i="1"/>
  <c r="E64" i="1"/>
  <c r="E62" i="1"/>
  <c r="E61" i="1"/>
  <c r="E60" i="1"/>
  <c r="E59" i="1"/>
  <c r="E58" i="1"/>
  <c r="E57" i="1"/>
  <c r="E56" i="1"/>
  <c r="E55" i="1"/>
  <c r="E54" i="1"/>
  <c r="E53" i="1"/>
  <c r="E51" i="1"/>
  <c r="E49" i="1"/>
  <c r="E47" i="1"/>
  <c r="E45" i="1"/>
  <c r="E44" i="1"/>
  <c r="E43" i="1"/>
  <c r="E42" i="1"/>
  <c r="E41" i="1"/>
  <c r="E40" i="1"/>
  <c r="E38" i="1"/>
  <c r="E36" i="1"/>
  <c r="E35" i="1"/>
  <c r="E33" i="1"/>
  <c r="E31" i="1"/>
  <c r="E28" i="1"/>
  <c r="E27" i="1"/>
  <c r="E23" i="1"/>
  <c r="E19" i="1"/>
  <c r="E15" i="1"/>
  <c r="E13" i="1"/>
  <c r="E12" i="1"/>
  <c r="E11" i="1"/>
  <c r="E10" i="1"/>
  <c r="E8" i="1"/>
</calcChain>
</file>

<file path=xl/sharedStrings.xml><?xml version="1.0" encoding="utf-8"?>
<sst xmlns="http://schemas.openxmlformats.org/spreadsheetml/2006/main" count="16392" uniqueCount="1234">
  <si>
    <t>REACH Ukraine | Multisectoral Needs Assessment (MSNA) 2024 | OBLAST Frequency Tables - DISPLACEMENT DATASET</t>
  </si>
  <si>
    <t>Items</t>
  </si>
  <si>
    <t>Description</t>
  </si>
  <si>
    <t>Inclusion of population groups</t>
  </si>
  <si>
    <t xml:space="preserve">Returnee HHs are EXCLUDED from these frequency tables, as the MSNA did not stratify data collection for returnee HHs at the oblast level.
IDP HHs are included in these frequency tables if the HH was located in oblasts located in the North, East and South macroregions. Zhytomyrska Oblast in the North is EXCLUDED as the required sample size was not reached in this olbast. IDP HHs are EXCLUDED from these frequency tables which were located in the Center and West macroregions, as the MSNA did not stratify data collection for IDP HHs at the oblast level in those regions. </t>
  </si>
  <si>
    <t xml:space="preserve">Background &amp; Rationale </t>
  </si>
  <si>
    <t>More than two years since the escalation of the war in Ukraine in February 2022, the humanitarian crisis continues to impact the population in the country, leaving 14.7 million people in need of humanitarian assistance in 2024. 
As of February 2024, the International Organization for Migration (IOM) estimated that 3.41 million people were internally displaced within Ukraine – a notable decrease from the previous year’s estimation (5.4 million). However, of those that were still displaced at the end of 2023, 70% reported having been displaced for at least one year. Thus, while people were decreasingly becoming newly displaced, millions of individuals' displacement was continuing for one year or more. Further, large numbers of people have returned to their communities of origin since the early months of the war, as well. The estimated population of returnees (4.5 million) is now higher than those currently displaced within Ukraine. This return has been accompanied by difficulties finding a suitable job (predominantly in rural areas) and lack of availability of basic services due to consequences of the conflict, alongside other impacts. 
The impacts of the escalation of the war for the entire population, regardless of displacement status, are particularly intense in areas close to the frontline and border of the Russian Federation. Active hostilities continue in Northern, Eastern and Southern Ukraine, with continuous reports of civilian casualties and damage to civilian infrastructure. There were more than 47,000 incidents involving armed clashes, airstrikes, and other attacks across Ukraine in 2023, an increase of more than 12,000 compared to 2022.  Intensified strikes since the start of 2024 have damaged houses and critical civilian infrastructure, leading to major disruptions of essential services, such as electricity and heating, and reduced access to health and education. The conflict has specifically led to deterioration in the socioeconomic situation of the Ukrainian population. Damage to and destruction of productive assets, as well as the bombings of Ukrainian ports and grain infrastructure points by the Russian Federation, have severely jeopardized the socioeconomic stability of Ukraine, particularly in the agriculture sector. Alongside protection, livelihood challenges were one of the key drivers of severe or higher multi-sectoral needs in Ukraine, reported by 56% of households nationwide in the 2023 MSNA. In this context, previously vulnerable groups living in Ukraine have also been facing exacerbated difficulties accessing basic services, including healthcare, primary education and social protection, as well.
Household-level vulnerabilities vary according to sector, according to key demographic and vulnerability factors, and across geographic area. In light of the ongoing hostilities, the dynamic situation and intensifying impacts in frontline regions, and increasing evidence that the needs are ongoing and diverging according to specific population groups, the multi-sectoral needs analysis (MSNA) will contribute to continued efforts to gather accurate information for the ongoing humanitarian response in the Ukraine. The MSNA intends to enhance the understanding of the current humanitarian situation in Ukraine to inform strategic decision-making, including funding allocations, and ongoing or planned humanitarian interventions. REACH, in partnership with World Food Programme (WFP) and Kyiv International Institute of Sociology (KIIS), conducted the 2024 MSNA building upon the 2023 and 2022 Ukraine MSNA, in collaboration with the HCT, Inter-Cluster Coordination Group (ICCG) and United Nations Office for the Coordination of Humanitarian Affairs (OCHA).
The MSNA intends to enhance the understanding of the current humanitarian situation in Ukraine to inform strategic decision-making, including funding allocations, and ongoing or planned humanitarian interventions. The MSNA serves as a baseline upon which humanitarian aid providers in Ukraine can better understand: 1) the humanitarian situation in Ukraine and the multi-sectoral needs of the people in Ukraine, 2) how to address these needs and thus improve the humanitarian response, and 3) where further inquiry is required. In terms of direct applications of the MSNA, the findings of the MSNA will directly feed into the People-in-Need (PiN) and severity calculations and inform strategic planning for the 2025 HNRP. Through its contribution to the HNRP, the MSNA will provide a shared understanding of the crisis and inform joint strategic response prioritization and planning in Ukraine. The MSNA also aims to better clarify how household-level needs vary according to geographic area, across key demographics (e.g. gender, disability) and displacement status (e.g. returnee households, IDP households, and non-displaced households). Understanding how needs vary across such groups will improve humanitarian aid providers’ ability to specify and target their aid.</t>
  </si>
  <si>
    <t>Methodology</t>
  </si>
  <si>
    <t xml:space="preserve">This assessment employed a quantitative data collection methodology, including face-to-face (F2F) and computer-assisted telephone interview (CATI) surveys conducted at the household level. This dataset is composed of households where at least one head of household was reported as being a returnee or displaced. This includes households from the General Population MSNA dataset, as well as a separate displacement-specific research component where displaced and returnee households were specifically sampled for and interviewed via CATI identifed through random digital dialing by the MSNA third-party service provider Kiev International Institute of Sociology (KIIS).   
REACH developed a sampling strategy designed to allow for disaggregation by geographic areas and population groups, balanced against time, access, and resource constraints. REACH’s sampling approach was guided by the aim of conducting more targeted data collection for displaced persons and returnees, for whom results from the 2023 MSNA suggested more more severe, as well as at times localised needs profiles. The sampling approach is therefore comprised of several complimentary sampling methods, with a precision of 90% confidence level and 10% margin of error across all stratum for this specific Displacement Dataset. The first approach is representative for displaced persons at the oblast level for all oblasts located in the North, East and South macroregions, and at the macroregional level for the West and Center macroregions. The second approach is representative for returnees at the macroregional level in the West, North, South and East macroregions. Due to challenges reaching households where the head of household was either displaced or was a returnee, REACH was unable to collect a representative sample for displaced households in Zhytomyrska Oblast, as well as a representative returnee sample for the Center macroregion.
This dataset combines 1) those households identified in the main dataset as having at least one head of household who was reported to be either displaced or a returnee and 2) the second research component where households in Ukraine within the geographic scope of coverage were randomly screened through random digital dialing by KIIS to meet this aforementioned criteria. Please see the main dataset containing all households for the REACH Ukraine 2024 MSNA Dataset - Displacement. 
Please see the MSNA 2024 Terms of Reference for more details: https://repository.impact-initiatives.org/document/repository/ad883447/REACH_UKR_TOR_UKR2403_May-2024-external-1-1.pdf. </t>
  </si>
  <si>
    <t>Limitations</t>
  </si>
  <si>
    <t xml:space="preserve">1) The Displacement Dataset combines two research components. First, it includes the returnee and displaced households randomly sampled in the General Population Dataset. Second, it also includes a separate reseach component whereby households were screened for whether they were displaced or returnee households. Since these two components deployed different sampling approaches (i.e. the sample for the General Population was distributed according to settlement population (face-to-face modality) and according to random digital dialing in particular (less accessible) raions (CATI modaility), while the sample for latter component was distributed purely by oblast, for displaced households, and by macroregion for IDP and returnee households achieved through random digital dialing), the final displaced and returnee sample might have oversampled or undersampled some raions within particular oblasts. Given that existing raion-specific population estimates for returnee and displaced households in Ukraine are unreliable, this dataset may potentially misrepresent the severity of needs of these households. This is particularly true for those oblasts that are close to the frontline, where the needs of population that lives in raions close to the frontline are notably different from the needs of those who live in the same oblast but in raions away from the frontline (MSNA 2023).
2) For weighting the returnee and displaced households in this dataset, the updated International Organization of Migration (IOM) returnee and IDP dataset on Population Statistics estimates per raion (Round 17) were used. Estimation of distribution of displaced groups across Ukraine is very hard to assess, given the complex and constantly evolving movement of the population within the country. Thus, the estimates of  displaced groups might not be particularly precise, leading to a potential overrepresentation or underrepresentation of the severity or quality of needs in certain raions where there is less precision. 
3) It is important to note that comparison of displaced groups from the MSNA displacement dataset and non-displaced population from MSNA general population dataset are only indicative, since different weights have been applied to both datasets. More precise comparison of needs between non-displaced population and displaced populations can be achieved using the REACH Ukraine 2024 MSNA General Population Dataset, but these findings are only indicative, as well. </t>
  </si>
  <si>
    <t>Product Navigation and Disaggregations</t>
  </si>
  <si>
    <r>
      <rPr>
        <sz val="10"/>
        <color rgb="FF000000"/>
        <rFont val="Arial Narrow"/>
      </rPr>
      <t xml:space="preserve">This REACH product presents frequency tables of </t>
    </r>
    <r>
      <rPr>
        <b/>
        <sz val="10"/>
        <color rgb="FF000000"/>
        <rFont val="Arial Narrow"/>
      </rPr>
      <t>2024 MSNA indicators at the national level</t>
    </r>
    <r>
      <rPr>
        <sz val="10"/>
        <color rgb="FF000000"/>
        <rFont val="Arial Narrow"/>
      </rPr>
      <t xml:space="preserve">. </t>
    </r>
    <r>
      <rPr>
        <b/>
        <sz val="10"/>
        <color rgb="FF000000"/>
        <rFont val="Arial Narrow"/>
      </rPr>
      <t>The frequency tables are grouped by Sector and Indicator,</t>
    </r>
    <r>
      <rPr>
        <sz val="10"/>
        <color rgb="FF000000"/>
        <rFont val="Arial Narrow"/>
      </rPr>
      <t xml:space="preserve"> and can be navigated using the relevant link in the "Table of Content" tab. Frequency tables disaggregations include the following:
•	</t>
    </r>
    <r>
      <rPr>
        <b/>
        <sz val="10"/>
        <color rgb="FF000000"/>
        <rFont val="Arial Narrow"/>
      </rPr>
      <t xml:space="preserve">By rural/urban: </t>
    </r>
    <r>
      <rPr>
        <sz val="10"/>
        <color rgb="FF000000"/>
        <rFont val="Arial Narrow"/>
      </rPr>
      <t xml:space="preserve">Rural HHs, Urban HHs
•	</t>
    </r>
    <r>
      <rPr>
        <b/>
        <sz val="10"/>
        <color rgb="FF000000"/>
        <rFont val="Arial Narrow"/>
      </rPr>
      <t xml:space="preserve">By gender of respondent: </t>
    </r>
    <r>
      <rPr>
        <sz val="10"/>
        <color rgb="FF000000"/>
        <rFont val="Arial Narrow"/>
      </rPr>
      <t xml:space="preserve">Men-respondent, Women-respondent
•	</t>
    </r>
    <r>
      <rPr>
        <b/>
        <sz val="10"/>
        <color rgb="FF000000"/>
        <rFont val="Arial Narrow"/>
      </rPr>
      <t xml:space="preserve">By presence of children: </t>
    </r>
    <r>
      <rPr>
        <sz val="10"/>
        <color rgb="FF000000"/>
        <rFont val="Arial Narrow"/>
      </rPr>
      <t xml:space="preserve">HHs with children (HH member &lt;18 years old), HHs without children
•	</t>
    </r>
    <r>
      <rPr>
        <b/>
        <sz val="10"/>
        <color rgb="FF000000"/>
        <rFont val="Arial Narrow"/>
      </rPr>
      <t>By age of HH members:</t>
    </r>
    <r>
      <rPr>
        <sz val="10"/>
        <color rgb="FF000000"/>
        <rFont val="Arial Narrow"/>
      </rPr>
      <t xml:space="preserve"> Mixed HHs (both 60+ and under), Non-elderly HHs, Elderly HHs.
•	</t>
    </r>
    <r>
      <rPr>
        <b/>
        <sz val="10"/>
        <color rgb="FF000000"/>
        <rFont val="Arial Narrow"/>
      </rPr>
      <t>By gender of HH members</t>
    </r>
    <r>
      <rPr>
        <sz val="10"/>
        <color rgb="FF000000"/>
        <rFont val="Arial Narrow"/>
      </rPr>
      <t xml:space="preserve">: Men, Women </t>
    </r>
  </si>
  <si>
    <t>Contacts (Name &amp; email address)</t>
  </si>
  <si>
    <t>Cailean Mallon cailean.mallon@impact-initiatives.org</t>
  </si>
  <si>
    <t>Mackenzie Seaman mackenzie.seaman@impact-initiatives.org </t>
  </si>
  <si>
    <t>Sheets</t>
  </si>
  <si>
    <t>Sheet 1 - READ_ME</t>
  </si>
  <si>
    <t>Project description</t>
  </si>
  <si>
    <t>Sheet 2 - Table of content</t>
  </si>
  <si>
    <t xml:space="preserve">The Table of Contents displays the links to relevant Frequency Tables. To filter the tables of interest, select the (i) sector, and (ii) indicator of interest, using the slicers above the table. Click the links in the "Link to Frequency Table" column to access the data. </t>
  </si>
  <si>
    <t>Sheet 3 - Data</t>
  </si>
  <si>
    <t>The Data sheet contains the Frequency Tables.</t>
  </si>
  <si>
    <t xml:space="preserve">REACH Ukraine | Multisectoral Needs Assessment (MSNA) 2024 | Table of Content for CCIA </t>
  </si>
  <si>
    <t>TO FILTER RELEVANT FREQUENCY TABLES:</t>
  </si>
  <si>
    <r>
      <t xml:space="preserve">STEP 1: SELECT THE </t>
    </r>
    <r>
      <rPr>
        <b/>
        <sz val="14"/>
        <color rgb="FFFF0000"/>
        <rFont val="Calibri"/>
        <family val="2"/>
        <scheme val="minor"/>
      </rPr>
      <t>SECTOR</t>
    </r>
  </si>
  <si>
    <r>
      <t xml:space="preserve">STEP 2: SELECT THE </t>
    </r>
    <r>
      <rPr>
        <b/>
        <sz val="14"/>
        <color rgb="FFFF0000"/>
        <rFont val="Calibri"/>
        <family val="2"/>
        <scheme val="minor"/>
      </rPr>
      <t>DISAGGREGATION</t>
    </r>
  </si>
  <si>
    <r>
      <t xml:space="preserve">STEP 3: SELECT THE </t>
    </r>
    <r>
      <rPr>
        <b/>
        <sz val="14"/>
        <color rgb="FFFF0000"/>
        <rFont val="Calibri"/>
        <family val="2"/>
        <scheme val="minor"/>
      </rPr>
      <t>Indicator</t>
    </r>
  </si>
  <si>
    <t>Sector</t>
  </si>
  <si>
    <t>Indicator</t>
  </si>
  <si>
    <t>Disaggregations</t>
  </si>
  <si>
    <t>ID</t>
  </si>
  <si>
    <t>Link</t>
  </si>
  <si>
    <t>Demographics</t>
  </si>
  <si>
    <t>Age of respondents</t>
  </si>
  <si>
    <t>overall</t>
  </si>
  <si>
    <t xml:space="preserve">Respondents Reportedly being Head of the Household (HoH) </t>
  </si>
  <si>
    <t>respondent gender</t>
  </si>
  <si>
    <t>Household size</t>
  </si>
  <si>
    <t>Age of Household members</t>
  </si>
  <si>
    <t>Gender of Household members</t>
  </si>
  <si>
    <t>Education of Heads of Households</t>
  </si>
  <si>
    <t>urbanity</t>
  </si>
  <si>
    <t>Employment status of Household members</t>
  </si>
  <si>
    <t>HH member age, of employment age</t>
  </si>
  <si>
    <t>HH member gender</t>
  </si>
  <si>
    <t xml:space="preserve">Household members who reportedly sought job in the past 4 weeks </t>
  </si>
  <si>
    <t>Employment barriers faced by household members that sought job in the last 4 weeks</t>
  </si>
  <si>
    <t>Health</t>
  </si>
  <si>
    <t>Medical Facility where a newborn was born</t>
  </si>
  <si>
    <t>Household members that had a medical problem in the last 3 months and needed to access healthcare</t>
  </si>
  <si>
    <t>HH member age</t>
  </si>
  <si>
    <t>Household members by reported ability to obtain healthcare when they needed it</t>
  </si>
  <si>
    <t>Household members that reportedly needed healthcare by type of need</t>
  </si>
  <si>
    <t>Distance to the nearest medical facility</t>
  </si>
  <si>
    <t>Households that reportedly sought any medicine in the last 3 months</t>
  </si>
  <si>
    <t>Households that were able to obtain the medicine they sought in the last 3 months</t>
  </si>
  <si>
    <t>Households by types of medicines sought in the last 3 months</t>
  </si>
  <si>
    <t>Households that reportedly were unable to obtain medicine from Affordable Medicine Program</t>
  </si>
  <si>
    <t>Households by reported reasons for not being able to obtain medicine from Affordable Medicine Program</t>
  </si>
  <si>
    <t>Households reporting barriers while accessing healthcare/medication</t>
  </si>
  <si>
    <t>Households with women (12-49 y.o.) reportedly having the information on where to access sexual and reproductive health services</t>
  </si>
  <si>
    <t>Households reportedly experiencing at least 2 weeks of notable stress in the last 6 months</t>
  </si>
  <si>
    <t>Households reportedly experiencing at least 2 weeks of depressed mood in the last 6 months</t>
  </si>
  <si>
    <t>Households reportedly experiencing at least 2 weeks of anxiety in the last 6 months</t>
  </si>
  <si>
    <t>Households that reportedly have at least 1 member that has registered disability</t>
  </si>
  <si>
    <t>Households that reportedly have at least 1 member that has difficulties seeing</t>
  </si>
  <si>
    <t>Households that reportedly have at least 1 member that has difficulties hearing</t>
  </si>
  <si>
    <t>Households that reportedly have at least 1 member that has difficulties walking</t>
  </si>
  <si>
    <t>Households that reportedly have at least 1 member that has difficulties concentrating</t>
  </si>
  <si>
    <t>Households that reportedly have at least 1 member that has difficulties with self-care</t>
  </si>
  <si>
    <t>Households that reportedly have at least 1 member that has difficulties communicating</t>
  </si>
  <si>
    <t>Displacement</t>
  </si>
  <si>
    <t>Households separated for three months or more due to reasons related to the war</t>
  </si>
  <si>
    <t>Households that moved abroad for at least 14 days</t>
  </si>
  <si>
    <t>IDP households and households displaced within settlement duration in current place of residence</t>
  </si>
  <si>
    <t>Households reporting their movement intentions for the next 12 months</t>
  </si>
  <si>
    <t>Households that reportedly have registered IDP members</t>
  </si>
  <si>
    <t>Education</t>
  </si>
  <si>
    <t>Household members (5-18 y.o) reportedly attending school or early education program during 2023-2024 years</t>
  </si>
  <si>
    <t>Household members (5-18 y.o) who attended school by learning modality</t>
  </si>
  <si>
    <t>Household members (5-18 y.o) who attended school by grade</t>
  </si>
  <si>
    <t>Household members (5-18 y.o) reporting reasons for not attending schools</t>
  </si>
  <si>
    <t>Households with school-aged children (5-18 y.o) that reported education disruption because of displacement/evacuation</t>
  </si>
  <si>
    <t>Households with school-aged children (5-18 y.o) that reported education disruption because of school damage</t>
  </si>
  <si>
    <t>Households with school-aged children (5-18 y.o) that reported education disruption because of home damage</t>
  </si>
  <si>
    <t>Households with school-aged children (5-18 y.o) that reported education disruption because of missile attack</t>
  </si>
  <si>
    <t>Households reporting time they spent supporting school-aged children with education</t>
  </si>
  <si>
    <t>Livelihoods</t>
  </si>
  <si>
    <t>Households reporting types of expenditures they had in the last 30 days before DC</t>
  </si>
  <si>
    <t>Estimated Household Domestic Expenditure over the last 30 days</t>
  </si>
  <si>
    <t>Estimated Household's Domestic Expenditure on Heating during the last winter</t>
  </si>
  <si>
    <t>Households reporting types of expenditures they had in the last 6 months before DC</t>
  </si>
  <si>
    <t xml:space="preserve">stimated Household's Domestic Expenditure Over the Last 6 months </t>
  </si>
  <si>
    <t>Total monthly expenditure PER CAPITA among those who reported any expenditure</t>
  </si>
  <si>
    <t>Total monthly expenditure among those who reported any expenditure</t>
  </si>
  <si>
    <t>Households reporting missing non-food items</t>
  </si>
  <si>
    <t>Primary Income Sources Reported by Households Over the Last 30 Days Prior to DC</t>
  </si>
  <si>
    <t xml:space="preserve">Household income over the last 30 days, by types of income source </t>
  </si>
  <si>
    <t>Total income per capita among those who reported any income</t>
  </si>
  <si>
    <t>Household income over the last 30 days, by types of income source Per Capita</t>
  </si>
  <si>
    <t>Total income per household among those who reported any income</t>
  </si>
  <si>
    <t>Households that have borrowed money that they still have to pay back</t>
  </si>
  <si>
    <t>Households reporting reasons why they took on debt since February 2022</t>
  </si>
  <si>
    <t>Households reporting barriers while accessing markets</t>
  </si>
  <si>
    <t>Households Reportedly Adopting Livelihood Coping Strategies</t>
  </si>
  <si>
    <t xml:space="preserve">Main Reasons Households Reported for Using Livelihood Coping Strategies </t>
  </si>
  <si>
    <t>Livelihood Coping Strategy - Essential Needs (LCS-EN)</t>
  </si>
  <si>
    <t>Protection</t>
  </si>
  <si>
    <t>Security Factors that reportedly influenced households' sense of safety</t>
  </si>
  <si>
    <t>Reasons why social tension or discrimination impacted households' sense of safety</t>
  </si>
  <si>
    <t>Households that reported being concerned about having any HH member engaging in risky activities due to the economic needs</t>
  </si>
  <si>
    <t>SNFI</t>
  </si>
  <si>
    <t>Households that reported being concerned about being forced to flee their home</t>
  </si>
  <si>
    <t>Security factors that reportedly influenced sense of safety of WOMEN in community</t>
  </si>
  <si>
    <t>Households with women that reportedly feel unsafe walking in community</t>
  </si>
  <si>
    <t>Places women reportedly avoid because of security concerns</t>
  </si>
  <si>
    <t>Security factors that reportedly influenced sense of safety of MEN in community</t>
  </si>
  <si>
    <t>Security factors that reportedly influenced sense of safety of CHILDREN in community</t>
  </si>
  <si>
    <t>presence of children in HH</t>
  </si>
  <si>
    <t>Housing/land/property (HLP) concerns households reported experiencing</t>
  </si>
  <si>
    <t xml:space="preserve">Number of times Household members reportedly were trained on safe behaviours towards Explosive Ordnances </t>
  </si>
  <si>
    <t>Households Reporting Explosive Ordnance Currently Present in their Community</t>
  </si>
  <si>
    <t>Households Reporting that Explosive Ordnance Affect the Livelihoods of People within their Community</t>
  </si>
  <si>
    <t>Households describing their shelter situation</t>
  </si>
  <si>
    <t>Households reporting type of shelter they live in</t>
  </si>
  <si>
    <t>Households reporting number of square meters in their shelter</t>
  </si>
  <si>
    <t>Households reporting number of individuals living in their current shelter</t>
  </si>
  <si>
    <t>Shelter overcrowding</t>
  </si>
  <si>
    <t>Households reporting occupancy arrangement of their shelter</t>
  </si>
  <si>
    <t>Households reporting risk of being evicted from their shelter</t>
  </si>
  <si>
    <t>Households reporting shelter issues that were NOT caused by the war</t>
  </si>
  <si>
    <t>Households reporting damage to their current shelter (caused by the war)</t>
  </si>
  <si>
    <t>Households assessing shelter damage in their current shelter</t>
  </si>
  <si>
    <t>Households reportedly experiencing issues while cooking</t>
  </si>
  <si>
    <t>Households reportedly experiencing issues while sleeping</t>
  </si>
  <si>
    <t>Households reporting main heating source last winter</t>
  </si>
  <si>
    <t>Households reportedly experiencing issues while storing food</t>
  </si>
  <si>
    <t>Households reportedly experiencing issues with electricity</t>
  </si>
  <si>
    <t>Households reportedly experiencing utility interruptions</t>
  </si>
  <si>
    <t xml:space="preserve">Households reportedly having alternative energy sources </t>
  </si>
  <si>
    <t>Households reportedly having access to the Internet</t>
  </si>
  <si>
    <t>Households reporting main source of access to the Internet</t>
  </si>
  <si>
    <t>Households reporting distance to the nearest bomb shelter</t>
  </si>
  <si>
    <t>Households reporting damage to the shelter in their area of origin (for IDP members)</t>
  </si>
  <si>
    <t>Households assessing shelter damage in their shelter in area of origin</t>
  </si>
  <si>
    <t>WASH</t>
  </si>
  <si>
    <t>Households reporting their main source of drinking water</t>
  </si>
  <si>
    <t>Time reported by Households to Fetch Water from Main Source of Water used for Drinking overall</t>
  </si>
  <si>
    <t>Households assessing drinking water from their main source</t>
  </si>
  <si>
    <t>Households reportedly treating drinking water from their main source</t>
  </si>
  <si>
    <t>Households reporting days without sufficient drinking water in the last 4 weeks</t>
  </si>
  <si>
    <t>Households reporting sources of water for domestic purposes</t>
  </si>
  <si>
    <t>Households reporting having enough water for technical needs</t>
  </si>
  <si>
    <t>Households reportedly having issues with performing personal hygiene</t>
  </si>
  <si>
    <t>Reasons why households reported issues with performing personal hygiene</t>
  </si>
  <si>
    <t>Main handwashing facilities reported by households</t>
  </si>
  <si>
    <t>Households reportedly having soap in their household</t>
  </si>
  <si>
    <t>Households reporting main toilet facility in their household</t>
  </si>
  <si>
    <t>Households that reportedly share their sanitation facility</t>
  </si>
  <si>
    <t>Number of Households Sharing Sanitation Facility Reported overall</t>
  </si>
  <si>
    <t>Households reportedly having access to adequate toilets</t>
  </si>
  <si>
    <t>Most Common Garbage Disposal Method Reported by Households</t>
  </si>
  <si>
    <t>Households reportedly facing issues with their sewage</t>
  </si>
  <si>
    <t>Households reportedly struggling to obtain enough money to cover basic needs</t>
  </si>
  <si>
    <t>Main Challenges Reported by Households to Obtain Money to Meet Basic Needs</t>
  </si>
  <si>
    <t>Food Security</t>
  </si>
  <si>
    <t>Reduced Coping Strategies Index (rCSI)</t>
  </si>
  <si>
    <t>Household Hunger Scale (HHS)</t>
  </si>
  <si>
    <t>AAP</t>
  </si>
  <si>
    <t>Households reporting first most significant challenge their household currently faces</t>
  </si>
  <si>
    <t>Support households reportedly would like to receive</t>
  </si>
  <si>
    <t>Aid households reportedly would like to receive</t>
  </si>
  <si>
    <t>Preferred modality of assistance per aid type</t>
  </si>
  <si>
    <t>Households Reported to have Received Humanitarian Assistance in the Last 12 months</t>
  </si>
  <si>
    <t>Barriers Households reportedly faced during accessing aid</t>
  </si>
  <si>
    <t>Aid satisfaction reported by households</t>
  </si>
  <si>
    <t>Information Households would like to receive from aid providers</t>
  </si>
  <si>
    <t>Peferred mean of communication reported by households</t>
  </si>
  <si>
    <t>Households reportedly feeling involved in aid distribution</t>
  </si>
  <si>
    <t>Preferred language of communication with aid providers</t>
  </si>
  <si>
    <t>Households reporting to experience cuts in assisstance from the government</t>
  </si>
  <si>
    <t>Households reportedly requiring legal assisstance</t>
  </si>
  <si>
    <t>Households reportedly requiring services provided by the government</t>
  </si>
  <si>
    <t>Households reportedly facing barriers while accessing services provided by the government</t>
  </si>
  <si>
    <t>Households reporting available services for women in their community</t>
  </si>
  <si>
    <t xml:space="preserve">Households reporting needed services related to children's well-being </t>
  </si>
  <si>
    <t xml:space="preserve">households adopting reduced coping strategies, by strategy (rCSI) broken </t>
  </si>
  <si>
    <t>Age of respondents on the admin of oblast</t>
  </si>
  <si>
    <t>macroregion</t>
  </si>
  <si>
    <t>admin_category</t>
  </si>
  <si>
    <t>mean</t>
  </si>
  <si>
    <t>median</t>
  </si>
  <si>
    <t>min</t>
  </si>
  <si>
    <t>max</t>
  </si>
  <si>
    <t>sample_count</t>
  </si>
  <si>
    <t>full_count</t>
  </si>
  <si>
    <t>"Total"</t>
  </si>
  <si>
    <t>Total</t>
  </si>
  <si>
    <t>North</t>
  </si>
  <si>
    <t>Chernihivska</t>
  </si>
  <si>
    <t>Kyiv</t>
  </si>
  <si>
    <t>Kyivska</t>
  </si>
  <si>
    <t>Sumska</t>
  </si>
  <si>
    <t>East</t>
  </si>
  <si>
    <t>Dnipropetrovska</t>
  </si>
  <si>
    <t>Donetska</t>
  </si>
  <si>
    <t>Kharkivska</t>
  </si>
  <si>
    <t>Zaporizka</t>
  </si>
  <si>
    <t>South</t>
  </si>
  <si>
    <t>Khersonska</t>
  </si>
  <si>
    <t>Mykolaivska</t>
  </si>
  <si>
    <t>Odeska</t>
  </si>
  <si>
    <t>A_18 Respondents Reportedly being Head of the Household (HoH)  broken down by gender of respondent on the admin of oblast</t>
  </si>
  <si>
    <t>disaggregations_category_1</t>
  </si>
  <si>
    <t>No</t>
  </si>
  <si>
    <t>Yes</t>
  </si>
  <si>
    <t>Men-respondents</t>
  </si>
  <si>
    <t>Women-respondents</t>
  </si>
  <si>
    <t>B_2 Household size on the admin of oblast</t>
  </si>
  <si>
    <t>B_5 Age of Household members on the admin of oblast</t>
  </si>
  <si>
    <t>B_7 Gender of Household members on the admin of oblast</t>
  </si>
  <si>
    <t>Man / boy</t>
  </si>
  <si>
    <t>Prefer not to answer</t>
  </si>
  <si>
    <t>Woman / girl</t>
  </si>
  <si>
    <t>B_12 Education of Heads of Households on the admin of oblast</t>
  </si>
  <si>
    <t>Basic general secondary</t>
  </si>
  <si>
    <t>Complete general secondary</t>
  </si>
  <si>
    <t>Do not know</t>
  </si>
  <si>
    <t>No education completed</t>
  </si>
  <si>
    <t>PhD</t>
  </si>
  <si>
    <t>Primary school</t>
  </si>
  <si>
    <t>University degree</t>
  </si>
  <si>
    <t>Vocational, technical education</t>
  </si>
  <si>
    <t>B_12 Education of Heads of Households broken down by rural / urban on the admin of oblast</t>
  </si>
  <si>
    <t>urban</t>
  </si>
  <si>
    <t>rural</t>
  </si>
  <si>
    <t>E_2 Employment status of Household members on the admin of oblast</t>
  </si>
  <si>
    <t>Daily or casual labor</t>
  </si>
  <si>
    <t>Informal employment</t>
  </si>
  <si>
    <t>Military service</t>
  </si>
  <si>
    <t>Military service and serving away from the settlement</t>
  </si>
  <si>
    <t>Own business</t>
  </si>
  <si>
    <t>Permanent job with annual / monthly / weekly wage</t>
  </si>
  <si>
    <t>Permanently sick or disabled (can't work)</t>
  </si>
  <si>
    <t>Retired</t>
  </si>
  <si>
    <t>Self-employed/freelance</t>
  </si>
  <si>
    <t>Student /student and working</t>
  </si>
  <si>
    <t>Student /student but not working</t>
  </si>
  <si>
    <t>Temporary job/seasonal job with annual / monthly / weekly wage</t>
  </si>
  <si>
    <t>Unemployed</t>
  </si>
  <si>
    <t>Unpaid work (e.g. looking after children, looking after the elderly, housework, etc.)</t>
  </si>
  <si>
    <t>E_2 Employment status of Household members broken down by age of household members of employment age on the admin of oblast</t>
  </si>
  <si>
    <t>60+ y.o.</t>
  </si>
  <si>
    <t>30-44 y.o.</t>
  </si>
  <si>
    <t>15-17 y.o.</t>
  </si>
  <si>
    <t>45-59 y.o.</t>
  </si>
  <si>
    <t>18-29 y.o.</t>
  </si>
  <si>
    <t>E_2 Employment status of Household members broken down by gender of household members of employment age on the admin of oblast</t>
  </si>
  <si>
    <t>Women</t>
  </si>
  <si>
    <t>Men</t>
  </si>
  <si>
    <t>E_2 Employment status of Household members broken down by rural / urban on the admin of oblast</t>
  </si>
  <si>
    <t>E_3 Household members who reportedly sought job in the past 4 weeks  on the admin of oblast</t>
  </si>
  <si>
    <t>No, not looking for a job</t>
  </si>
  <si>
    <t>Yes, and ready to start within 2 weeks</t>
  </si>
  <si>
    <t>Yes, but not ready to start within 2 weeks</t>
  </si>
  <si>
    <t>E_3 Household members who reportedly sought job in the past 4 weeks  broken down by age of household members of employment age on the admin of oblast</t>
  </si>
  <si>
    <t>E_3 Household members who reportedly sought job in the past 4 weeks  broken down by gender of household members of employment age on the admin of oblast</t>
  </si>
  <si>
    <t>E_3 Household members who reportedly sought job in the past 4 weeks  broken down by rural / urban on the admin of oblast</t>
  </si>
  <si>
    <t>E_4 Employment barriers faced by household members that sought job in the last 4 weeks on the admin of oblast</t>
  </si>
  <si>
    <t>Discrimination</t>
  </si>
  <si>
    <t>Lack of means of transportation</t>
  </si>
  <si>
    <t>Lack of necessary documents</t>
  </si>
  <si>
    <t>Lack of opportunities in the area</t>
  </si>
  <si>
    <t>Lack of qualification</t>
  </si>
  <si>
    <t>Need to care for children / sick / elderly family member</t>
  </si>
  <si>
    <t xml:space="preserve">None </t>
  </si>
  <si>
    <t>Not satisfied with salaries / working conditions</t>
  </si>
  <si>
    <t>Other (specify)</t>
  </si>
  <si>
    <t>Sickness or disability</t>
  </si>
  <si>
    <t>E_4 Employment barriers faced by household members that sought job in the last 4 weeks broken down by age of household members of employment age on the admin of oblast</t>
  </si>
  <si>
    <t>E_4 Employment barriers faced by household members that sought job in the last 4 weeks broken down by gender of household members of employment age on the admin of oblast</t>
  </si>
  <si>
    <t>E_4 Employment barriers faced by household members that sought job in the last 4 weeks broken down by rural / urban on the admin of oblast</t>
  </si>
  <si>
    <t>B_8 Medical Facility where a newborn was born on the admin of oblast</t>
  </si>
  <si>
    <t>At home (relative/friend)</t>
  </si>
  <si>
    <t>In government hospital/health center or post (doctor/nurse/midwife)</t>
  </si>
  <si>
    <t>Private hospital or clinic (doctor/nurse/midwife )</t>
  </si>
  <si>
    <t>D_3 Household members that had a medical problem in the last 3 months and needed to access healthcare on the admin of oblast</t>
  </si>
  <si>
    <t>D_3 Household members that had a medical problem in the last 3 months and needed to access healthcare broken down by age of household members on the admin of oblast</t>
  </si>
  <si>
    <t>55-59 y.o.</t>
  </si>
  <si>
    <t>30-34 y.o.</t>
  </si>
  <si>
    <t>1-4 y.o.</t>
  </si>
  <si>
    <t>35-39 y.o.</t>
  </si>
  <si>
    <t>10-14 y.o.</t>
  </si>
  <si>
    <t>5-9 y.o.</t>
  </si>
  <si>
    <t>40-44 y.o.</t>
  </si>
  <si>
    <t>25-29 y.o.</t>
  </si>
  <si>
    <t>45-49 y.o.</t>
  </si>
  <si>
    <t>18-24 y.o.</t>
  </si>
  <si>
    <t>50-54 y.o.</t>
  </si>
  <si>
    <t>D_3 Household members that had a medical problem in the last 3 months and needed to access healthcare broken down by rural / urban on the admin of oblast</t>
  </si>
  <si>
    <t>D_5 Household members by reported ability to obtain healthcare when they needed it on the admin of oblast</t>
  </si>
  <si>
    <t>D_5 Household members by reported ability to obtain healthcare when they needed it broken down by rural / urban on the admin of oblast</t>
  </si>
  <si>
    <t>D_4 Household members that reportedly needed healthcare by type of need on the admin of oblast</t>
  </si>
  <si>
    <t>Ante-natal or post-natal services</t>
  </si>
  <si>
    <t>Consultation or drugs for acute illness (fever, diarrhoea, cough, etc.)</t>
  </si>
  <si>
    <t xml:space="preserve">Consultation or drugs for chronic illness (diabetes, hypertension, etc.) </t>
  </si>
  <si>
    <t>Consultation or drugs for other illnesses</t>
  </si>
  <si>
    <t>Elective, non-life saving surgery</t>
  </si>
  <si>
    <t>Emergency, life saving surgery</t>
  </si>
  <si>
    <t>Preventative consultation / check-up</t>
  </si>
  <si>
    <t>Trauma care (injury, accident, conflict-related wounds)</t>
  </si>
  <si>
    <t>D_4 Household members that reportedly needed healthcare by type of need broken down by rural / urban on the admin of oblast</t>
  </si>
  <si>
    <t>Distance to the nearest medical facility on the admin of oblast</t>
  </si>
  <si>
    <t>Households that reportedly sought any medicine in the last 3 months on the admin of oblast</t>
  </si>
  <si>
    <t>Households that reportedly sought any medicine in the last 3 months broken down by rural / urban on the admin of oblast</t>
  </si>
  <si>
    <t>Households that were able to obtain the medicine they sought in the last 3 months on the admin of oblast</t>
  </si>
  <si>
    <t>Households that were able to obtain the medicine they sought in the last 3 months broken down by rural / urban on the admin of oblast</t>
  </si>
  <si>
    <t>Households by types of medicines sought in the last 3 months on the admin of oblast</t>
  </si>
  <si>
    <t>Medicines for allergies</t>
  </si>
  <si>
    <t xml:space="preserve">Medicines for high blood pressure </t>
  </si>
  <si>
    <t>Medicines for infections</t>
  </si>
  <si>
    <t>Medicines for long-term lung problems (like asthma)</t>
  </si>
  <si>
    <t>Medicines for mental health conditions</t>
  </si>
  <si>
    <t>Medicines for pain</t>
  </si>
  <si>
    <t>Medicines for the neurologic/nervous system diseases e.g. epilepsy and others</t>
  </si>
  <si>
    <t xml:space="preserve">Medicines to prevent or treat heart problems </t>
  </si>
  <si>
    <t>Medicines to regulate blood sugar</t>
  </si>
  <si>
    <t>Other  (specify)</t>
  </si>
  <si>
    <t>Households that reportedly were unable to obtain medicine from Affordable Medicine Program on the admin of oblast</t>
  </si>
  <si>
    <t>Households by reported reasons for not being able to obtain medicine from Affordable Medicine Program on the admin of oblast</t>
  </si>
  <si>
    <t>Medicine was not available in the pharmacy</t>
  </si>
  <si>
    <t xml:space="preserve">Problems with the prescription </t>
  </si>
  <si>
    <t>Households reporting barriers while accessing healthcare/medication on the admin of oblast</t>
  </si>
  <si>
    <t>Cost of medicine</t>
  </si>
  <si>
    <t>Cost of treatment</t>
  </si>
  <si>
    <t xml:space="preserve">Did not have the needed documents </t>
  </si>
  <si>
    <t>Lack of medical facilities / facilities difficult to access</t>
  </si>
  <si>
    <t>Lack of pharmacies / pharmacies difficult to access</t>
  </si>
  <si>
    <t>Refusal to provide service / medicine</t>
  </si>
  <si>
    <t>Security concerns (during travel or while being in the facility / seeking medicine)</t>
  </si>
  <si>
    <t>The need for unofficial payments</t>
  </si>
  <si>
    <t xml:space="preserve">The needed services/ medicine were not available </t>
  </si>
  <si>
    <t>Time necessary to access the services and/or access medicine</t>
  </si>
  <si>
    <t>Transport necessary to get to the services / access medicine</t>
  </si>
  <si>
    <t>Households with women (12-49 y.o.) reportedly having the information on where to access sexual and reproductive health services on the admin of oblast</t>
  </si>
  <si>
    <t>Households reportedly experiencing at least 2 weeks of notable stress in the last 6 months on the admin of oblast</t>
  </si>
  <si>
    <t>Households reportedly experiencing at least 2 weeks of notable stress in the last 6 months broken down by rural / urban on the admin of oblast</t>
  </si>
  <si>
    <t>Households reportedly experiencing at least 2 weeks of depressed mood in the last 6 months on the admin of oblast</t>
  </si>
  <si>
    <t>Households reportedly experiencing at least 2 weeks of depressed mood in the last 6 months broken down by rural / urban on the admin of oblast</t>
  </si>
  <si>
    <t>Households reportedly experiencing at least 2 weeks of anxiety in the last 6 months on the admin of oblast</t>
  </si>
  <si>
    <t>Households reportedly experiencing at least 2 weeks of anxiety in the last 6 months broken down by rural / urban on the admin of oblast</t>
  </si>
  <si>
    <t>Households that reportedly have at least 1 member that has registered disability on the admin of oblast</t>
  </si>
  <si>
    <t>Yes, but unsure which group</t>
  </si>
  <si>
    <t>Yes, group I</t>
  </si>
  <si>
    <t>Yes, group II</t>
  </si>
  <si>
    <t>Yes, group III</t>
  </si>
  <si>
    <t>Households that reportedly have at least 1 member that has registered disability broken down by rural / urban on the admin of oblast</t>
  </si>
  <si>
    <t>Households that reportedly have at least 1 member that has difficulties seeing on the admin of oblast</t>
  </si>
  <si>
    <t>A lot of difficulty</t>
  </si>
  <si>
    <t>Cannot do at all</t>
  </si>
  <si>
    <t>No household members have any difficulties</t>
  </si>
  <si>
    <t>Some difficulty</t>
  </si>
  <si>
    <t>Households that reportedly have at least 1 member that has difficulties hearing on the admin of oblast</t>
  </si>
  <si>
    <t>Households that reportedly have at least 1 member that has difficulties walking on the admin of oblast</t>
  </si>
  <si>
    <t>Households that reportedly have at least 1 member that has difficulties concentrating on the admin of oblast</t>
  </si>
  <si>
    <t>Households that reportedly have at least 1 member that has difficulties with self-care on the admin of oblast</t>
  </si>
  <si>
    <t>Households that reportedly have at least 1 member that has difficulties communicating on the admin of oblast</t>
  </si>
  <si>
    <t>Households separated for three months or more due to reasons related to the war on the admin of oblast</t>
  </si>
  <si>
    <t>No, no member of the household was separated at any point.</t>
  </si>
  <si>
    <t>Yes, at least one household member was separated for at least 3 months and is still not back in the household to this day;</t>
  </si>
  <si>
    <t>Yes, at least one household member was separated for at least 3 months but is now back in the household;</t>
  </si>
  <si>
    <t>Households that moved abroad for at least 14 days on the admin of oblast</t>
  </si>
  <si>
    <t>IDP households and households displaced within settlement duration in current place of residence on the admin of oblast</t>
  </si>
  <si>
    <t>1 month or more but less than 3 months</t>
  </si>
  <si>
    <t>12 months or more</t>
  </si>
  <si>
    <t>3 months or more but less than 6 months</t>
  </si>
  <si>
    <t>6 months or more but less than 9 months</t>
  </si>
  <si>
    <t>9 months or more but less than 12 months</t>
  </si>
  <si>
    <t>&lt; 1 month</t>
  </si>
  <si>
    <t>Households reporting their movement intentions for the next 12 months on the admin of oblast</t>
  </si>
  <si>
    <t>Plan to go abroad</t>
  </si>
  <si>
    <t>Plan to move elsewhere in the country (not place of origin)</t>
  </si>
  <si>
    <t>Plan to move to a different place in same city/area (not within the same neighbourhood)</t>
  </si>
  <si>
    <t>Plan to move to a different place within the same neighbourhood</t>
  </si>
  <si>
    <t>Plan to return to habitual place of residence</t>
  </si>
  <si>
    <t>Plan to stay and live/work in this location</t>
  </si>
  <si>
    <t>Uncertain</t>
  </si>
  <si>
    <t>Households reporting their movement intentions for the next 12 months broken down by rural / urban on the admin of oblast</t>
  </si>
  <si>
    <t>Households that reportedly have registered IDP members on the admin of oblast</t>
  </si>
  <si>
    <t>No, none</t>
  </si>
  <si>
    <t>Yes, all</t>
  </si>
  <si>
    <t>Yes, some</t>
  </si>
  <si>
    <t>Household members (5-18 y.o) reportedly attending school or early education program during 2023-2024 years on the admin of oblast</t>
  </si>
  <si>
    <t>Household members (5-18 y.o) reportedly attending school or early education program during 2023-2024 years broken down by rural / urban on the admin of oblast</t>
  </si>
  <si>
    <t>Household members (5-18 y.o) who attended school by learning modality on the admin of oblast</t>
  </si>
  <si>
    <t>Blended (remote and in-person)</t>
  </si>
  <si>
    <t>In-person</t>
  </si>
  <si>
    <t>Remote</t>
  </si>
  <si>
    <t>Household members (5-18 y.o) who attended school by learning modality broken down by rural / urban on the admin of oblast</t>
  </si>
  <si>
    <t>Household members (5-18 y.o) who attended school by grade on the admin of oblast</t>
  </si>
  <si>
    <t>High school - grade 11</t>
  </si>
  <si>
    <t>High school -grade 10</t>
  </si>
  <si>
    <t>Preschool</t>
  </si>
  <si>
    <t>Primary school -grade 1</t>
  </si>
  <si>
    <t>Primary school -grade 2</t>
  </si>
  <si>
    <t>Primary school -grade 3</t>
  </si>
  <si>
    <t>Primary school -grade 4</t>
  </si>
  <si>
    <t>Secondary school - grade 5</t>
  </si>
  <si>
    <t>Secondary school - grade 6</t>
  </si>
  <si>
    <t>Secondary school - grade 7</t>
  </si>
  <si>
    <t>Secondary school - grade 8</t>
  </si>
  <si>
    <t>Secondary school - grade 9</t>
  </si>
  <si>
    <t>University</t>
  </si>
  <si>
    <t>Vocational Education and Training (VET)</t>
  </si>
  <si>
    <t>Household members (5-18 y.o) reporting reasons for not attending schools on the admin of oblast</t>
  </si>
  <si>
    <t>Inadequate or damaged infrastructure for learning in a safe environment (e.g. no or damaged school facilities, no or inadequate bomb shelter)</t>
  </si>
  <si>
    <t>Lack of or poor quality of teachers</t>
  </si>
  <si>
    <t xml:space="preserve">Lack of quiet and safe space to attend or listen to online learning classes </t>
  </si>
  <si>
    <t>Protection risks while at or traveling to the school (e.g. missile attacks)</t>
  </si>
  <si>
    <t>The child has already completed compulsory school grades / too young to attend school</t>
  </si>
  <si>
    <t>The child's disability or other health issues prevents them from accessing school</t>
  </si>
  <si>
    <t>Unable to enrol in school due to lack of enrolment space</t>
  </si>
  <si>
    <t>Unable to enrol in school due to recent displacement/evacuation/return</t>
  </si>
  <si>
    <t>Households with school-aged children (5-18 y.o) that reported education disruption because of displacement/evacuation on the admin of oblast</t>
  </si>
  <si>
    <t>Households with school-aged children (5-18 y.o) that reported education disruption because of displacement/evacuation broken down by rural / urban on the admin of oblast</t>
  </si>
  <si>
    <t>Households with school-aged children (5-18 y.o) that reported education disruption because of school damage on the admin of oblast</t>
  </si>
  <si>
    <t>Households with school-aged children (5-18 y.o) that reported education disruption because of school damage broken down by rural / urban on the admin of oblast</t>
  </si>
  <si>
    <t>Households with school-aged children (5-18 y.o) that reported education disruption because of home damage on the admin of oblast</t>
  </si>
  <si>
    <t>Households with school-aged children (5-18 y.o) that reported education disruption because of home damage broken down by rural / urban on the admin of oblast</t>
  </si>
  <si>
    <t>Households with school-aged children (5-18 y.o) that reported education disruption because of missile attack on the admin of oblast</t>
  </si>
  <si>
    <t>Households with school-aged children (5-18 y.o) that reported education disruption because of missile attack broken down by rural / urban on the admin of oblast</t>
  </si>
  <si>
    <t>Households reporting time they spent supporting school-aged children with education on the admin of oblast</t>
  </si>
  <si>
    <t>Households reporting types of expenditures they had in the last 30 days before DC on the admin of oblast</t>
  </si>
  <si>
    <t>All other frequent expenditure (specify)</t>
  </si>
  <si>
    <t>Childcare and elderly care (e.g. Paying for childcare services, paying for elder care services)</t>
  </si>
  <si>
    <t xml:space="preserve">Communications (phone airtime, Internet costs, etc.) </t>
  </si>
  <si>
    <t xml:space="preserve">Feminine hygiene products </t>
  </si>
  <si>
    <t xml:space="preserve">Food items </t>
  </si>
  <si>
    <t>Fuel for other purposes (e.g for cooking, and excluding fuel for cars)</t>
  </si>
  <si>
    <t xml:space="preserve">Non-hygiene, non-food household items (lightbulbs, cooking utensils, etc.) </t>
  </si>
  <si>
    <t xml:space="preserve">Other hygiene items (personal and domestic, e.g. laundry detergent, soap, shampoo, cleaning materials, etc.) </t>
  </si>
  <si>
    <t xml:space="preserve">Rent for shelter and/or land </t>
  </si>
  <si>
    <t>Transportation (e.g. public transport, car maintenance, fuel for vehicles, etc.)</t>
  </si>
  <si>
    <t>Utilities (electricity, gas connections, water supply, etc)</t>
  </si>
  <si>
    <t xml:space="preserve">Water (except for utilities) </t>
  </si>
  <si>
    <t>Households reporting types of expenditures they had in the last 30 days before DC broken down by rural / urban on the admin of oblast</t>
  </si>
  <si>
    <t>Household Domestic Expenditure over the last 30 days, by type and amount on the admin of oblast</t>
  </si>
  <si>
    <t>mean_J_3 Estimated Household's Domestic Expenditure (Food items) Over the Last 30 days</t>
  </si>
  <si>
    <t>median_J_3 Estimated Household's Domestic Expenditure (Food items) Over the Last 30 days</t>
  </si>
  <si>
    <t>min_J_3 Estimated Household's Domestic Expenditure (Food items) Over the Last 30 days</t>
  </si>
  <si>
    <t>max_J_3 Estimated Household's Domestic Expenditure (Food items) Over the Last 30 days</t>
  </si>
  <si>
    <t>mean_J_4 Estimated Household's Domestic Expenditure (Rent for shelter and/or land) Over the Last 30 days</t>
  </si>
  <si>
    <t>median_J_4 Estimated Household's Domestic Expenditure (Rent for shelter and/or land) Over the Last 30 days</t>
  </si>
  <si>
    <t>min_J_4 Estimated Household's Domestic Expenditure (Rent for shelter and/or land) Over the Last 30 days</t>
  </si>
  <si>
    <t>max_J_4 Estimated Household's Domestic Expenditure (Rent for shelter and/or land) Over the Last 30 days</t>
  </si>
  <si>
    <t>mean_J_5 Estimated Household's Domestic Expenditure (Water) Over the Last 30 days</t>
  </si>
  <si>
    <t>median_J_5 Estimated Household's Domestic Expenditure (Water) Over the Last 30 days</t>
  </si>
  <si>
    <t>min_J_5 Estimated Household's Domestic Expenditure (Water) Over the Last 30 days</t>
  </si>
  <si>
    <t>max_J_5 Estimated Household's Domestic Expenditure (Water) Over the Last 30 days</t>
  </si>
  <si>
    <t>mean_J_6 Estimated Household's Domestic Expenditure (Feminine hygiene products) Over the Last 30 days</t>
  </si>
  <si>
    <t>median_J_6 Estimated Household's Domestic Expenditure (Feminine hygiene products) Over the Last 30 days</t>
  </si>
  <si>
    <t>min_J_6 Estimated Household's Domestic Expenditure (Feminine hygiene products) Over the Last 30 days</t>
  </si>
  <si>
    <t>max_J_6 Estimated Household's Domestic Expenditure (Feminine hygiene products) Over the Last 30 days</t>
  </si>
  <si>
    <t>mean_J_7 Estimated Household's Domestic Expenditure (Other hygiene items) Over the Last 30 days</t>
  </si>
  <si>
    <t>median_J_7 Estimated Household's Domestic Expenditure (Other hygiene items) Over the Last 30 days</t>
  </si>
  <si>
    <t>min_J_7 Estimated Household's Domestic Expenditure (Other hygiene items) Over the Last 30 days</t>
  </si>
  <si>
    <t>max_J_7 Estimated Household's Domestic Expenditure (Other hygiene items) Over the Last 30 days</t>
  </si>
  <si>
    <t>mean_J_8 Estimated Household's Domestic Expenditure (Non-hygiene, non-food household items) Over the Last 30 days</t>
  </si>
  <si>
    <t>median_J_8 Estimated Household's Domestic Expenditure (Non-hygiene, non-food household items) Over the Last 30 days</t>
  </si>
  <si>
    <t>min_J_8 Estimated Household's Domestic Expenditure (Non-hygiene, non-food household items) Over the Last 30 days</t>
  </si>
  <si>
    <t>max_J_8 Estimated Household's Domestic Expenditure (Non-hygiene, non-food household items) Over the Last 30 days</t>
  </si>
  <si>
    <t>mean_J_9 Estimated Household's Domestic Expenditure (Utilities)Over the Last 30 days</t>
  </si>
  <si>
    <t>median_J_9 Estimated Household's Domestic Expenditure (Utilities)Over the Last 30 days</t>
  </si>
  <si>
    <t>min_J_9 Estimated Household's Domestic Expenditure (Utilities)Over the Last 30 days</t>
  </si>
  <si>
    <t>max_J_9 Estimated Household's Domestic Expenditure (Utilities)Over the Last 30 days</t>
  </si>
  <si>
    <t>mean_J_10 Estimated Household's Domestic Expenditure (Fuel for other purposes) Over the Last 30 days</t>
  </si>
  <si>
    <t>median_J_10 Estimated Household's Domestic Expenditure (Fuel for other purposes) Over the Last 30 days</t>
  </si>
  <si>
    <t>min_J_10 Estimated Household's Domestic Expenditure (Fuel for other purposes) Over the Last 30 days</t>
  </si>
  <si>
    <t>max_J_10 Estimated Household's Domestic Expenditure (Fuel for other purposes) Over the Last 30 days</t>
  </si>
  <si>
    <t>mean_J_11 Estimated Household's Domestic Expenditure (Transportation) Over the Last 30 days</t>
  </si>
  <si>
    <t>median_J_11 Estimated Household's Domestic Expenditure (Transportation) Over the Last 30 days</t>
  </si>
  <si>
    <t>min_J_11 Estimated Household's Domestic Expenditure (Transportation) Over the Last 30 days</t>
  </si>
  <si>
    <t>max_J_11 Estimated Household's Domestic Expenditure (Transportation) Over the Last 30 days</t>
  </si>
  <si>
    <t>mean_J_12 Estimated Household's Domestic Expenditure (Communications) Over the Last 30 days</t>
  </si>
  <si>
    <t>median_J_12 Estimated Household's Domestic Expenditure (Communications) Over the Last 30 days</t>
  </si>
  <si>
    <t>min_J_12 Estimated Household's Domestic Expenditure (Communications) Over the Last 30 days</t>
  </si>
  <si>
    <t>max_J_12 Estimated Household's Domestic Expenditure (Communications) Over the Last 30 days</t>
  </si>
  <si>
    <t>mean_J_15 Estimated Household's Domestic Expenditure (All other) Over the Last 30 days</t>
  </si>
  <si>
    <t>median_J_15 Estimated Household's Domestic Expenditure (All other) Over the Last 30 days</t>
  </si>
  <si>
    <t>min_J_15 Estimated Household's Domestic Expenditure (All other) Over the Last 30 days</t>
  </si>
  <si>
    <t>max_J_15 Estimated Household's Domestic Expenditure (All other) Over the Last 30 days</t>
  </si>
  <si>
    <t>Household Domestic Expenditure over the last 30 days, by type and amount broken down by rural / urban on the admin of oblast</t>
  </si>
  <si>
    <t>Estimated Household's Domestic Expenditure on Heating during the last winter on the admin of oblast</t>
  </si>
  <si>
    <t>Estimated Household's Domestic Expenditure on Heating during the last winter broken down by rural / urban on the admin of oblast</t>
  </si>
  <si>
    <t>Households reporting types of expenditures they had in the last 6 months before DC on the admin of oblast</t>
  </si>
  <si>
    <t>All other infrequent expenditures (please specify)</t>
  </si>
  <si>
    <t>Debt repayment</t>
  </si>
  <si>
    <t xml:space="preserve">Do not know </t>
  </si>
  <si>
    <t>Education-related expenditures (school fees, supplies, uniforms, etc.)</t>
  </si>
  <si>
    <t>Health-related expenditures (healthcare, medicine, etc.)</t>
  </si>
  <si>
    <t>Non-food household items for infrequent purchase (blankets, cooking pots, clothing, etc.)</t>
  </si>
  <si>
    <t>Shelter maintenance or repair</t>
  </si>
  <si>
    <t>Households reporting types of expenditures they had in the last 6 months before DC broken down by rural / urban on the admin of oblast</t>
  </si>
  <si>
    <t>Household Domestic Expenditure over the last 6 months by type and amount  on the admin of oblast</t>
  </si>
  <si>
    <t xml:space="preserve">mean_J_19 Estimated Household's Domestic Expenditure (Shelter maintenance or repair) Over the Last 6 Mths </t>
  </si>
  <si>
    <t xml:space="preserve">median_J_19 Estimated Household's Domestic Expenditure (Shelter maintenance or repair) Over the Last 6 Mths </t>
  </si>
  <si>
    <t xml:space="preserve">min_J_19 Estimated Household's Domestic Expenditure (Shelter maintenance or repair) Over the Last 6 Mths </t>
  </si>
  <si>
    <t xml:space="preserve">max_J_19 Estimated Household's Domestic Expenditure (Shelter maintenance or repair) Over the Last 6 Mths </t>
  </si>
  <si>
    <t xml:space="preserve">mean_J_20 Estimated Household's Domestic Expenditure ( Non-food items) Over the Last 6 Mths </t>
  </si>
  <si>
    <t xml:space="preserve">median_J_20 Estimated Household's Domestic Expenditure ( Non-food items) Over the Last 6 Mths </t>
  </si>
  <si>
    <t xml:space="preserve">min_J_20 Estimated Household's Domestic Expenditure ( Non-food items) Over the Last 6 Mths </t>
  </si>
  <si>
    <t xml:space="preserve">max_J_20 Estimated Household's Domestic Expenditure ( Non-food items) Over the Last 6 Mths </t>
  </si>
  <si>
    <t xml:space="preserve">mean_J_21 Estimated Household's Domestic Expenditure (Health) Over the Last 6 Mths </t>
  </si>
  <si>
    <t xml:space="preserve">median_J_21 Estimated Household's Domestic Expenditure (Health) Over the Last 6 Mths </t>
  </si>
  <si>
    <t xml:space="preserve">min_J_21 Estimated Household's Domestic Expenditure (Health) Over the Last 6 Mths </t>
  </si>
  <si>
    <t xml:space="preserve">max_J_21 Estimated Household's Domestic Expenditure (Health) Over the Last 6 Mths </t>
  </si>
  <si>
    <t xml:space="preserve">mean_J_22 Estimated Household's Domestic Expenditure (Education) Over the Last 6 Mths </t>
  </si>
  <si>
    <t xml:space="preserve">median_J_22 Estimated Household's Domestic Expenditure (Education) Over the Last 6 Mths </t>
  </si>
  <si>
    <t xml:space="preserve">min_J_22 Estimated Household's Domestic Expenditure (Education) Over the Last 6 Mths </t>
  </si>
  <si>
    <t xml:space="preserve">max_J_22 Estimated Household's Domestic Expenditure (Education) Over the Last 6 Mths </t>
  </si>
  <si>
    <t xml:space="preserve">mean_J_23 Estimated Household's Domestic Expenditure ( Debt repayment) Over the Last 6 Mths </t>
  </si>
  <si>
    <t xml:space="preserve">median_J_23 Estimated Household's Domestic Expenditure ( Debt repayment) Over the Last 6 Mths </t>
  </si>
  <si>
    <t xml:space="preserve">min_J_23 Estimated Household's Domestic Expenditure ( Debt repayment) Over the Last 6 Mths </t>
  </si>
  <si>
    <t xml:space="preserve">max_J_23 Estimated Household's Domestic Expenditure ( Debt repayment) Over the Last 6 Mths </t>
  </si>
  <si>
    <t xml:space="preserve">mean_J_24 Estimated Household's Domestic Expenditure (All other) Over the Last 6 Mths </t>
  </si>
  <si>
    <t xml:space="preserve">median_J_24 Estimated Household's Domestic Expenditure (All other) Over the Last 6 Mths </t>
  </si>
  <si>
    <t xml:space="preserve">min_J_24 Estimated Household's Domestic Expenditure (All other) Over the Last 6 Mths </t>
  </si>
  <si>
    <t xml:space="preserve">max_J_24 Estimated Household's Domestic Expenditure (All other) Over the Last 6 Mths </t>
  </si>
  <si>
    <t>Household Domestic Expenditure over the last 6 months by type and amount  broken down by rural / urban on the admin of oblast</t>
  </si>
  <si>
    <t>Total monthly expenditure PER CAPITA among those who reported any expenditure on the admin of oblast</t>
  </si>
  <si>
    <t>Total monthly expenditure PER CAPITA among those who reported any expenditure broken down by rural / urban on the admin of oblast</t>
  </si>
  <si>
    <t>Total monthly expenditure among those who reported any expenditure on the admin of oblast</t>
  </si>
  <si>
    <t>Total monthly expenditure among those who reported any expenditure broken down by rural / urban on the admin of oblast</t>
  </si>
  <si>
    <t>Households reporting missing non-food items on the admin of oblast</t>
  </si>
  <si>
    <t>Baby diapers</t>
  </si>
  <si>
    <t xml:space="preserve">Bedding and towels (e.g. including mattresses, bedsheets, towels) </t>
  </si>
  <si>
    <t>Domestic hygiene products (e.g. dishwasher soap, laundry detergent, cleaning solution, etc.)</t>
  </si>
  <si>
    <t>Feminine hygiene items</t>
  </si>
  <si>
    <t>Fuel for heating (coal, firewood, liquid gas)</t>
  </si>
  <si>
    <t>Heating appliances (heaters, boiler systems)</t>
  </si>
  <si>
    <t>Household items (kitchen utensils, light bults, etc.)</t>
  </si>
  <si>
    <t>Kitchen set (e.g .cooking and eating set)</t>
  </si>
  <si>
    <t>Large kitchen appliances (e.g. fridge/ washing machine)</t>
  </si>
  <si>
    <t>Other personal hygiene products (e.g. shampoo, razor, combs)</t>
  </si>
  <si>
    <t>Soap</t>
  </si>
  <si>
    <t>Summer clothes for a household member (e.g. jacket, boots, underwear, clothes)</t>
  </si>
  <si>
    <t>Water treatment product and materials</t>
  </si>
  <si>
    <t>Winter clothes for a household member (e.g. jacket, boots, underwear, clothes)</t>
  </si>
  <si>
    <t>Households reporting missing non-food items broken down by rural / urban on the admin of oblast</t>
  </si>
  <si>
    <t>Primary Income Sources Reported by Households Over the Last 30 Days Prior to DC on the admin of oblast</t>
  </si>
  <si>
    <t>Casual or daily labour</t>
  </si>
  <si>
    <t xml:space="preserve">Humanitarian aid </t>
  </si>
  <si>
    <t>IDP benefits from government</t>
  </si>
  <si>
    <t>Income from own business or regular trade</t>
  </si>
  <si>
    <t xml:space="preserve">Income from own production (agriculture, livestock, fishing, food processing, home manufacture, etc.) </t>
  </si>
  <si>
    <t xml:space="preserve">Income from rent </t>
  </si>
  <si>
    <t>Loans or support from family and friends within Ukraine</t>
  </si>
  <si>
    <t>Loans, support, or charitable donations from community members (not including humanitarian aid)</t>
  </si>
  <si>
    <t>Money transfers from abroad from family and friends (remittances)</t>
  </si>
  <si>
    <t xml:space="preserve">Other government social benefits or assistance, e.g. disability pension, maternity benefits </t>
  </si>
  <si>
    <t xml:space="preserve">Pension (age and prior military service) </t>
  </si>
  <si>
    <t xml:space="preserve">Salaried work, including from household members serving away from the home in the military </t>
  </si>
  <si>
    <t>Primary Income Sources Reported by Households Over the Last 30 Days Prior to DC broken down by rural / urban on the admin of oblast</t>
  </si>
  <si>
    <t>Household income over the 30 days prior to data collection, by types of income source on the admin of oblast</t>
  </si>
  <si>
    <t>mean_J_29 Estimated Household's Income (Salaried work) Over the Last 30 days by Types of Income Source</t>
  </si>
  <si>
    <t>median_J_29 Estimated Household's Income (Salaried work) Over the Last 30 days by Types of Income Source</t>
  </si>
  <si>
    <t>min_J_29 Estimated Household's Income (Salaried work) Over the Last 30 days by Types of Income Source</t>
  </si>
  <si>
    <t>max_J_29 Estimated Household's Income (Salaried work) Over the Last 30 days by Types of Income Source</t>
  </si>
  <si>
    <t>mean_J_30 Estimated Household's Income (Casual or daily labour) Over the Last 30 days by Types of Income Source</t>
  </si>
  <si>
    <t>median_J_30 Estimated Household's Income (Casual or daily labour) Over the Last 30 days by Types of Income Source</t>
  </si>
  <si>
    <t>min_J_30 Estimated Household's Income (Casual or daily labour) Over the Last 30 days by Types of Income Source</t>
  </si>
  <si>
    <t>max_J_30 Estimated Household's Income (Casual or daily labour) Over the Last 30 days by Types of Income Source</t>
  </si>
  <si>
    <t>mean_J_31 Estimated Household's Income (Own business or regular trade) Over the Last 30 days by Types of Income Source</t>
  </si>
  <si>
    <t>median_J_31 Estimated Household's Income (Own business or regular trade) Over the Last 30 days by Types of Income Source</t>
  </si>
  <si>
    <t>min_J_31 Estimated Household's Income (Own business or regular trade) Over the Last 30 days by Types of Income Source</t>
  </si>
  <si>
    <t>max_J_31 Estimated Household's Income (Own business or regular trade) Over the Last 30 days by Types of Income Source</t>
  </si>
  <si>
    <t>mean_J_32 Estimated Household's Income (Own production) Over the Last 30 days by Types of Income Source</t>
  </si>
  <si>
    <t>median_J_32 Estimated Household's Income (Own production) Over the Last 30 days by Types of Income Source</t>
  </si>
  <si>
    <t>min_J_32 Estimated Household's Income (Own production) Over the Last 30 days by Types of Income Source</t>
  </si>
  <si>
    <t>max_J_32 Estimated Household's Income (Own production) Over the Last 30 days by Types of Income Source</t>
  </si>
  <si>
    <t>mean_J_33 Estimated Household's Income (IDP benefits from government) Over the Last 30 days by Types of Income Source</t>
  </si>
  <si>
    <t>median_J_33 Estimated Household's Income (IDP benefits from government) Over the Last 30 days by Types of Income Source</t>
  </si>
  <si>
    <t>min_J_33 Estimated Household's Income (IDP benefits from government) Over the Last 30 days by Types of Income Source</t>
  </si>
  <si>
    <t>max_J_33 Estimated Household's Income (IDP benefits from government) Over the Last 30 days by Types of Income Source</t>
  </si>
  <si>
    <t>mean_J_34 Estimated Household's Income (Pension) Over the Last 30 days by Types of Income Source</t>
  </si>
  <si>
    <t>median_J_34 Estimated Household's Income (Pension) Over the Last 30 days by Types of Income Source</t>
  </si>
  <si>
    <t>min_J_34 Estimated Household's Income (Pension) Over the Last 30 days by Types of Income Source</t>
  </si>
  <si>
    <t>max_J_34 Estimated Household's Income (Pension) Over the Last 30 days by Types of Income Source</t>
  </si>
  <si>
    <t>mean_J_35 Estimated Household's Income (Other government social benefits or assistance) Over the Last 30 days by Types of Income Source</t>
  </si>
  <si>
    <t>median_J_35 Estimated Household's Income (Other government social benefits or assistance) Over the Last 30 days by Types of Income Source</t>
  </si>
  <si>
    <t>min_J_35 Estimated Household's Income (Other government social benefits or assistance) Over the Last 30 days by Types of Income Source</t>
  </si>
  <si>
    <t>max_J_35 Estimated Household's Income (Other government social benefits or assistance) Over the Last 30 days by Types of Income Source</t>
  </si>
  <si>
    <t>mean_J_36 Estimated Household's Income (Rent) Over the Last 30 days by Types of Income Source</t>
  </si>
  <si>
    <t>median_J_36 Estimated Household's Income (Rent) Over the Last 30 days by Types of Income Source</t>
  </si>
  <si>
    <t>min_J_36 Estimated Household's Income (Rent) Over the Last 30 days by Types of Income Source</t>
  </si>
  <si>
    <t>max_J_36 Estimated Household's Income (Rent) Over the Last 30 days by Types of Income Source</t>
  </si>
  <si>
    <t>mean_J_37 Estimated Household's Income (Remittances) Over the Last 30 days by Types of Income Source</t>
  </si>
  <si>
    <t>median_J_37 Estimated Household's Income (Remittances) Over the Last 30 days by Types of Income Source</t>
  </si>
  <si>
    <t>min_J_37 Estimated Household's Income (Remittances) Over the Last 30 days by Types of Income Source</t>
  </si>
  <si>
    <t>max_J_37 Estimated Household's Income (Remittances) Over the Last 30 days by Types of Income Source</t>
  </si>
  <si>
    <t>mean_J_38 Estimated Household's Income (Humanitarian aid) Over the Last 30 days by Types of Income Source</t>
  </si>
  <si>
    <t>median_J_38 Estimated Household's Income (Humanitarian aid) Over the Last 30 days by Types of Income Source</t>
  </si>
  <si>
    <t>min_J_38 Estimated Household's Income (Humanitarian aid) Over the Last 30 days by Types of Income Source</t>
  </si>
  <si>
    <t>max_J_38 Estimated Household's Income (Humanitarian aid) Over the Last 30 days by Types of Income Source</t>
  </si>
  <si>
    <t>mean_J_39 Estimated Household's Income (Loans or support from family and friends within Ukraine) Over the Last 30 days by Types of Income Source</t>
  </si>
  <si>
    <t>median_J_39 Estimated Household's Income (Loans or support from family and friends within Ukraine) Over the Last 30 days by Types of Income Source</t>
  </si>
  <si>
    <t>min_J_39 Estimated Household's Income (Loans or support from family and friends within Ukraine) Over the Last 30 days by Types of Income Source</t>
  </si>
  <si>
    <t>max_J_39 Estimated Household's Income (Loans or support from family and friends within Ukraine) Over the Last 30 days by Types of Income Source</t>
  </si>
  <si>
    <t>mean_J_40 Estimated Household's Income (Loans, support, or charitable donations from community members) Over the Last 30 days by Types of Income Source</t>
  </si>
  <si>
    <t>median_J_40 Estimated Household's Income (Loans, support, or charitable donations from community members) Over the Last 30 days by Types of Income Source</t>
  </si>
  <si>
    <t>min_J_40 Estimated Household's Income (Loans, support, or charitable donations from community members) Over the Last 30 days by Types of Income Source</t>
  </si>
  <si>
    <t>max_J_40 Estimated Household's Income (Loans, support, or charitable donations from community members) Over the Last 30 days by Types of Income Source</t>
  </si>
  <si>
    <t>mean_J_41 Estimated Household's Income (Other) Over the Last 30 days by Types of Income Source</t>
  </si>
  <si>
    <t>median_J_41 Estimated Household's Income (Other) Over the Last 30 days by Types of Income Source</t>
  </si>
  <si>
    <t>min_J_41 Estimated Household's Income (Other) Over the Last 30 days by Types of Income Source</t>
  </si>
  <si>
    <t>max_J_41 Estimated Household's Income (Other) Over the Last 30 days by Types of Income Source</t>
  </si>
  <si>
    <t>Household income over the 30 days prior to data collection, by types of income source broken down by rural / urban on the admin of oblast</t>
  </si>
  <si>
    <t>Total income per capita among those who reported any income on the admin of oblast</t>
  </si>
  <si>
    <t>Total income per capita among those who reported any income broken down by rural / urban on the admin of oblast</t>
  </si>
  <si>
    <t>Household income over the 30 days prior to data collection, by types of income source Per Capita on the admin of oblast</t>
  </si>
  <si>
    <t>mean_J_29 Estimated Household's Income (Salaried work) Over the Last 30 days by Types of Income Source Per Capita</t>
  </si>
  <si>
    <t>median_J_29 Estimated Household's Income (Salaried work) Over the Last 30 days by Types of Income Source Per Capita</t>
  </si>
  <si>
    <t>min_J_29 Estimated Household's Income (Salaried work) Over the Last 30 days by Types of Income Source Per Capita</t>
  </si>
  <si>
    <t>max_J_29 Estimated Household's Income (Salaried work) Over the Last 30 days by Types of Income Source Per Capita</t>
  </si>
  <si>
    <t>mean_J_30 Estimated Household's Income (Casual or daily labour) Over the Last 30 days by Types of Income Source Per Capita</t>
  </si>
  <si>
    <t>median_J_30 Estimated Household's Income (Casual or daily labour) Over the Last 30 days by Types of Income Source Per Capita</t>
  </si>
  <si>
    <t>min_J_30 Estimated Household's Income (Casual or daily labour) Over the Last 30 days by Types of Income Source Per Capita</t>
  </si>
  <si>
    <t>max_J_30 Estimated Household's Income (Casual or daily labour) Over the Last 30 days by Types of Income Source Per Capita</t>
  </si>
  <si>
    <t>mean_J_31 Estimated Household's Income (Own business or regular trade) Over the Last 30 days by Types of Income Source Per Capita</t>
  </si>
  <si>
    <t>median_J_31 Estimated Household's Income (Own business or regular trade) Over the Last 30 days by Types of Income Source Per Capita</t>
  </si>
  <si>
    <t>min_J_31 Estimated Household's Income (Own business or regular trade) Over the Last 30 days by Types of Income Source Per Capita</t>
  </si>
  <si>
    <t>max_J_31 Estimated Household's Income (Own business or regular trade) Over the Last 30 days by Types of Income Source Per Capita</t>
  </si>
  <si>
    <t>mean_J_32 Estimated Household's Income (Own production) Over the Last 30 days by Types of Income Source Per Capita</t>
  </si>
  <si>
    <t>median_J_32 Estimated Household's Income (Own production) Over the Last 30 days by Types of Income Source Per Capita</t>
  </si>
  <si>
    <t>min_J_32 Estimated Household's Income (Own production) Over the Last 30 days by Types of Income Source Per Capita</t>
  </si>
  <si>
    <t>max_J_32 Estimated Household's Income (Own production) Over the Last 30 days by Types of Income Source Per Capita</t>
  </si>
  <si>
    <t>mean_J_33 Estimated Household's Income (IDP benefits from government) Over the Last 30 days by Types of Income Source Per Capita</t>
  </si>
  <si>
    <t>median_J_33 Estimated Household's Income (IDP benefits from government) Over the Last 30 days by Types of Income Source Per Capita</t>
  </si>
  <si>
    <t>min_J_33 Estimated Household's Income (IDP benefits from government) Over the Last 30 days by Types of Income Source Per Capita</t>
  </si>
  <si>
    <t>max_J_33 Estimated Household's Income (IDP benefits from government) Over the Last 30 days by Types of Income Source Per Capita</t>
  </si>
  <si>
    <t>mean_J_34 Estimated Household's Income (Pension) Over the Last 30 days by Types of Income Source Per Capita</t>
  </si>
  <si>
    <t>median_J_34 Estimated Household's Income (Pension) Over the Last 30 days by Types of Income Source Per Capita</t>
  </si>
  <si>
    <t>min_J_34 Estimated Household's Income (Pension) Over the Last 30 days by Types of Income Source Per Capita</t>
  </si>
  <si>
    <t>max_J_34 Estimated Household's Income (Pension) Over the Last 30 days by Types of Income Source Per Capita</t>
  </si>
  <si>
    <t>mean_J_35 Estimated Household's Income (Other government social benefits or assistance) Over the Last 30 days by Types of Income Source Per Capita</t>
  </si>
  <si>
    <t>median_J_35 Estimated Household's Income (Other government social benefits or assistance) Over the Last 30 days by Types of Income Source Per Capita</t>
  </si>
  <si>
    <t>min_J_35 Estimated Household's Income (Other government social benefits or assistance) Over the Last 30 days by Types of Income Source Per Capita</t>
  </si>
  <si>
    <t>max_J_35 Estimated Household's Income (Other government social benefits or assistance) Over the Last 30 days by Types of Income Source Per Capita</t>
  </si>
  <si>
    <t>mean_J_36 Estimated Household's Income (Rent) Over the Last 30 days by Types of Income Source Per Capita</t>
  </si>
  <si>
    <t>median_J_36 Estimated Household's Income (Rent) Over the Last 30 days by Types of Income Source Per Capita</t>
  </si>
  <si>
    <t>min_J_36 Estimated Household's Income (Rent) Over the Last 30 days by Types of Income Source Per Capita</t>
  </si>
  <si>
    <t>max_J_36 Estimated Household's Income (Rent) Over the Last 30 days by Types of Income Source Per Capita</t>
  </si>
  <si>
    <t>mean_J_37 Estimated Household's Income (Remittances) Over the Last 30 days by Types of Income Source Per Capita</t>
  </si>
  <si>
    <t>median_J_37 Estimated Household's Income (Remittances) Over the Last 30 days by Types of Income Source Per Capita</t>
  </si>
  <si>
    <t>min_J_37 Estimated Household's Income (Remittances) Over the Last 30 days by Types of Income Source Per Capita</t>
  </si>
  <si>
    <t>max_J_37 Estimated Household's Income (Remittances) Over the Last 30 days by Types of Income Source Per Capita</t>
  </si>
  <si>
    <t>mean_J_38 Estimated Household's Income (Humanitarian aid) Over the Last 30 days by Types of Income Source Per Capita</t>
  </si>
  <si>
    <t>median_J_38 Estimated Household's Income (Humanitarian aid) Over the Last 30 days by Types of Income Source Per Capita</t>
  </si>
  <si>
    <t>min_J_38 Estimated Household's Income (Humanitarian aid) Over the Last 30 days by Types of Income Source Per Capita</t>
  </si>
  <si>
    <t>max_J_38 Estimated Household's Income (Humanitarian aid) Over the Last 30 days by Types of Income Source Per Capita</t>
  </si>
  <si>
    <t>mean_J_39 Estimated Household's Income (Loans or support from family and friends within Ukraine) Over the Last 30 days by Types of Income Source Per Capita</t>
  </si>
  <si>
    <t>median_J_39 Estimated Household's Income (Loans or support from family and friends within Ukraine) Over the Last 30 days by Types of Income Source Per Capita</t>
  </si>
  <si>
    <t>min_J_39 Estimated Household's Income (Loans or support from family and friends within Ukraine) Over the Last 30 days by Types of Income Source Per Capita</t>
  </si>
  <si>
    <t>max_J_39 Estimated Household's Income (Loans or support from family and friends within Ukraine) Over the Last 30 days by Types of Income Source Per Capita</t>
  </si>
  <si>
    <t>mean_J_40 Estimated Household's Income (Loans, support, or charitable donations from community members) Over the Last 30 days by Types of Income Source Per Capita</t>
  </si>
  <si>
    <t>median_J_40 Estimated Household's Income (Loans, support, or charitable donations from community members) Over the Last 30 days by Types of Income Source Per Capita</t>
  </si>
  <si>
    <t>min_J_40 Estimated Household's Income (Loans, support, or charitable donations from community members) Over the Last 30 days by Types of Income Source Per Capita</t>
  </si>
  <si>
    <t>max_J_40 Estimated Household's Income (Loans, support, or charitable donations from community members) Over the Last 30 days by Types of Income Source Per Capita</t>
  </si>
  <si>
    <t>mean_J_41 Estimated Household's Income (Other) Over the Last 30 days by Types of Income Source Per Capita</t>
  </si>
  <si>
    <t>median_J_41 Estimated Household's Income (Other) Over the Last 30 days by Types of Income Source Per Capita</t>
  </si>
  <si>
    <t>min_J_41 Estimated Household's Income (Other) Over the Last 30 days by Types of Income Source Per Capita</t>
  </si>
  <si>
    <t>max_J_41 Estimated Household's Income (Other) Over the Last 30 days by Types of Income Source Per Capita</t>
  </si>
  <si>
    <t>Household income over the 30 days prior to data collection, by types of income source Per Capita broken down by rural / urban on the admin of oblast</t>
  </si>
  <si>
    <t>Total income per household among those who reported any income on the admin of oblast</t>
  </si>
  <si>
    <t>Total income per household among those who reported any income broken down by rural / urban on the admin of oblast</t>
  </si>
  <si>
    <t>Households that have borrowed money that they still have to pay back on the admin of oblast</t>
  </si>
  <si>
    <t>Households that have borrowed money that they still have to pay back broken down by rural / urban on the admin of oblast</t>
  </si>
  <si>
    <t>Households reporting reasons why they took on debt since February 2022 on the admin of oblast</t>
  </si>
  <si>
    <t>Domestic assets (appliances, household repairs, repairing facilities) for your household</t>
  </si>
  <si>
    <t>Domestic consumption (food, utilities, etc) for your household</t>
  </si>
  <si>
    <t>Education expenses for your household</t>
  </si>
  <si>
    <t>For another households' needs</t>
  </si>
  <si>
    <t xml:space="preserve">Health / Medical expenses for your household </t>
  </si>
  <si>
    <t>Investment in business (capital or assets) belonging to a household member</t>
  </si>
  <si>
    <t>Obtaining / replacing official documents for your household</t>
  </si>
  <si>
    <t>Property / Mortgage belonging to a household member</t>
  </si>
  <si>
    <t>Repayment of other debts of your household</t>
  </si>
  <si>
    <t xml:space="preserve">Replacing posessions of your household that were destroyed / left behind due to the war </t>
  </si>
  <si>
    <t>Shelter repair for your household</t>
  </si>
  <si>
    <t>Urgent travel related to displacement for your household</t>
  </si>
  <si>
    <t>Households reporting reasons why they took on debt since February 2022 broken down by rural / urban on the admin of oblast</t>
  </si>
  <si>
    <t>Households reporting barriers while accessing markets on the admin of oblast</t>
  </si>
  <si>
    <t>Damage to marketplace</t>
  </si>
  <si>
    <t>Damage to roads leading to marketplace</t>
  </si>
  <si>
    <t>Disablity / health issues</t>
  </si>
  <si>
    <t>Face discrimination or exploitation when visiting the marketplace or certain businesses</t>
  </si>
  <si>
    <t>Insecurity or danger at marketplace</t>
  </si>
  <si>
    <t>Insecurity or danger travelling to and from marketplace</t>
  </si>
  <si>
    <t>Local authorities restrict access/travel</t>
  </si>
  <si>
    <t>Market shutdowns or curfews make access impossible</t>
  </si>
  <si>
    <t>Marketplace is too far away to access regularly</t>
  </si>
  <si>
    <t>Nobody to look after children or elderly while visiting marketplace</t>
  </si>
  <si>
    <t>Transportation to marketplace is too expensive</t>
  </si>
  <si>
    <t>Households adopting Livelihood Coping Strategies, by strategy on the admin of oblast</t>
  </si>
  <si>
    <t>option</t>
  </si>
  <si>
    <t>perc_Households Reportedly Adopting Livelihood Coping Strategies (sell household assets/goods)</t>
  </si>
  <si>
    <t>perc_Households Reportedly Adopting Livelihood Coping Strategies (spend savings or consumed stocks)</t>
  </si>
  <si>
    <t>perc_Households Reportedly Adopting Livelihood Coping Strategies (Purchase food on credit or borrowed food)</t>
  </si>
  <si>
    <t>perc_Households Reportedly Adopting Livelihood Coping Strategies (get an additional job)</t>
  </si>
  <si>
    <t>perc_Households Reportedly Adopting Livelihood Coping Strategies (Sell productive assets)</t>
  </si>
  <si>
    <t>perc_Households Reportedly Adopting Livelihood Coping Strategies (Reduce essential health expenditures)</t>
  </si>
  <si>
    <t>perc_Households Reportedly Adopting Livelihood Coping Strategies (Reduce essential education expenditures)</t>
  </si>
  <si>
    <t>perc_Households Reportedly Adopting Livelihood Coping Strategies (Sell housing or land)</t>
  </si>
  <si>
    <t>perc_Households Reportedly Adopting Livelihood Coping Strategies (use degrading sources of income)</t>
  </si>
  <si>
    <t>perc_Households Reportedly Adopting Livelihood Coping Strategies (ask strangers for money)</t>
  </si>
  <si>
    <t>general_count</t>
  </si>
  <si>
    <t>No, have already exhausted this coping strategy and cannot use it again</t>
  </si>
  <si>
    <t>No, had no need to use this coping strategy</t>
  </si>
  <si>
    <t>Not applicable / This coping strategy is not available to me</t>
  </si>
  <si>
    <t>Households adopting Livelihood Coping Strategies, by strategy broken down by rural / urban on the admin of oblast</t>
  </si>
  <si>
    <t>Main Reasons Households Reported for Using Livelihood Coping Strategies  on the admin of oblast</t>
  </si>
  <si>
    <t xml:space="preserve">Other (specify) </t>
  </si>
  <si>
    <t xml:space="preserve">To access or pay for education </t>
  </si>
  <si>
    <t xml:space="preserve">To access or pay for food </t>
  </si>
  <si>
    <t xml:space="preserve">To access or pay for healthcare </t>
  </si>
  <si>
    <t xml:space="preserve">To access or pay for shelter </t>
  </si>
  <si>
    <t>Main Reasons Households Reported for Using Livelihood Coping Strategies  broken down by rural / urban on the admin of oblast</t>
  </si>
  <si>
    <t>Livelihood Coping Strategy - Essential Needs (LCS-EN) on the admin of oblast</t>
  </si>
  <si>
    <t>Crisis</t>
  </si>
  <si>
    <t>Emergency</t>
  </si>
  <si>
    <t>No coping</t>
  </si>
  <si>
    <t>Stress</t>
  </si>
  <si>
    <t>Livelihood Coping Strategy - Essential Needs (LCS-EN) broken down by rural / urban on the admin of oblast</t>
  </si>
  <si>
    <t>Security Factors that reportedly influenced households' sense of safety on the admin of oblast</t>
  </si>
  <si>
    <t>Arbitrary arrest / detention</t>
  </si>
  <si>
    <t>Conscription</t>
  </si>
  <si>
    <t>Discrimination (because of ethnicity, status, etc.)</t>
  </si>
  <si>
    <t>Kidnapping, forced disappearance (excluding conscription)</t>
  </si>
  <si>
    <t>Looting and crime (e.g. being robbed)</t>
  </si>
  <si>
    <t>Presence of landmines/UXOs</t>
  </si>
  <si>
    <t>Presence of military actors</t>
  </si>
  <si>
    <t>Social tension in the community</t>
  </si>
  <si>
    <t>Stray animals (dogs, etc)</t>
  </si>
  <si>
    <t>Violence and harassment not related to the conflict in private spaces</t>
  </si>
  <si>
    <t>Violence and harassment not related to the conflict in public spaces</t>
  </si>
  <si>
    <t>Violence related to the conflict (e.g. armed violence, shelling, missile attacks) impacting civilians</t>
  </si>
  <si>
    <t>Violence related to the conflict (e.g. armed violence, shelling, missile attacks) impacting private infrastructure (e.g. private housing)</t>
  </si>
  <si>
    <t>Violence related to the conflict (e.g. armed violence, shelling, missile attacks) impacting public infrastructure and facilities (schools, telecommunication networks)</t>
  </si>
  <si>
    <t>Security Factors that reportedly influenced households' sense of safety broken down by gender of respondent on the admin of oblast</t>
  </si>
  <si>
    <t>Security Factors that reportedly influenced households' sense of safety broken down by rural / urban on the admin of oblast</t>
  </si>
  <si>
    <t>Reasons why social tension or discrimination impacted households' sense of safety on the admin of oblast</t>
  </si>
  <si>
    <t>Discrimination or tensions over access to employment </t>
  </si>
  <si>
    <t>Discrimination or tensions over access to government services </t>
  </si>
  <si>
    <t>Discrimination or tensions over access to humanitarian assistance provided by aid providers </t>
  </si>
  <si>
    <t>Displacement status (e.g. tensions or discrimination related to being IDP)</t>
  </si>
  <si>
    <t>Ethnicity  </t>
  </si>
  <si>
    <t>Language  </t>
  </si>
  <si>
    <t>Political affiliation                                                                     </t>
  </si>
  <si>
    <t>Households that reported being concerned about having any HH member engaging in risky activities due to the economic needs on the admin of oblast</t>
  </si>
  <si>
    <t>Always</t>
  </si>
  <si>
    <t>Don't know</t>
  </si>
  <si>
    <t>Just once or twice</t>
  </si>
  <si>
    <t>Never</t>
  </si>
  <si>
    <t>Several times</t>
  </si>
  <si>
    <t>Households that reported being concerned about having any HH member engaging in risky activities due to the economic needs broken down by gender of respondent on the admin of oblast</t>
  </si>
  <si>
    <t>Households that reported being concerned about having any HH member engaging in risky activities due to the economic needs broken down by rural / urban on the admin of oblast</t>
  </si>
  <si>
    <t>Households that reported being concerned about being forced to flee their home on the admin of oblast</t>
  </si>
  <si>
    <t>Households that reported being concerned about being forced to flee their home broken down by gender of respondent on the admin of oblast</t>
  </si>
  <si>
    <t>Households that reported being concerned about being forced to flee their home broken down by rural / urban on the admin of oblast</t>
  </si>
  <si>
    <t>Security factors that reportedly influenced sense of safety of WOMEN in community on the admin of oblast</t>
  </si>
  <si>
    <t>Being robbed</t>
  </si>
  <si>
    <t>Security factors that reportedly influenced sense of safety of WOMEN in community broken down by gender of respondent on the admin of oblast</t>
  </si>
  <si>
    <t>Security factors that reportedly influenced sense of safety of WOMEN in community broken down by rural / urban on the admin of oblast</t>
  </si>
  <si>
    <t>Households with women that reportedly feel unsafe walking in community on the admin of oblast</t>
  </si>
  <si>
    <t>Often</t>
  </si>
  <si>
    <t>Sometimes</t>
  </si>
  <si>
    <t>Places women reportedly avoid because of security concerns on the admin of oblast</t>
  </si>
  <si>
    <t xml:space="preserve">Aid distribution points </t>
  </si>
  <si>
    <t>Communal heating points</t>
  </si>
  <si>
    <t>Communal water points</t>
  </si>
  <si>
    <t>Indoor public spaces used for recreation (e.g. community centers)</t>
  </si>
  <si>
    <t>Isolated areas within your living space such as elevators/staircases</t>
  </si>
  <si>
    <t>Long or isolated underground passages</t>
  </si>
  <si>
    <t>Outdoor public spaces used for recreation (e.g. parks)</t>
  </si>
  <si>
    <t>Poorly lit outdoor areas</t>
  </si>
  <si>
    <t>Public markets</t>
  </si>
  <si>
    <t>Public transport (e.g. bus stops, train stations, trains, subways, etc.)</t>
  </si>
  <si>
    <t xml:space="preserve">Spaces with high military presence </t>
  </si>
  <si>
    <t>Security factors that reportedly influenced sense of safety of MEN in community on the admin of oblast</t>
  </si>
  <si>
    <t>Security factors that reportedly influenced sense of safety of MEN in community broken down by gender of respondent on the admin of oblast</t>
  </si>
  <si>
    <t>Security factors that reportedly influenced sense of safety of MEN in community broken down by rural / urban on the admin of oblast</t>
  </si>
  <si>
    <t>Security factors that reportedly influenced sense of safety of CHILDREN in community on the admin of oblast</t>
  </si>
  <si>
    <t>Unsafe roads</t>
  </si>
  <si>
    <t>Security factors that reportedly influenced sense of safety of CHILDREN in community broken down by gender of respondent on the admin of oblast</t>
  </si>
  <si>
    <t>Security factors that reportedly influenced sense of safety of CHILDREN in community broken down by presence of children on the admin of oblast</t>
  </si>
  <si>
    <t>HHs with children</t>
  </si>
  <si>
    <t>HHs without children</t>
  </si>
  <si>
    <t>Security factors that reportedly influenced sense of safety of CHILDREN in community broken down by rural / urban on the admin of oblast</t>
  </si>
  <si>
    <t>Housing/land/property (HLP) concerns households reported experiencing on the admin of oblast</t>
  </si>
  <si>
    <t>Damage or destroyed property other than housing</t>
  </si>
  <si>
    <t>Damaged or destroyed housing in area NOT occupied by the Russian Federation</t>
  </si>
  <si>
    <t>Damaged or destroyed housing in area occupied by the Russian Federation</t>
  </si>
  <si>
    <t>Housing and/or land is not accessible due to military restrictions, active hostilities</t>
  </si>
  <si>
    <t>Housing and/or land is used for military purposes</t>
  </si>
  <si>
    <t>Lack of access to / eligibility for compensation mechanisms</t>
  </si>
  <si>
    <t>Lack of compensation through compensation mechanisms</t>
  </si>
  <si>
    <t>Lack of documents / lack of access to documents proving ownership of housing / land</t>
  </si>
  <si>
    <t>Lack of information on compensation mechanisms</t>
  </si>
  <si>
    <t>Land contaminated with EOs</t>
  </si>
  <si>
    <t>Looting of private property</t>
  </si>
  <si>
    <t>No social / affordable housing available in the area</t>
  </si>
  <si>
    <t>Property is occupied by others</t>
  </si>
  <si>
    <t>Rental disputes (landlord/tenant problems)</t>
  </si>
  <si>
    <t>Housing/land/property (HLP) concerns households reported experiencing broken down by rural / urban on the admin of oblast</t>
  </si>
  <si>
    <t>Number of times Household members reportedly were trained on safe behaviours towards Explosive Ordnances  on the admin of oblast</t>
  </si>
  <si>
    <t>Households Reporting Explosive Ordnance Currently Present in their Community on the admin of oblast</t>
  </si>
  <si>
    <t>Prefer not to Answer</t>
  </si>
  <si>
    <t>Yes, I or a member of my household believes they are present</t>
  </si>
  <si>
    <t>Yes, I or a member of my household has seen them</t>
  </si>
  <si>
    <t>Households Reporting that Explosive Ordnance Affect the Livelihoods of People within their Community on the admin of oblast</t>
  </si>
  <si>
    <t>No, presence of EO is not affecting anyone's livelihood in the community</t>
  </si>
  <si>
    <t>Yes, presence of EO is affecting people's livelihood in the community</t>
  </si>
  <si>
    <t>Households describing their shelter situation on the admin of oblast</t>
  </si>
  <si>
    <t>Collective site</t>
  </si>
  <si>
    <t>Hosted by friends/relatives</t>
  </si>
  <si>
    <t>Individual shelter (for this household only)</t>
  </si>
  <si>
    <t>Individual shelter (shared with others)</t>
  </si>
  <si>
    <t>Households describing their shelter situation broken down by rural / urban on the admin of oblast</t>
  </si>
  <si>
    <t>Households reporting type of shelter they live in on the admin of oblast</t>
  </si>
  <si>
    <t>Solid / finished apartment</t>
  </si>
  <si>
    <t>Solid / finished house</t>
  </si>
  <si>
    <t>Unfinished / non-enclosed building</t>
  </si>
  <si>
    <t>Households reporting type of shelter they live in broken down by rural / urban on the admin of oblast</t>
  </si>
  <si>
    <t>Households reporting number of square meters in their shelter on the admin of oblast</t>
  </si>
  <si>
    <t>Households reporting number of square meters in their shelter broken down by rural / urban on the admin of oblast</t>
  </si>
  <si>
    <t>Households reporting number of individuals living in their current shelter on the admin of oblast</t>
  </si>
  <si>
    <t>Households reporting number of individuals living in their current shelter broken down by rural / urban on the admin of oblast</t>
  </si>
  <si>
    <t>Shelter overcrowding on the admin of oblast</t>
  </si>
  <si>
    <t>Shelter overcrowding broken down by rural / urban on the admin of oblast</t>
  </si>
  <si>
    <t>Households reporting occupancy arrangement of their shelter on the admin of oblast</t>
  </si>
  <si>
    <t>Hosted for free</t>
  </si>
  <si>
    <t>No occupancy agreement, squatting</t>
  </si>
  <si>
    <t>Owned property</t>
  </si>
  <si>
    <t>Rented</t>
  </si>
  <si>
    <t>Households reporting occupancy arrangement of their shelter broken down by rural / urban on the admin of oblast</t>
  </si>
  <si>
    <t>Households reporting risk of being evicted from their shelter on the admin of oblast</t>
  </si>
  <si>
    <t>Households reporting risk of being evicted from their shelter broken down by rural / urban on the admin of oblast</t>
  </si>
  <si>
    <t>Households reporting shelter issues that were NOT caused by the war on the admin of oblast</t>
  </si>
  <si>
    <t xml:space="preserve">It is often too hot or too cold inside dwelling / shelter  </t>
  </si>
  <si>
    <t>Lack of lighting inside the dwelling / shelter</t>
  </si>
  <si>
    <t>Lack of lighting outside the dwelling / shelter</t>
  </si>
  <si>
    <t>Lack of privacy (e.g. no doors)</t>
  </si>
  <si>
    <t xml:space="preserve">Lack of space inside dwelling / shelter  </t>
  </si>
  <si>
    <t>Leaks when it rains</t>
  </si>
  <si>
    <t>Limited ventilation (e.g. no or poor air circulation) inside dwelling / shelter</t>
  </si>
  <si>
    <t>Some members of the household have difficulties moving inside or outside the dwelling</t>
  </si>
  <si>
    <t xml:space="preserve">Unable to lock the dwelling / shelter  </t>
  </si>
  <si>
    <t>Households reporting shelter issues that were NOT caused by the war broken down by rural / urban on the admin of oblast</t>
  </si>
  <si>
    <t>Households reporting damage to their current shelter (caused by the war) on the admin of oblast</t>
  </si>
  <si>
    <t>Doors</t>
  </si>
  <si>
    <t>Roof</t>
  </si>
  <si>
    <t>Walls</t>
  </si>
  <si>
    <t>Windows</t>
  </si>
  <si>
    <t>Households reporting damage to their current shelter (caused by the war) broken down by rural / urban on the admin of oblast</t>
  </si>
  <si>
    <t>Households assessing shelter damage in their current shelter on the admin of oblast</t>
  </si>
  <si>
    <t>Catastrophic / complete</t>
  </si>
  <si>
    <t>Insignificant</t>
  </si>
  <si>
    <t>Major</t>
  </si>
  <si>
    <t>Minor</t>
  </si>
  <si>
    <t>Moderate</t>
  </si>
  <si>
    <t>Households assessing shelter damage in their current shelter broken down by rural / urban on the admin of oblast</t>
  </si>
  <si>
    <t>Households reportedly experiencing issues while cooking on the admin of oblast</t>
  </si>
  <si>
    <t>No, cannot do</t>
  </si>
  <si>
    <t>Yes, with issues</t>
  </si>
  <si>
    <t>Yes, without any issues</t>
  </si>
  <si>
    <t>Households reportedly experiencing issues while cooking broken down by rural / urban on the admin of oblast</t>
  </si>
  <si>
    <t>Households reportedly experiencing issues while sleeping on the admin of oblast</t>
  </si>
  <si>
    <t>Households reportedly experiencing issues while sleeping broken down by rural / urban on the admin of oblast</t>
  </si>
  <si>
    <t>Households reporting main heating source last winter on the admin of oblast</t>
  </si>
  <si>
    <t>Briquettes</t>
  </si>
  <si>
    <t>Distrcit heating (centralized, through gas or electricity)</t>
  </si>
  <si>
    <t>Electricity (decentralized)</t>
  </si>
  <si>
    <t>Gas (decentralized)</t>
  </si>
  <si>
    <t>Wood or coal</t>
  </si>
  <si>
    <t>Households reporting main heating source last winter broken down by rural / urban on the admin of oblast</t>
  </si>
  <si>
    <t>Households reportedly experiencing issues while storing food on the admin of oblast</t>
  </si>
  <si>
    <t>Households reportedly experiencing issues while storing food broken down by rural / urban on the admin of oblast</t>
  </si>
  <si>
    <t>Households reportedly experiencing issues with electricity on the admin of oblast</t>
  </si>
  <si>
    <t>Insufficient electricity in terms of strength</t>
  </si>
  <si>
    <t>Intermittent electricity in terms of supply</t>
  </si>
  <si>
    <t>No electricity</t>
  </si>
  <si>
    <t>No issues</t>
  </si>
  <si>
    <t>Households reportedly experiencing issues with electricity broken down by rural / urban on the admin of oblast</t>
  </si>
  <si>
    <t>Households reportedly experiencing utility interruptions on the admin of oblast</t>
  </si>
  <si>
    <t>Cold water supply</t>
  </si>
  <si>
    <t>Gas (decentralized or centralized)</t>
  </si>
  <si>
    <t>Hot water supply</t>
  </si>
  <si>
    <t>Internet</t>
  </si>
  <si>
    <t>Sewage</t>
  </si>
  <si>
    <t>Households reportedly experiencing utility interruptions broken down by rural / urban on the admin of oblast</t>
  </si>
  <si>
    <t>Households reportedly having alternative energy sources  on the admin of oblast</t>
  </si>
  <si>
    <t>Households reportedly having alternative energy sources  broken down by rural / urban on the admin of oblast</t>
  </si>
  <si>
    <t>Households reportedly having access to the Internet on the admin of oblast</t>
  </si>
  <si>
    <t>Always: 24hrs</t>
  </si>
  <si>
    <t>Never: 0hrs</t>
  </si>
  <si>
    <t>Often: 12-23hrs</t>
  </si>
  <si>
    <t>Sometimes: 1-11hrs</t>
  </si>
  <si>
    <t>Households reportedly having access to the Internet broken down by rural / urban on the admin of oblast</t>
  </si>
  <si>
    <t>Households reporting main source of access to the Internet on the admin of oblast</t>
  </si>
  <si>
    <t>At community center Wi-Fi/computer</t>
  </si>
  <si>
    <t>From home Wi-Fi/computer</t>
  </si>
  <si>
    <t>From mobile internet network</t>
  </si>
  <si>
    <t>From work Wi-Fi/computer</t>
  </si>
  <si>
    <t>Households reporting main source of access to the Internet broken down by rural / urban on the admin of oblast</t>
  </si>
  <si>
    <t>Households reporting distance to the nearest bomb shelter on the admin of oblast</t>
  </si>
  <si>
    <t>I am not aware of the location of the nearest bomb shelter</t>
  </si>
  <si>
    <t>Public bomb shelter is more than a 10-minute walk away from the shelter</t>
  </si>
  <si>
    <t>Public bomb shelter located less than a 10-min walk from the shelter</t>
  </si>
  <si>
    <t>There is no bomb shelter available</t>
  </si>
  <si>
    <t>Households reporting distance to the nearest bomb shelter broken down by rural / urban on the admin of oblast</t>
  </si>
  <si>
    <t>Households reporting damage to the shelter in their area of origin (for IDP members) on the admin of oblast</t>
  </si>
  <si>
    <t>Nobody in the household is displaced</t>
  </si>
  <si>
    <t>Households reporting damage to the shelter in their area of origin (for IDP members) broken down by rural / urban on the admin of oblast</t>
  </si>
  <si>
    <t>Households assessing shelter damage in their shelter in area of origin on the admin of oblast</t>
  </si>
  <si>
    <t>Households assessing shelter damage in their shelter in area of origin broken down by rural / urban on the admin of oblast</t>
  </si>
  <si>
    <t>Households reporting their main source of drinking water on the admin of oblast</t>
  </si>
  <si>
    <t>Bottled water (water purchased in bottles)</t>
  </si>
  <si>
    <t>Piped into compound, yard or plot</t>
  </si>
  <si>
    <t>Piped to neighbour</t>
  </si>
  <si>
    <t>Protected spring</t>
  </si>
  <si>
    <t>Protected well</t>
  </si>
  <si>
    <t>Public tap/standpipe</t>
  </si>
  <si>
    <t>Public well or boreholes (shared access)</t>
  </si>
  <si>
    <t>Surface water (river, dam, lake, pond, stream, canal, irrigation channel)</t>
  </si>
  <si>
    <t>Tap drinking water / Piped into dwelling</t>
  </si>
  <si>
    <t>Technical piped water</t>
  </si>
  <si>
    <t>Trucked in water (truck with a tank etc)</t>
  </si>
  <si>
    <t>Unprotected spring</t>
  </si>
  <si>
    <t>Unprotected well</t>
  </si>
  <si>
    <t>Water kiosk (booth with water for bottling)</t>
  </si>
  <si>
    <t>Households reporting their main source of drinking water broken down by rural / urban on the admin of oblast</t>
  </si>
  <si>
    <t>Time reported by Households to Fetch Water from Main Source of Water used for Drinking overall on the admin of oblast</t>
  </si>
  <si>
    <t>Time reported by Households to Fetch Water from Main Source of Water used for Drinking overall broken down by rural / urban on the admin of oblast</t>
  </si>
  <si>
    <t>Households assessing drinking water from their main source on the admin of oblast</t>
  </si>
  <si>
    <t>Bad</t>
  </si>
  <si>
    <t>Good</t>
  </si>
  <si>
    <t>Neither good nor bad</t>
  </si>
  <si>
    <t>Very bad</t>
  </si>
  <si>
    <t>Very good</t>
  </si>
  <si>
    <t>Households assessing drinking water from their main source broken down by rural / urban on the admin of oblast</t>
  </si>
  <si>
    <t>Households reportedly treating drinking water from their main source on the admin of oblast</t>
  </si>
  <si>
    <t>No, need to but cannot treat the water</t>
  </si>
  <si>
    <t>No, no need to treat the water</t>
  </si>
  <si>
    <t>Households reportedly treating drinking water from their main source broken down by rural / urban on the admin of oblast</t>
  </si>
  <si>
    <t>Households reporting days without sufficient drinking water in the last 4 weeks on the admin of oblast</t>
  </si>
  <si>
    <t>Households reporting days without sufficient drinking water in the last 4 weeks broken down by rural / urban on the admin of oblast</t>
  </si>
  <si>
    <t>Households reporting sources of water for domestic purposes on the admin of oblast</t>
  </si>
  <si>
    <t xml:space="preserve">Bottled water (water purchased in bottles) </t>
  </si>
  <si>
    <t>Cart with small tank / drum</t>
  </si>
  <si>
    <t xml:space="preserve">Protected well </t>
  </si>
  <si>
    <t xml:space="preserve">Public well or boreholes (shared access) </t>
  </si>
  <si>
    <t>Rainwater collection</t>
  </si>
  <si>
    <t xml:space="preserve">Surface water (river, dam, lake, pond, stream, canal, irrigation channel) </t>
  </si>
  <si>
    <t xml:space="preserve">Trucked in water (truck with a tank etc) </t>
  </si>
  <si>
    <t xml:space="preserve">Unprotected spring </t>
  </si>
  <si>
    <t>Households reporting sources of water for domestic purposes broken down by rural / urban on the admin of oblast</t>
  </si>
  <si>
    <t>Households reporting having enough water for technical needs on the admin of oblast</t>
  </si>
  <si>
    <t>Cooking</t>
  </si>
  <si>
    <t>Flushing toilet</t>
  </si>
  <si>
    <t>Laundry and cleaning</t>
  </si>
  <si>
    <t>Personal hygiene</t>
  </si>
  <si>
    <t>Households reporting having enough water for technical needs broken down by rural / urban on the admin of oblast</t>
  </si>
  <si>
    <t>Households reportedly having issues with performing personal hygiene on the admin of oblast</t>
  </si>
  <si>
    <t>Households reportedly having issues with performing personal hygiene broken down by rural / urban on the admin of oblast</t>
  </si>
  <si>
    <t>Reasons why households reported issues with performing personal hygiene on the admin of oblast</t>
  </si>
  <si>
    <t>Availability of hot water</t>
  </si>
  <si>
    <t>Availability of water</t>
  </si>
  <si>
    <t>Inadequate space (e.g. not covered space, leaks when it rains, space not meant for washing)</t>
  </si>
  <si>
    <t>Insufficient essential household items for hygiene (e.g. soap, etc.)</t>
  </si>
  <si>
    <t>Insufficient space (e.g. lack of privacy, partitions)</t>
  </si>
  <si>
    <t>No hygiene facility within the shelter</t>
  </si>
  <si>
    <t>Unsafe space</t>
  </si>
  <si>
    <t>Reasons why households reported issues with performing personal hygiene broken down by rural / urban on the admin of oblast</t>
  </si>
  <si>
    <t>Main handwashing facilities reported by households on the admin of oblast</t>
  </si>
  <si>
    <t>Fixed facility reported (sink/tap) in dwelling</t>
  </si>
  <si>
    <t>Fixed facility reported (sink/tap) in yard/plot</t>
  </si>
  <si>
    <t>Mobile object reported (bucket/jug/kettle)</t>
  </si>
  <si>
    <t>No handwashing place in dwelling/yard/plot</t>
  </si>
  <si>
    <t>Main handwashing facilities reported by households broken down by rural / urban on the admin of oblast</t>
  </si>
  <si>
    <t>Households reportedly having soap in their household on the admin of oblast</t>
  </si>
  <si>
    <t>Households reportedly having soap in their household broken down by rural / urban on the admin of oblast</t>
  </si>
  <si>
    <t>Households reporting main toilet facility in their household on the admin of oblast</t>
  </si>
  <si>
    <t>Bucket</t>
  </si>
  <si>
    <t>Composting toilet</t>
  </si>
  <si>
    <t>Flush to piped sewer system</t>
  </si>
  <si>
    <t>Flush to pit latrine</t>
  </si>
  <si>
    <t>Flush to septic tank</t>
  </si>
  <si>
    <t>Hanging toilet/hanging latrine</t>
  </si>
  <si>
    <t>Pit latrine with slab</t>
  </si>
  <si>
    <t>Pit latrine without slab / open pit</t>
  </si>
  <si>
    <t>Households reporting main toilet facility in their household broken down by rural / urban on the admin of oblast</t>
  </si>
  <si>
    <t>Households that reportedly share their sanitation facility on the admin of oblast</t>
  </si>
  <si>
    <t>Number of Households Sharing Sanitation Facility Reported overall on the admin of oblast</t>
  </si>
  <si>
    <t>Households reportedly having access to adequate toilets on the admin of oblast</t>
  </si>
  <si>
    <t>Households reportedly having access to adequate toilets broken down by rural / urban on the admin of oblast</t>
  </si>
  <si>
    <t>Most Common Garbage Disposal Method Reported by Households on the admin of oblast</t>
  </si>
  <si>
    <t>We burn all the garbage</t>
  </si>
  <si>
    <t>We dispose of garbage in unauthorized places (like forests, fields, etc.)</t>
  </si>
  <si>
    <t>We partially burn garbage and dispose of the rest in a pit latrine or similar</t>
  </si>
  <si>
    <t>We sort waste and recycle</t>
  </si>
  <si>
    <t>We take the garbage to a designated dumpsite ourselves</t>
  </si>
  <si>
    <t>We use a specialized waste collection service for regular disposal</t>
  </si>
  <si>
    <t>Most Common Garbage Disposal Method Reported by Households broken down by rural / urban on the admin of oblast</t>
  </si>
  <si>
    <t>Households reportedly facing issues with their sewage on the admin of oblast</t>
  </si>
  <si>
    <t>No, my household does not handle this service</t>
  </si>
  <si>
    <t>No, there are no problems</t>
  </si>
  <si>
    <t>Yes, emptying the sewage is not possible due to technical reasons (peculiarities of construction, it is impossible to reach it by car, etc.)</t>
  </si>
  <si>
    <t>Yes, it is dirty</t>
  </si>
  <si>
    <t>Yes, it is expensive, high price of the service</t>
  </si>
  <si>
    <t>Yes, pumping services are not available in the area</t>
  </si>
  <si>
    <t>Yes, special car/service refuses to come</t>
  </si>
  <si>
    <t>Households reportedly facing issues with their sewage broken down by rural / urban on the admin of oblast</t>
  </si>
  <si>
    <t>Households reportedly struggling to obtain enough money to cover basic needs on the admin of oblast</t>
  </si>
  <si>
    <t>Households reportedly struggling to obtain enough money to cover basic needs broken down by rural / urban on the admin of oblast</t>
  </si>
  <si>
    <t>Main Challenges Reported by Households to Obtain Money to Meet Basic Needs on the admin of oblast</t>
  </si>
  <si>
    <t>Did not receive pensions / social benefits</t>
  </si>
  <si>
    <t>Did not receive salary or wages</t>
  </si>
  <si>
    <t>Lack of livelihood opportunities / unemployment</t>
  </si>
  <si>
    <t>Pensions / social benefit amounts were too low</t>
  </si>
  <si>
    <t>Prices increased</t>
  </si>
  <si>
    <t>Salary or wages were too low</t>
  </si>
  <si>
    <t>Unable to access money because could not travel to financial institution (e.g. due to safety concerns, no transportation, etc.)</t>
  </si>
  <si>
    <t>Unable to access money because financial institution not functioning or partially functioning (e.g. banks closed)</t>
  </si>
  <si>
    <t>Main Challenges Reported by Households to Obtain Money to Meet Basic Needs broken down by rural / urban on the admin of oblast</t>
  </si>
  <si>
    <t>Reduced Coping Strategies Index (rCSI) on the admin of oblast</t>
  </si>
  <si>
    <t>High</t>
  </si>
  <si>
    <t>Low</t>
  </si>
  <si>
    <t>Medium</t>
  </si>
  <si>
    <t>Reduced Coping Strategies Index (rCSI) broken down by rural / urban on the admin of oblast</t>
  </si>
  <si>
    <t>Household Hunger Scale (HHS) on the admin of oblast</t>
  </si>
  <si>
    <t>No or little</t>
  </si>
  <si>
    <t>Severe</t>
  </si>
  <si>
    <t>Household Hunger Scale (HHS) broken down by rural / urban on the admin of oblast</t>
  </si>
  <si>
    <t>K_2 Households reporting first most significant challenge their household currently faces on the admin of oblast</t>
  </si>
  <si>
    <t>perc_K_2 Households reporting first most significant challenge their household currently faces</t>
  </si>
  <si>
    <t>perc_K_2 Households reporting second most significant challenge their household currently faces</t>
  </si>
  <si>
    <t>perc_K_2 Households reporting third most significant challenge their household currently faces</t>
  </si>
  <si>
    <t>Children in household not attending school or receiving insufficient education</t>
  </si>
  <si>
    <t>Household members feeling very distressed, upset, sad, worried, scared, or angry</t>
  </si>
  <si>
    <t>Lack of / insufficient heating during the winter</t>
  </si>
  <si>
    <t>Lack of /insufficient access a suitable living space (e.g. housing is damaged, housing is sub-standard, etc.)</t>
  </si>
  <si>
    <t>Lack of /insufficient access to a clean toilet and washing place</t>
  </si>
  <si>
    <t>Lack of /insufficient access to adequate healthcare</t>
  </si>
  <si>
    <t>Lack of /insufficient access to energy (e.g. heating, lighting, electricity, cooking fuels, etc.)</t>
  </si>
  <si>
    <t>Lack of /insufficient access to enough water for drinking</t>
  </si>
  <si>
    <t>Lack of /insufficient access to enough water for non-drinking purposes</t>
  </si>
  <si>
    <t>Lack of /insufficient access to government social services</t>
  </si>
  <si>
    <t>Lack of /insufficient access to humanitarian aid</t>
  </si>
  <si>
    <t>Lack of /insufficient access to hygiene materials (e.g. cleaning products, soap, etc.)</t>
  </si>
  <si>
    <t>Lack of /insufficient access to job / livelihoods</t>
  </si>
  <si>
    <t>Lack of /insufficient access to legal system</t>
  </si>
  <si>
    <t>Lack of /insufficient access to necessary non-food items (e.g. winter clothing, light bulbs, etc.)</t>
  </si>
  <si>
    <t>Lack of /insufficient access to sufficient quantity or quality of food</t>
  </si>
  <si>
    <t>Lack of /insufficient income or money</t>
  </si>
  <si>
    <t>Lack of safety or protection due to conflict, violence, or crime</t>
  </si>
  <si>
    <t>K_2 Households reporting first most significant challenge their household currently faces broken down by rural / urban on the admin of oblast</t>
  </si>
  <si>
    <t>Support households reportedly would like to receive on the admin of oblast</t>
  </si>
  <si>
    <t>Access to energy (lighting, electricity, cooking fuels) </t>
  </si>
  <si>
    <t>Access to fuel sources for winter heating </t>
  </si>
  <si>
    <t>Cash </t>
  </si>
  <si>
    <t>Communication means </t>
  </si>
  <si>
    <t>Dignity kits </t>
  </si>
  <si>
    <t>E-recovery programme (benefits for damaged housing) </t>
  </si>
  <si>
    <t>Education for children under 18 </t>
  </si>
  <si>
    <t>Feminine hygiene products </t>
  </si>
  <si>
    <t>Food </t>
  </si>
  <si>
    <t>Healthcare </t>
  </si>
  <si>
    <t>Legal services (e.g. access to civil documentation) </t>
  </si>
  <si>
    <t>Livelihoods support / employment </t>
  </si>
  <si>
    <t>Monthly assistance to IDPs </t>
  </si>
  <si>
    <t>Nutrition (e.g. special nutritious foods for child/PLW, infant formula, nutrition supplements)</t>
  </si>
  <si>
    <t>One-time cash assistance to injured persons and IDPs </t>
  </si>
  <si>
    <t>Other essential household and personal items (clothes, blanket, cooking items, sleeping items, storing food) </t>
  </si>
  <si>
    <t>Other essential hygiene items (e.g. cleaning products, soap, etc.) </t>
  </si>
  <si>
    <t>Psychosocial support </t>
  </si>
  <si>
    <t>Sanitation services (e.g. toilets, waste collection) </t>
  </si>
  <si>
    <t>Shelter / housing (excluding E-recovery programme) </t>
  </si>
  <si>
    <t>Support debt repayment</t>
  </si>
  <si>
    <t>Support for protection / safety (e.g. training on mines and UXOs) </t>
  </si>
  <si>
    <t>Water for drinking</t>
  </si>
  <si>
    <t>Water for non-drinking purposes</t>
  </si>
  <si>
    <t>Support households reportedly would like to receive broken down by rural / urban on the admin of oblast</t>
  </si>
  <si>
    <t>Aid households reportedly would like to receive on the admin of oblast</t>
  </si>
  <si>
    <t>Cash (one multipurpose payment)</t>
  </si>
  <si>
    <t>Cash (separate payments)</t>
  </si>
  <si>
    <t>Do not need aid</t>
  </si>
  <si>
    <t>In-kind</t>
  </si>
  <si>
    <t>Other modality (specify)</t>
  </si>
  <si>
    <t>Services</t>
  </si>
  <si>
    <t>Vouchers</t>
  </si>
  <si>
    <t>Aid households reportedly would like to receive broken down by rural / urban on the admin of oblast</t>
  </si>
  <si>
    <t>Preferred modality of assistance per aid type on the admin of oblast</t>
  </si>
  <si>
    <t>perc_K_6 Type of assisstance (feminine hygiene aid) households would like to receive</t>
  </si>
  <si>
    <t>perc_K_7 Type of assisstance (other hygiene items) households would like to receive</t>
  </si>
  <si>
    <t>perc_K_8 Type of assisstance (non-food items) households would like to receive</t>
  </si>
  <si>
    <t>perc_K_9 Type of assisstance (education) households would like to receive</t>
  </si>
  <si>
    <t>perc_K_10 Type of assisstance (fuel sources for heating) households would like to receive</t>
  </si>
  <si>
    <t>Yes, in-cash</t>
  </si>
  <si>
    <t>Yes, in-kind</t>
  </si>
  <si>
    <t>Yes, services</t>
  </si>
  <si>
    <t>K_11 Households Reported to have Received Humanitarian Assistance in the Last 12 months on the admin of oblast</t>
  </si>
  <si>
    <t>1 to 3 months ago</t>
  </si>
  <si>
    <t>4 to 6 months ago</t>
  </si>
  <si>
    <t>7 to 12 months ago</t>
  </si>
  <si>
    <t>In the past 30 days</t>
  </si>
  <si>
    <t>More than 12 months ago</t>
  </si>
  <si>
    <t>Never receieved aid</t>
  </si>
  <si>
    <t>K_11 Households Reported to have Received Humanitarian Assistance in the Last 12 months broken down by rural / urban on the admin of oblast</t>
  </si>
  <si>
    <t>Barriers Households reportedly faced during accessing aid on the admin of oblast</t>
  </si>
  <si>
    <t>Did not attempt to receive any assistance in the past 12 months</t>
  </si>
  <si>
    <t>Yes, assistance not (regularly) available or functioning in area</t>
  </si>
  <si>
    <t>Yes, assistance not meeting household's needs</t>
  </si>
  <si>
    <t xml:space="preserve">Yes, difficulty to physically access assistance (e.g. long distances) </t>
  </si>
  <si>
    <t>Yes, discrimination</t>
  </si>
  <si>
    <t xml:space="preserve">Yes, do not have enough information on how assistance works and/or is provided </t>
  </si>
  <si>
    <t xml:space="preserve">Yes, do not have enough information on how to register for assistance </t>
  </si>
  <si>
    <t>Yes, do not have necessary documents</t>
  </si>
  <si>
    <t>Yes, fear of conscription</t>
  </si>
  <si>
    <t>Yes, feeling unsafe accessing assistance</t>
  </si>
  <si>
    <t>Yes, limited access to transport to access assistance</t>
  </si>
  <si>
    <t>Yes, not considered as eligible</t>
  </si>
  <si>
    <t>Yes, quality of assistance is poor</t>
  </si>
  <si>
    <t>Yes, registration process is too long/complicated</t>
  </si>
  <si>
    <t xml:space="preserve">Yes, request for bribe or other corruption challenges </t>
  </si>
  <si>
    <t>Barriers Households reportedly faced during accessing aid broken down by rural / urban on the admin of oblast</t>
  </si>
  <si>
    <t>Aid satisfaction reported by households on the admin of oblast</t>
  </si>
  <si>
    <t>Dissatisfied</t>
  </si>
  <si>
    <t>Neither satisfied nor dissatisfied</t>
  </si>
  <si>
    <t>Satisfied</t>
  </si>
  <si>
    <t>Very Dissatisfied</t>
  </si>
  <si>
    <t>Very satisfied</t>
  </si>
  <si>
    <t>Aid satisfaction reported by households broken down by rural / urban on the admin of oblast</t>
  </si>
  <si>
    <t>Information Households would like to receive from aid providers on the admin of oblast</t>
  </si>
  <si>
    <t xml:space="preserve">Finding missing people </t>
  </si>
  <si>
    <t>How to find work</t>
  </si>
  <si>
    <t>How to get healthcare/medical attention</t>
  </si>
  <si>
    <t>How to get help and stay safe from attack or harassment</t>
  </si>
  <si>
    <t>How to get more money/financial support</t>
  </si>
  <si>
    <t>How to get shelter/accommodation/shelter materials</t>
  </si>
  <si>
    <t>How to get water, food or nutrition</t>
  </si>
  <si>
    <t>How to register for aid</t>
  </si>
  <si>
    <t>How to replace personal documentation (e.g. birth certificate, ID)</t>
  </si>
  <si>
    <t>Information about possible return to place of origin</t>
  </si>
  <si>
    <t>Information about relocation (abroad or within Ukraine) and/or evacuation</t>
  </si>
  <si>
    <t>Information on how to complain about aid / aid providers</t>
  </si>
  <si>
    <t>Legal rights to housing, land and property</t>
  </si>
  <si>
    <t>Security situation and general updates on Ukraine</t>
  </si>
  <si>
    <t>Peferred mean of communication reported by households on the admin of oblast</t>
  </si>
  <si>
    <t>Billboards, posters, leaflets</t>
  </si>
  <si>
    <t>Email</t>
  </si>
  <si>
    <t>Face-to-face (community leader/neighbors, family, friends/church, or religious leader</t>
  </si>
  <si>
    <t>Government Websites</t>
  </si>
  <si>
    <t>Messaging (including Viper, Telegram, etc.)</t>
  </si>
  <si>
    <t>Online news sites/newspapers/magazines</t>
  </si>
  <si>
    <t>Other internet platforms</t>
  </si>
  <si>
    <t>Phone call</t>
  </si>
  <si>
    <t>Printed newspapers/magazines</t>
  </si>
  <si>
    <t>Radio</t>
  </si>
  <si>
    <t>Social Media</t>
  </si>
  <si>
    <t xml:space="preserve">TV Station/Channel </t>
  </si>
  <si>
    <t>Households reportedly feeling involved in aid distribution on the admin of oblast</t>
  </si>
  <si>
    <t>Preferred language of communication with aid providers on the admin of oblast</t>
  </si>
  <si>
    <t>Russian</t>
  </si>
  <si>
    <t>Ukrainian</t>
  </si>
  <si>
    <t>Households reporting to experience cuts in assisstance from the government on the admin of oblast</t>
  </si>
  <si>
    <t>Other(specify)</t>
  </si>
  <si>
    <t>Yes pensions for people with disabilities</t>
  </si>
  <si>
    <t>Yes retirement pension</t>
  </si>
  <si>
    <t>Yes, IDP allowance, </t>
  </si>
  <si>
    <t>Yes, social assistance for families with low income</t>
  </si>
  <si>
    <t>Yes, social payments for the unemployed</t>
  </si>
  <si>
    <t>Households reportedly requiring legal assisstance on the admin of oblast</t>
  </si>
  <si>
    <t>Yes, other reason (specify)</t>
  </si>
  <si>
    <t>Yes, to access pensions for IDPs</t>
  </si>
  <si>
    <t>Yes, to access social benefits</t>
  </si>
  <si>
    <t>Yes, to apply for IDP allowance</t>
  </si>
  <si>
    <t>Yes, to apply for compensation for damaged or destroyed property</t>
  </si>
  <si>
    <t>Yes, to apply for utility subsidies</t>
  </si>
  <si>
    <t>Yes, to obtain civil documents (birth, death, marriage, divorce)</t>
  </si>
  <si>
    <t>Yes, to obtain identity documents</t>
  </si>
  <si>
    <t>Yes, to obtain property documentation</t>
  </si>
  <si>
    <t>Yes, to resolve issues related to labour law</t>
  </si>
  <si>
    <t>Households reportedly requiring services provided by the government on the admin of oblast</t>
  </si>
  <si>
    <t>Households reportedly facing barriers while accessing services provided by the government on the admin of oblast</t>
  </si>
  <si>
    <t>Yes, discrimination against specific social groups</t>
  </si>
  <si>
    <t xml:space="preserve">Yes, distance, lack of, or cost for transportation to relevant facilities  </t>
  </si>
  <si>
    <t xml:space="preserve">Yes, insufficient number of social workers to provide services </t>
  </si>
  <si>
    <t>Yes, lack of available services</t>
  </si>
  <si>
    <t>Yes, lack of information about available services</t>
  </si>
  <si>
    <t>Yes, limited services for people with disability</t>
  </si>
  <si>
    <t>Yes, services are not always functional</t>
  </si>
  <si>
    <t>Yes, social workers from State institutions do not visit location often</t>
  </si>
  <si>
    <t>Yes, the quality of services is not adequate</t>
  </si>
  <si>
    <t>Households reportedly facing barriers while accessing services provided by the government broken down by rural / urban on the admin of oblast</t>
  </si>
  <si>
    <t>Households reporting available services for women in their community on the admin of oblast</t>
  </si>
  <si>
    <t>Childcare or elderly care support</t>
  </si>
  <si>
    <t>Educational support</t>
  </si>
  <si>
    <t>Health services, not including reproductive health</t>
  </si>
  <si>
    <t xml:space="preserve">Legal </t>
  </si>
  <si>
    <t>Livelihood services, excluding vocational training</t>
  </si>
  <si>
    <t>Psychosocial support</t>
  </si>
  <si>
    <t xml:space="preserve">Recreational activities </t>
  </si>
  <si>
    <t>Reproductive health services</t>
  </si>
  <si>
    <t>Services for victims of violence</t>
  </si>
  <si>
    <t>Support for care providers for children or elderly</t>
  </si>
  <si>
    <t>Support for persons with disabilities</t>
  </si>
  <si>
    <t>Vocational training</t>
  </si>
  <si>
    <t>Households reporting available services for women in their community broken down by rural / urban on the admin of oblast</t>
  </si>
  <si>
    <t>Households reporting needed services related to children's well-being  on the admin of oblast</t>
  </si>
  <si>
    <t>Childcare (incl. nursery, pre-school)</t>
  </si>
  <si>
    <t>Health services</t>
  </si>
  <si>
    <t>Legal</t>
  </si>
  <si>
    <t>Mental health and psychosocial support</t>
  </si>
  <si>
    <t>Social support for families</t>
  </si>
  <si>
    <t>Households reporting needed services related to children's well-being  broken down by rural / urban on the admin of oblast</t>
  </si>
  <si>
    <t>Percentage of households adopting reduced coping strategies, by strategy (rCSI) broken down by rural / urban on the admin of oblast</t>
  </si>
  <si>
    <t>perc_Households relying on less preferred and less expensive food to cope wLM Over the Last 7 Days</t>
  </si>
  <si>
    <t>perc_Households that had to borrow food or rely on help from a relative or friend to cope wLM Over the Last 7 Days</t>
  </si>
  <si>
    <t>perc_Households that had to limit portion size of meals at meal times to cope wLM Over the Last 7 Days</t>
  </si>
  <si>
    <t>perc_Households that had to restrict consumption by adults in order for small children to eat to cope wLM Over the Last 7 Days Prior</t>
  </si>
  <si>
    <t xml:space="preserve">perc_Households that had to reduce number of meals eaten in a day to cope wLM Over the Last 7 Days </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</si>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</sst>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1"/>
      <color theme="1"/>
      <name val="Calibri"/>
      <family val="2"/>
      <scheme val="minor"/>
    </font>
    <font>
      <b/>
      <sz val="11"/>
      <color theme="1"/>
      <name val="Calibri"/>
      <family val="2"/>
      <scheme val="minor"/>
    </font>
    <font>
      <b/>
      <sz val="20"/>
      <color rgb="FF000000"/>
      <name val="Arial Narrow"/>
      <family val="2"/>
    </font>
    <font>
      <b/>
      <u/>
      <sz val="14"/>
      <color rgb="FF000000"/>
      <name val="Arial Narrow"/>
      <family val="2"/>
    </font>
    <font>
      <b/>
      <sz val="14"/>
      <color rgb="FFFF0000"/>
      <name val="Calibri"/>
      <family val="2"/>
      <scheme val="minor"/>
    </font>
    <font>
      <b/>
      <sz val="14"/>
      <color theme="1"/>
      <name val="Calibri"/>
      <family val="2"/>
      <scheme val="minor"/>
    </font>
    <font>
      <sz val="12"/>
      <color theme="1"/>
      <name val="Calibri"/>
      <family val="2"/>
      <scheme val="minor"/>
    </font>
    <font>
      <sz val="16"/>
      <color theme="1"/>
      <name val="Calibri"/>
      <family val="2"/>
      <scheme val="minor"/>
    </font>
    <font>
      <b/>
      <sz val="18"/>
      <color rgb="FFFF0000"/>
      <name val="Arial Narrow"/>
      <family val="2"/>
    </font>
    <font>
      <b/>
      <sz val="11"/>
      <color rgb="FFFFFFFF"/>
      <name val="Arial Narrow"/>
      <family val="2"/>
    </font>
    <font>
      <b/>
      <sz val="11"/>
      <color rgb="FFFF0000"/>
      <name val="Arial Narrow"/>
      <family val="2"/>
    </font>
    <font>
      <b/>
      <sz val="10"/>
      <name val="Arial Narrow"/>
      <family val="2"/>
    </font>
    <font>
      <sz val="10"/>
      <name val="Arial Narrow"/>
      <family val="2"/>
    </font>
    <font>
      <b/>
      <sz val="10"/>
      <color rgb="FF000000"/>
      <name val="Arial Narrow"/>
      <family val="2"/>
    </font>
    <font>
      <sz val="10"/>
      <color rgb="FF000000"/>
      <name val="Arial Narrow"/>
      <family val="2"/>
    </font>
    <font>
      <sz val="11"/>
      <color rgb="FF000000"/>
      <name val="Arial Narrow"/>
      <family val="2"/>
    </font>
    <font>
      <sz val="10"/>
      <color rgb="FF000000"/>
      <name val="Arial Narrow"/>
    </font>
    <font>
      <b/>
      <sz val="10"/>
      <color rgb="FF000000"/>
      <name val="Arial Narrow"/>
    </font>
  </fonts>
  <fills count="8">
    <fill>
      <patternFill patternType="none"/>
    </fill>
    <fill>
      <patternFill patternType="gray125"/>
    </fill>
    <fill>
      <patternFill patternType="solid">
        <fgColor rgb="FFEE5859"/>
        <bgColor indexed="64"/>
      </patternFill>
    </fill>
    <fill>
      <patternFill patternType="solid">
        <fgColor rgb="FFEE5859"/>
        <bgColor rgb="FFD63F40"/>
      </patternFill>
    </fill>
    <fill>
      <patternFill patternType="solid">
        <fgColor rgb="FFD9D9D9"/>
        <bgColor rgb="FF000000"/>
      </patternFill>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s>
  <borders count="10">
    <border>
      <left/>
      <right/>
      <top/>
      <bottom/>
      <diagonal/>
    </border>
    <border>
      <left style="thin">
        <color theme="2"/>
      </left>
      <right style="thin">
        <color theme="2"/>
      </right>
      <top style="thin">
        <color theme="2"/>
      </top>
      <bottom style="thin">
        <color theme="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medium">
        <color indexed="64"/>
      </left>
      <right/>
      <top/>
      <bottom/>
      <diagonal/>
    </border>
  </borders>
  <cellStyleXfs count="2">
    <xf numFmtId="0" fontId="0" fillId="0" borderId="0"/>
    <xf numFmtId="0" fontId="1" fillId="0" borderId="0"/>
  </cellStyleXfs>
  <cellXfs count="32">
    <xf numFmtId="0" fontId="0" fillId="0" borderId="0" xfId="0"/>
    <xf numFmtId="10" fontId="0" fillId="0" borderId="0" xfId="0" applyNumberFormat="1"/>
    <xf numFmtId="0" fontId="3" fillId="0" borderId="1" xfId="1" applyFont="1" applyBorder="1" applyAlignment="1">
      <alignment horizontal="center" vertical="center" wrapText="1"/>
    </xf>
    <xf numFmtId="0" fontId="4" fillId="0" borderId="1" xfId="1" applyFont="1" applyBorder="1" applyAlignment="1">
      <alignment horizontal="left" vertical="center"/>
    </xf>
    <xf numFmtId="0" fontId="6" fillId="0" borderId="1" xfId="0" applyFont="1" applyBorder="1" applyAlignment="1">
      <alignment horizontal="left" vertical="center"/>
    </xf>
    <xf numFmtId="0" fontId="0" fillId="0" borderId="1" xfId="0" applyBorder="1"/>
    <xf numFmtId="0" fontId="2" fillId="0" borderId="1" xfId="0" applyFont="1" applyBorder="1"/>
    <xf numFmtId="0" fontId="7" fillId="0" borderId="1" xfId="0" applyFont="1" applyBorder="1" applyAlignment="1">
      <alignment horizontal="left" vertical="center"/>
    </xf>
    <xf numFmtId="0" fontId="6" fillId="0" borderId="1" xfId="0" applyFont="1" applyBorder="1" applyAlignment="1">
      <alignment horizontal="right" vertical="center"/>
    </xf>
    <xf numFmtId="0" fontId="8" fillId="2" borderId="2" xfId="0" applyFont="1" applyFill="1" applyBorder="1"/>
    <xf numFmtId="0" fontId="8" fillId="2" borderId="3" xfId="0" applyFont="1" applyFill="1" applyBorder="1"/>
    <xf numFmtId="0" fontId="8" fillId="2" borderId="4" xfId="0" applyFont="1" applyFill="1" applyBorder="1"/>
    <xf numFmtId="0" fontId="10" fillId="3" borderId="6" xfId="1" applyFont="1" applyFill="1" applyBorder="1" applyAlignment="1">
      <alignment horizontal="left" vertical="top" wrapText="1"/>
    </xf>
    <xf numFmtId="0" fontId="11" fillId="5" borderId="7" xfId="1" applyFont="1" applyFill="1" applyBorder="1" applyAlignment="1">
      <alignment horizontal="left" vertical="center" wrapText="1"/>
    </xf>
    <xf numFmtId="0" fontId="11" fillId="5" borderId="7" xfId="1" applyFont="1" applyFill="1" applyBorder="1" applyAlignment="1">
      <alignment horizontal="left" vertical="top" wrapText="1"/>
    </xf>
    <xf numFmtId="0" fontId="12" fillId="4" borderId="8" xfId="1" applyFont="1" applyFill="1" applyBorder="1" applyAlignment="1">
      <alignment horizontal="center" vertical="center" wrapText="1"/>
    </xf>
    <xf numFmtId="0" fontId="13" fillId="4" borderId="8" xfId="1" applyFont="1" applyFill="1" applyBorder="1" applyAlignment="1">
      <alignment horizontal="left" vertical="top" wrapText="1"/>
    </xf>
    <xf numFmtId="0" fontId="12" fillId="5" borderId="7" xfId="1" applyFont="1" applyFill="1" applyBorder="1" applyAlignment="1">
      <alignment horizontal="center" vertical="center" wrapText="1"/>
    </xf>
    <xf numFmtId="0" fontId="13" fillId="5" borderId="7" xfId="1" applyFont="1" applyFill="1" applyBorder="1" applyAlignment="1">
      <alignment horizontal="left" vertical="top" wrapText="1"/>
    </xf>
    <xf numFmtId="0" fontId="14" fillId="6" borderId="7" xfId="0" applyFont="1" applyFill="1" applyBorder="1" applyAlignment="1">
      <alignment horizontal="center" vertical="center" wrapText="1"/>
    </xf>
    <xf numFmtId="0" fontId="15" fillId="6" borderId="7" xfId="0" applyFont="1" applyFill="1" applyBorder="1" applyAlignment="1">
      <alignment vertical="center" wrapText="1"/>
    </xf>
    <xf numFmtId="0" fontId="16" fillId="7" borderId="7" xfId="0" applyFont="1" applyFill="1" applyBorder="1" applyAlignment="1">
      <alignment vertical="center" wrapText="1"/>
    </xf>
    <xf numFmtId="0" fontId="13" fillId="0" borderId="9" xfId="1" applyFont="1" applyBorder="1" applyAlignment="1">
      <alignment horizontal="left" vertical="top" wrapText="1"/>
    </xf>
    <xf numFmtId="0" fontId="13" fillId="0" borderId="0" xfId="1" applyFont="1" applyAlignment="1">
      <alignment horizontal="left" vertical="top" wrapText="1"/>
    </xf>
    <xf numFmtId="0" fontId="10" fillId="3" borderId="5" xfId="1" applyFont="1" applyFill="1" applyBorder="1" applyAlignment="1">
      <alignment horizontal="left" vertical="top" wrapText="1"/>
    </xf>
    <xf numFmtId="0" fontId="13" fillId="4" borderId="5" xfId="1" applyFont="1" applyFill="1" applyBorder="1" applyAlignment="1">
      <alignment horizontal="left" vertical="top" wrapText="1"/>
    </xf>
    <xf numFmtId="0" fontId="0" fillId="2" borderId="0" xfId="0" applyFill="1"/>
    <xf numFmtId="10" fontId="0" fillId="2" borderId="0" xfId="0" applyNumberFormat="1" applyFill="1"/>
    <xf numFmtId="0" fontId="17" fillId="5" borderId="7" xfId="1" applyFont="1" applyFill="1" applyBorder="1" applyAlignment="1">
      <alignment horizontal="left" vertical="top" wrapText="1"/>
    </xf>
    <xf numFmtId="14" fontId="12" fillId="7" borderId="7" xfId="1" applyNumberFormat="1" applyFont="1" applyFill="1" applyBorder="1" applyAlignment="1">
      <alignment horizontal="center" vertical="center" wrapText="1"/>
    </xf>
    <xf numFmtId="0" fontId="9" fillId="0" borderId="5" xfId="1" applyFont="1" applyBorder="1" applyAlignment="1">
      <alignment horizontal="center" vertical="center" wrapText="1"/>
    </xf>
    <xf numFmtId="0" fontId="3" fillId="0" borderId="1" xfId="1" applyFont="1" applyBorder="1" applyAlignment="1">
      <alignment horizontal="center" vertical="center" wrapText="1"/>
    </xf>
  </cellXfs>
  <cellStyles count="2">
    <cellStyle name="Normal" xfId="0" builtinId="0"/>
    <cellStyle name="Normal 2" xfId="1" xr:uid="{1A1A91FD-305A-4B58-8523-D93B27D75348}"/>
  </cellStyles>
  <dxfs count="2">
    <dxf>
      <border outline="0">
        <bottom style="medium">
          <color indexed="64"/>
        </bottom>
      </border>
    </dxf>
    <dxf>
      <font>
        <b val="0"/>
        <i val="0"/>
        <strike val="0"/>
        <condense val="0"/>
        <extend val="0"/>
        <outline val="0"/>
        <shadow val="0"/>
        <u val="none"/>
        <vertAlign val="baseline"/>
        <sz val="16"/>
        <color theme="1"/>
        <name val="Calibri"/>
        <family val="2"/>
        <scheme val="minor"/>
      </font>
      <fill>
        <patternFill patternType="solid">
          <fgColor indexed="64"/>
          <bgColor rgb="FFEE5859"/>
        </patternFill>
      </fill>
      <border diagonalUp="0" diagonalDown="0" outline="0">
        <left style="thin">
          <color indexed="64"/>
        </left>
        <right style="thin">
          <color indexed="64"/>
        </right>
        <top/>
        <bottom/>
      </border>
    </dxf>
  </dxfs>
  <tableStyles count="0" defaultTableStyle="TableStyleMedium9" defaultPivotStyle="PivotStyleLight16"/>
  <colors>
    <mruColors>
      <color rgb="FFEE585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calcChain" Target="calcChain.xml"/><Relationship Id="rId5" Type="http://schemas.microsoft.com/office/2007/relationships/slicerCache" Target="slicerCaches/slicerCache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3</xdr:row>
      <xdr:rowOff>106681</xdr:rowOff>
    </xdr:from>
    <xdr:to>
      <xdr:col>1</xdr:col>
      <xdr:colOff>2781300</xdr:colOff>
      <xdr:row>4</xdr:row>
      <xdr:rowOff>1508761</xdr:rowOff>
    </xdr:to>
    <mc:AlternateContent xmlns:mc="http://schemas.openxmlformats.org/markup-compatibility/2006" xmlns:sle15="http://schemas.microsoft.com/office/drawing/2012/slicer">
      <mc:Choice Requires="sle15">
        <xdr:graphicFrame macro="">
          <xdr:nvGraphicFramePr>
            <xdr:cNvPr id="5" name="Sector">
              <a:extLst>
                <a:ext uri="{FF2B5EF4-FFF2-40B4-BE49-F238E27FC236}">
                  <a16:creationId xmlns:a16="http://schemas.microsoft.com/office/drawing/2014/main" id="{675A46AE-3C10-D9E8-6DD1-5854FBB38989}"/>
                </a:ext>
              </a:extLst>
            </xdr:cNvPr>
            <xdr:cNvGraphicFramePr/>
          </xdr:nvGraphicFramePr>
          <xdr:xfrm>
            <a:off x="0" y="0"/>
            <a:ext cx="0" cy="0"/>
          </xdr:xfrm>
          <a:graphic>
            <a:graphicData uri="http://schemas.microsoft.com/office/drawing/2010/slicer">
              <sle:slicer xmlns:sle="http://schemas.microsoft.com/office/drawing/2010/slicer" name="Sector"/>
            </a:graphicData>
          </a:graphic>
        </xdr:graphicFrame>
      </mc:Choice>
      <mc:Fallback xmlns="">
        <xdr:sp macro="" textlink="">
          <xdr:nvSpPr>
            <xdr:cNvPr id="0" name=""/>
            <xdr:cNvSpPr>
              <a:spLocks noTextEdit="1"/>
            </xdr:cNvSpPr>
          </xdr:nvSpPr>
          <xdr:spPr>
            <a:xfrm>
              <a:off x="0" y="975361"/>
              <a:ext cx="4076700" cy="16306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4</xdr:col>
      <xdr:colOff>15240</xdr:colOff>
      <xdr:row>4</xdr:row>
      <xdr:rowOff>15241</xdr:rowOff>
    </xdr:from>
    <xdr:to>
      <xdr:col>4</xdr:col>
      <xdr:colOff>5219700</xdr:colOff>
      <xdr:row>4</xdr:row>
      <xdr:rowOff>1531621</xdr:rowOff>
    </xdr:to>
    <mc:AlternateContent xmlns:mc="http://schemas.openxmlformats.org/markup-compatibility/2006" xmlns:sle15="http://schemas.microsoft.com/office/drawing/2012/slicer">
      <mc:Choice Requires="sle15">
        <xdr:graphicFrame macro="">
          <xdr:nvGraphicFramePr>
            <xdr:cNvPr id="6" name="Indicator">
              <a:extLst>
                <a:ext uri="{FF2B5EF4-FFF2-40B4-BE49-F238E27FC236}">
                  <a16:creationId xmlns:a16="http://schemas.microsoft.com/office/drawing/2014/main" id="{891E46A9-2C3A-709A-0E32-1D06689D142C}"/>
                </a:ext>
              </a:extLst>
            </xdr:cNvPr>
            <xdr:cNvGraphicFramePr/>
          </xdr:nvGraphicFramePr>
          <xdr:xfrm>
            <a:off x="0" y="0"/>
            <a:ext cx="0" cy="0"/>
          </xdr:xfrm>
          <a:graphic>
            <a:graphicData uri="http://schemas.microsoft.com/office/drawing/2010/slicer">
              <sle:slicer xmlns:sle="http://schemas.microsoft.com/office/drawing/2010/slicer" name="Indicator"/>
            </a:graphicData>
          </a:graphic>
        </xdr:graphicFrame>
      </mc:Choice>
      <mc:Fallback xmlns="">
        <xdr:sp macro="" textlink="">
          <xdr:nvSpPr>
            <xdr:cNvPr id="0" name=""/>
            <xdr:cNvSpPr>
              <a:spLocks noTextEdit="1"/>
            </xdr:cNvSpPr>
          </xdr:nvSpPr>
          <xdr:spPr>
            <a:xfrm>
              <a:off x="8801100" y="1112521"/>
              <a:ext cx="5204460" cy="151638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1</xdr:col>
      <xdr:colOff>3355340</xdr:colOff>
      <xdr:row>3</xdr:row>
      <xdr:rowOff>157481</xdr:rowOff>
    </xdr:from>
    <xdr:to>
      <xdr:col>2</xdr:col>
      <xdr:colOff>25400</xdr:colOff>
      <xdr:row>4</xdr:row>
      <xdr:rowOff>1416050</xdr:rowOff>
    </xdr:to>
    <mc:AlternateContent xmlns:mc="http://schemas.openxmlformats.org/markup-compatibility/2006" xmlns:sle15="http://schemas.microsoft.com/office/drawing/2012/slicer">
      <mc:Choice Requires="sle15">
        <xdr:graphicFrame macro="">
          <xdr:nvGraphicFramePr>
            <xdr:cNvPr id="7" name="Disaggregations">
              <a:extLst>
                <a:ext uri="{FF2B5EF4-FFF2-40B4-BE49-F238E27FC236}">
                  <a16:creationId xmlns:a16="http://schemas.microsoft.com/office/drawing/2014/main" id="{39770880-5C31-EE5D-D980-9AB44E469A4E}"/>
                </a:ext>
              </a:extLst>
            </xdr:cNvPr>
            <xdr:cNvGraphicFramePr/>
          </xdr:nvGraphicFramePr>
          <xdr:xfrm>
            <a:off x="0" y="0"/>
            <a:ext cx="0" cy="0"/>
          </xdr:xfrm>
          <a:graphic>
            <a:graphicData uri="http://schemas.microsoft.com/office/drawing/2010/slicer">
              <sle:slicer xmlns:sle="http://schemas.microsoft.com/office/drawing/2010/slicer" name="Disaggregations"/>
            </a:graphicData>
          </a:graphic>
        </xdr:graphicFrame>
      </mc:Choice>
      <mc:Fallback xmlns="">
        <xdr:sp macro="" textlink="">
          <xdr:nvSpPr>
            <xdr:cNvPr id="0" name=""/>
            <xdr:cNvSpPr>
              <a:spLocks noTextEdit="1"/>
            </xdr:cNvSpPr>
          </xdr:nvSpPr>
          <xdr:spPr>
            <a:xfrm>
              <a:off x="4676140" y="1027431"/>
              <a:ext cx="2848610" cy="1493519"/>
            </a:xfrm>
            <a:prstGeom prst="rect">
              <a:avLst/>
            </a:prstGeom>
            <a:solidFill>
              <a:prstClr val="white"/>
            </a:solidFill>
            <a:ln w="1">
              <a:solidFill>
                <a:prstClr val="green"/>
              </a:solidFill>
            </a:ln>
          </xdr:spPr>
          <xdr:txBody>
            <a:bodyPr vertOverflow="clip" horzOverflow="clip"/>
            <a:lstStyle/>
            <a:p>
              <a:r>
                <a:rPr lang="LID4096"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ector" xr10:uid="{7A0C6A23-173C-4F2A-B91A-5D1253EF7E7E}" sourceName="Sector">
  <extLst>
    <x:ext xmlns:x15="http://schemas.microsoft.com/office/spreadsheetml/2010/11/main" uri="{2F2917AC-EB37-4324-AD4E-5DD8C200BD13}">
      <x15:tableSlicerCache tableId="1" column="1"/>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Indicator" xr10:uid="{C0744141-2F18-4A9A-A684-676F6E84A8AF}" sourceName="Indicator">
  <extLst>
    <x:ext xmlns:x15="http://schemas.microsoft.com/office/spreadsheetml/2010/11/main" uri="{2F2917AC-EB37-4324-AD4E-5DD8C200BD13}">
      <x15:tableSlicerCache tableId="1" column="2"/>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Disaggregations" xr10:uid="{BFAF9C2D-8729-44B0-A9FA-88FFA8CC260C}" sourceName="Disaggregations">
  <extLst>
    <x:ext xmlns:x15="http://schemas.microsoft.com/office/spreadsheetml/2010/11/main" uri="{2F2917AC-EB37-4324-AD4E-5DD8C200BD13}">
      <x15:tableSlicerCache tableId="1" column="3"/>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ector" xr10:uid="{3E662B40-D2B6-480A-9EC4-29F9A70314D9}" cache="Slicer_Sector" caption="Sector" startItem="4" style="SlicerStyleLight2" rowHeight="234950"/>
  <slicer name="Indicator" xr10:uid="{A1864908-DA44-4F52-8B89-B0C5D77928A4}" cache="Slicer_Indicator" caption="Indicator" style="SlicerStyleLight2" rowHeight="234950"/>
  <slicer name="Disaggregations" xr10:uid="{1C6CC6F2-B4D5-44AC-86D4-DA9FC41BE9B0}" cache="Slicer_Disaggregations" caption="Disaggregations" startItem="3" style="SlicerStyleLight2" rowHeight="23495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7E43EFF-820E-42A3-89D2-54EA1F30C095}" name="Table1" displayName="Table1" ref="A7:E255" totalsRowShown="0" headerRowDxfId="1" headerRowBorderDxfId="0">
  <autoFilter ref="A7:E255" xr:uid="{C7E43EFF-820E-42A3-89D2-54EA1F30C095}"/>
  <tableColumns count="5">
    <tableColumn id="1" xr3:uid="{B035EB01-6536-47A1-82CF-135BEAB34AA9}" name="Sector"/>
    <tableColumn id="2" xr3:uid="{CA6F18EF-3F45-4B88-BF18-F95B50569CE4}" name="Indicator"/>
    <tableColumn id="3" xr3:uid="{6035555E-09D1-4533-AADC-B0F1C67C2188}" name="Disaggregations"/>
    <tableColumn id="4" xr3:uid="{F188111E-0C0A-4089-9ED1-5E5DA81A54B8}" name="ID"/>
    <tableColumn id="5" xr3:uid="{D687CF57-EBF7-46C1-AF47-79C8CCFB7E09}" name="Link"/>
  </tableColumns>
  <tableStyleInfo name="TableStyleMedium1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table" Target="../tables/table1.x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229C6F-A726-415E-9B65-38AAE7375478}">
  <dimension ref="A1:B14"/>
  <sheetViews>
    <sheetView tabSelected="1" topLeftCell="A5" workbookViewId="0">
      <selection activeCell="B8" sqref="B8"/>
    </sheetView>
  </sheetViews>
  <sheetFormatPr defaultRowHeight="15"/>
  <cols>
    <col min="1" max="1" width="32.85546875" customWidth="1"/>
    <col min="2" max="2" width="145.5703125" bestFit="1" customWidth="1"/>
  </cols>
  <sheetData>
    <row r="1" spans="1:2" ht="23.25">
      <c r="A1" s="30" t="s">
        <v>0</v>
      </c>
      <c r="B1" s="30"/>
    </row>
    <row r="2" spans="1:2" ht="16.5">
      <c r="A2" s="12" t="s">
        <v>1</v>
      </c>
      <c r="B2" s="12" t="s">
        <v>2</v>
      </c>
    </row>
    <row r="3" spans="1:2" ht="77.099999999999994" customHeight="1">
      <c r="A3" s="13" t="s">
        <v>3</v>
      </c>
      <c r="B3" s="14" t="s">
        <v>4</v>
      </c>
    </row>
    <row r="4" spans="1:2" ht="408">
      <c r="A4" s="15" t="s">
        <v>5</v>
      </c>
      <c r="B4" s="16" t="s">
        <v>6</v>
      </c>
    </row>
    <row r="5" spans="1:2" ht="229.5">
      <c r="A5" s="17" t="s">
        <v>7</v>
      </c>
      <c r="B5" s="18" t="s">
        <v>8</v>
      </c>
    </row>
    <row r="6" spans="1:2" ht="191.25">
      <c r="A6" s="19" t="s">
        <v>9</v>
      </c>
      <c r="B6" s="20" t="s">
        <v>10</v>
      </c>
    </row>
    <row r="7" spans="1:2" ht="96.75">
      <c r="A7" s="17" t="s">
        <v>11</v>
      </c>
      <c r="B7" s="28" t="s">
        <v>12</v>
      </c>
    </row>
    <row r="8" spans="1:2" ht="16.5">
      <c r="A8" s="29" t="s">
        <v>13</v>
      </c>
      <c r="B8" s="21" t="s">
        <v>14</v>
      </c>
    </row>
    <row r="9" spans="1:2" ht="16.5">
      <c r="A9" s="29"/>
      <c r="B9" s="21" t="s">
        <v>15</v>
      </c>
    </row>
    <row r="10" spans="1:2">
      <c r="A10" s="22"/>
      <c r="B10" s="23"/>
    </row>
    <row r="11" spans="1:2" ht="16.5">
      <c r="A11" s="24" t="s">
        <v>16</v>
      </c>
      <c r="B11" s="24" t="s">
        <v>2</v>
      </c>
    </row>
    <row r="12" spans="1:2">
      <c r="A12" s="25" t="s">
        <v>17</v>
      </c>
      <c r="B12" s="25" t="s">
        <v>18</v>
      </c>
    </row>
    <row r="13" spans="1:2" ht="25.5">
      <c r="A13" s="25" t="s">
        <v>19</v>
      </c>
      <c r="B13" s="25" t="s">
        <v>20</v>
      </c>
    </row>
    <row r="14" spans="1:2">
      <c r="A14" s="25" t="s">
        <v>21</v>
      </c>
      <c r="B14" s="25" t="s">
        <v>22</v>
      </c>
    </row>
  </sheetData>
  <mergeCells count="2">
    <mergeCell ref="A8:A9"/>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255"/>
  <sheetViews>
    <sheetView zoomScaleNormal="100" workbookViewId="0">
      <selection activeCell="C256" sqref="C256"/>
    </sheetView>
  </sheetViews>
  <sheetFormatPr defaultRowHeight="15"/>
  <cols>
    <col min="1" max="1" width="18.85546875" customWidth="1"/>
    <col min="2" max="2" width="88.42578125" customWidth="1"/>
    <col min="3" max="3" width="16.140625" customWidth="1"/>
    <col min="4" max="4" width="4.5703125" customWidth="1"/>
    <col min="5" max="5" width="139.140625" bestFit="1" customWidth="1"/>
  </cols>
  <sheetData>
    <row r="1" spans="1:5" ht="25.35" customHeight="1">
      <c r="A1" s="31" t="s">
        <v>23</v>
      </c>
      <c r="B1" s="31"/>
      <c r="C1" s="31"/>
      <c r="D1" s="31"/>
      <c r="E1" s="31"/>
    </row>
    <row r="2" spans="1:5" ht="25.5">
      <c r="A2" s="3" t="s">
        <v>24</v>
      </c>
      <c r="B2" s="2"/>
      <c r="D2" s="2"/>
      <c r="E2" s="2"/>
    </row>
    <row r="3" spans="1:5" ht="18.75">
      <c r="A3" s="4" t="s">
        <v>25</v>
      </c>
      <c r="B3" s="8" t="s">
        <v>26</v>
      </c>
      <c r="D3" s="6"/>
      <c r="E3" s="4" t="s">
        <v>27</v>
      </c>
    </row>
    <row r="4" spans="1:5" ht="18.75">
      <c r="A4" s="5"/>
      <c r="B4" s="4"/>
      <c r="C4" s="7"/>
      <c r="D4" s="6"/>
    </row>
    <row r="5" spans="1:5" ht="121.35" customHeight="1"/>
    <row r="6" spans="1:5" ht="15.75" thickBot="1"/>
    <row r="7" spans="1:5" ht="21.75" thickBot="1">
      <c r="A7" s="9" t="s">
        <v>28</v>
      </c>
      <c r="B7" s="10" t="s">
        <v>29</v>
      </c>
      <c r="C7" s="10" t="s">
        <v>30</v>
      </c>
      <c r="D7" s="10" t="s">
        <v>31</v>
      </c>
      <c r="E7" s="11" t="s">
        <v>32</v>
      </c>
    </row>
    <row r="8" spans="1:5">
      <c r="A8" t="s">
        <v>33</v>
      </c>
      <c r="B8" t="s">
        <v>34</v>
      </c>
      <c r="C8" t="s">
        <v>35</v>
      </c>
      <c r="D8">
        <v>1</v>
      </c>
      <c r="E8" t="str">
        <f>HYPERLINK("#'Data'!A1", "Age of respondents on the admin of oblast mean")</f>
        <v>Age of respondents on the admin of oblast mean</v>
      </c>
    </row>
    <row r="9" spans="1:5">
      <c r="A9" t="s">
        <v>33</v>
      </c>
      <c r="B9" t="s">
        <v>36</v>
      </c>
      <c r="C9" t="s">
        <v>37</v>
      </c>
      <c r="D9">
        <v>2</v>
      </c>
      <c r="E9" t="str">
        <f>HYPERLINK("#'Data'!A16", "A_18 Respondents Reportedly being Head of the Household (HoH)  broken down by gender of respondent on the admin of oblast perc")</f>
        <v>A_18 Respondents Reportedly being Head of the Household (HoH)  broken down by gender of respondent on the admin of oblast perc</v>
      </c>
    </row>
    <row r="10" spans="1:5">
      <c r="A10" t="s">
        <v>33</v>
      </c>
      <c r="B10" t="s">
        <v>38</v>
      </c>
      <c r="C10" t="s">
        <v>35</v>
      </c>
      <c r="D10">
        <v>3</v>
      </c>
      <c r="E10" t="str">
        <f>HYPERLINK("#'Data'!A42", "B_2 Household size on the admin of oblast mean")</f>
        <v>B_2 Household size on the admin of oblast mean</v>
      </c>
    </row>
    <row r="11" spans="1:5">
      <c r="A11" t="s">
        <v>33</v>
      </c>
      <c r="B11" t="s">
        <v>39</v>
      </c>
      <c r="C11" t="s">
        <v>35</v>
      </c>
      <c r="D11">
        <v>4</v>
      </c>
      <c r="E11" t="str">
        <f>HYPERLINK("#'Data'!A57", "B_5 Age of Household members on the admin of oblast mean")</f>
        <v>B_5 Age of Household members on the admin of oblast mean</v>
      </c>
    </row>
    <row r="12" spans="1:5">
      <c r="A12" t="s">
        <v>33</v>
      </c>
      <c r="B12" t="s">
        <v>40</v>
      </c>
      <c r="C12" t="s">
        <v>35</v>
      </c>
      <c r="D12">
        <v>5</v>
      </c>
      <c r="E12" t="str">
        <f>HYPERLINK("#'Data'!A72", "B_7 Gender of Household members on the admin of oblast perc")</f>
        <v>B_7 Gender of Household members on the admin of oblast perc</v>
      </c>
    </row>
    <row r="13" spans="1:5">
      <c r="A13" t="s">
        <v>33</v>
      </c>
      <c r="B13" t="s">
        <v>41</v>
      </c>
      <c r="C13" t="s">
        <v>35</v>
      </c>
      <c r="D13">
        <v>6</v>
      </c>
      <c r="E13" t="str">
        <f>HYPERLINK("#'Data'!A87", "B_12 Education of Heads of Households on the admin of oblast perc")</f>
        <v>B_12 Education of Heads of Households on the admin of oblast perc</v>
      </c>
    </row>
    <row r="14" spans="1:5">
      <c r="A14" t="s">
        <v>33</v>
      </c>
      <c r="B14" t="s">
        <v>41</v>
      </c>
      <c r="C14" t="s">
        <v>42</v>
      </c>
      <c r="D14">
        <v>7</v>
      </c>
      <c r="E14" t="str">
        <f>HYPERLINK("#'Data'!A102", "B_12 Education of Heads of Households broken down by rural / urban on the admin of oblast perc")</f>
        <v>B_12 Education of Heads of Households broken down by rural / urban on the admin of oblast perc</v>
      </c>
    </row>
    <row r="15" spans="1:5">
      <c r="A15" t="s">
        <v>33</v>
      </c>
      <c r="B15" t="s">
        <v>43</v>
      </c>
      <c r="C15" t="s">
        <v>35</v>
      </c>
      <c r="D15">
        <v>8</v>
      </c>
      <c r="E15" t="str">
        <f>HYPERLINK("#'Data'!A127", "E_2 Employment status of Household members on the admin of oblast perc")</f>
        <v>E_2 Employment status of Household members on the admin of oblast perc</v>
      </c>
    </row>
    <row r="16" spans="1:5">
      <c r="A16" t="s">
        <v>33</v>
      </c>
      <c r="B16" t="s">
        <v>43</v>
      </c>
      <c r="C16" t="s">
        <v>44</v>
      </c>
      <c r="D16">
        <v>9</v>
      </c>
      <c r="E16" t="str">
        <f>HYPERLINK("#'Data'!A142", "E_2 Employment status of Household members broken down by age of household members of employment age on the admin of oblast perc")</f>
        <v>E_2 Employment status of Household members broken down by age of household members of employment age on the admin of oblast perc</v>
      </c>
    </row>
    <row r="17" spans="1:5">
      <c r="A17" t="s">
        <v>33</v>
      </c>
      <c r="B17" t="s">
        <v>43</v>
      </c>
      <c r="C17" t="s">
        <v>45</v>
      </c>
      <c r="D17">
        <v>10</v>
      </c>
      <c r="E17" t="str">
        <f>HYPERLINK("#'Data'!A201", "E_2 Employment status of Household members broken down by gender of household members of employment age on the admin of oblast perc")</f>
        <v>E_2 Employment status of Household members broken down by gender of household members of employment age on the admin of oblast perc</v>
      </c>
    </row>
    <row r="18" spans="1:5">
      <c r="A18" t="s">
        <v>33</v>
      </c>
      <c r="B18" t="s">
        <v>43</v>
      </c>
      <c r="C18" t="s">
        <v>42</v>
      </c>
      <c r="D18">
        <v>11</v>
      </c>
      <c r="E18" t="str">
        <f>HYPERLINK("#'Data'!A228", "E_2 Employment status of Household members broken down by rural / urban on the admin of oblast perc")</f>
        <v>E_2 Employment status of Household members broken down by rural / urban on the admin of oblast perc</v>
      </c>
    </row>
    <row r="19" spans="1:5">
      <c r="A19" t="s">
        <v>33</v>
      </c>
      <c r="B19" t="s">
        <v>46</v>
      </c>
      <c r="C19" t="s">
        <v>35</v>
      </c>
      <c r="D19">
        <v>12</v>
      </c>
      <c r="E19" t="str">
        <f>HYPERLINK("#'Data'!A253", "E_3 Household members who reportedly sought job in the past 4 weeks  on the admin of oblast perc")</f>
        <v>E_3 Household members who reportedly sought job in the past 4 weeks  on the admin of oblast perc</v>
      </c>
    </row>
    <row r="20" spans="1:5">
      <c r="A20" t="s">
        <v>33</v>
      </c>
      <c r="B20" t="s">
        <v>46</v>
      </c>
      <c r="C20" t="s">
        <v>44</v>
      </c>
      <c r="D20">
        <v>13</v>
      </c>
      <c r="E20" t="str">
        <f>HYPERLINK("#'Data'!A268", "E_3 Household members who reportedly sought job in the past 4 weeks  broken down by age of household members of employment age on the admin of obla...")</f>
        <v>E_3 Household members who reportedly sought job in the past 4 weeks  broken down by age of household members of employment age on the admin of obla...</v>
      </c>
    </row>
    <row r="21" spans="1:5">
      <c r="A21" t="s">
        <v>33</v>
      </c>
      <c r="B21" t="s">
        <v>46</v>
      </c>
      <c r="C21" t="s">
        <v>45</v>
      </c>
      <c r="D21">
        <v>14</v>
      </c>
      <c r="E21" t="str">
        <f>HYPERLINK("#'Data'!A316", "E_3 Household members who reportedly sought job in the past 4 weeks  broken down by gender of household members of employment age on the admin of o...")</f>
        <v>E_3 Household members who reportedly sought job in the past 4 weeks  broken down by gender of household members of employment age on the admin of o...</v>
      </c>
    </row>
    <row r="22" spans="1:5">
      <c r="A22" t="s">
        <v>33</v>
      </c>
      <c r="B22" t="s">
        <v>46</v>
      </c>
      <c r="C22" t="s">
        <v>42</v>
      </c>
      <c r="D22">
        <v>15</v>
      </c>
      <c r="E22" t="str">
        <f>HYPERLINK("#'Data'!A343", "E_3 Household members who reportedly sought job in the past 4 weeks  broken down by rural / urban on the admin of oblast perc")</f>
        <v>E_3 Household members who reportedly sought job in the past 4 weeks  broken down by rural / urban on the admin of oblast perc</v>
      </c>
    </row>
    <row r="23" spans="1:5">
      <c r="A23" t="s">
        <v>33</v>
      </c>
      <c r="B23" t="s">
        <v>47</v>
      </c>
      <c r="C23" t="s">
        <v>35</v>
      </c>
      <c r="D23">
        <v>16</v>
      </c>
      <c r="E23" t="str">
        <f>HYPERLINK("#'Data'!A368", "E_4 Employment barriers faced by household members that sought job in the last 4 weeks on the admin of oblast perc")</f>
        <v>E_4 Employment barriers faced by household members that sought job in the last 4 weeks on the admin of oblast perc</v>
      </c>
    </row>
    <row r="24" spans="1:5">
      <c r="A24" t="s">
        <v>33</v>
      </c>
      <c r="B24" t="s">
        <v>47</v>
      </c>
      <c r="C24" t="s">
        <v>44</v>
      </c>
      <c r="D24">
        <v>17</v>
      </c>
      <c r="E24" t="str">
        <f>HYPERLINK("#'Data'!A383", "E_4 Employment barriers faced by household members that sought job in the last 4 weeks broken down by age of household members of employment age on...")</f>
        <v>E_4 Employment barriers faced by household members that sought job in the last 4 weeks broken down by age of household members of employment age on...</v>
      </c>
    </row>
    <row r="25" spans="1:5">
      <c r="A25" t="s">
        <v>33</v>
      </c>
      <c r="B25" t="s">
        <v>47</v>
      </c>
      <c r="C25" t="s">
        <v>45</v>
      </c>
      <c r="D25">
        <v>18</v>
      </c>
      <c r="E25" t="str">
        <f>HYPERLINK("#'Data'!A427", "E_4 Employment barriers faced by household members that sought job in the last 4 weeks broken down by gender of household members of employment age...")</f>
        <v>E_4 Employment barriers faced by household members that sought job in the last 4 weeks broken down by gender of household members of employment age...</v>
      </c>
    </row>
    <row r="26" spans="1:5">
      <c r="A26" t="s">
        <v>33</v>
      </c>
      <c r="B26" t="s">
        <v>47</v>
      </c>
      <c r="C26" t="s">
        <v>42</v>
      </c>
      <c r="D26">
        <v>19</v>
      </c>
      <c r="E26" t="str">
        <f>HYPERLINK("#'Data'!A454", "E_4 Employment barriers faced by household members that sought job in the last 4 weeks broken down by rural / urban on the admin of oblast perc")</f>
        <v>E_4 Employment barriers faced by household members that sought job in the last 4 weeks broken down by rural / urban on the admin of oblast perc</v>
      </c>
    </row>
    <row r="27" spans="1:5">
      <c r="A27" t="s">
        <v>48</v>
      </c>
      <c r="B27" t="s">
        <v>49</v>
      </c>
      <c r="C27" t="s">
        <v>35</v>
      </c>
      <c r="D27">
        <v>20</v>
      </c>
      <c r="E27" t="str">
        <f>HYPERLINK("#'Data'!A479", "B_8 Medical Facility where a newborn was born on the admin of oblast perc")</f>
        <v>B_8 Medical Facility where a newborn was born on the admin of oblast perc</v>
      </c>
    </row>
    <row r="28" spans="1:5">
      <c r="A28" t="s">
        <v>48</v>
      </c>
      <c r="B28" t="s">
        <v>50</v>
      </c>
      <c r="C28" t="s">
        <v>35</v>
      </c>
      <c r="D28">
        <v>21</v>
      </c>
      <c r="E28" t="str">
        <f>HYPERLINK("#'Data'!A494", "D_3 Household members that had a medical problem in the last 3 months and needed to access healthcare on the admin of oblast perc")</f>
        <v>D_3 Household members that had a medical problem in the last 3 months and needed to access healthcare on the admin of oblast perc</v>
      </c>
    </row>
    <row r="29" spans="1:5">
      <c r="A29" t="s">
        <v>48</v>
      </c>
      <c r="B29" t="s">
        <v>50</v>
      </c>
      <c r="C29" t="s">
        <v>51</v>
      </c>
      <c r="D29">
        <v>22</v>
      </c>
      <c r="E29" t="str">
        <f>HYPERLINK("#'Data'!A509", "D_3 Household members that had a medical problem in the last 3 months and needed to access healthcare broken down by age of household members on th...")</f>
        <v>D_3 Household members that had a medical problem in the last 3 months and needed to access healthcare broken down by age of household members on th...</v>
      </c>
    </row>
    <row r="30" spans="1:5">
      <c r="A30" t="s">
        <v>48</v>
      </c>
      <c r="B30" t="s">
        <v>50</v>
      </c>
      <c r="C30" t="s">
        <v>42</v>
      </c>
      <c r="D30">
        <v>23</v>
      </c>
      <c r="E30" t="str">
        <f>HYPERLINK("#'Data'!A656", "D_3 Household members that had a medical problem in the last 3 months and needed to access healthcare broken down by rural / urban on the admin of ...")</f>
        <v>D_3 Household members that had a medical problem in the last 3 months and needed to access healthcare broken down by rural / urban on the admin of ...</v>
      </c>
    </row>
    <row r="31" spans="1:5">
      <c r="A31" t="s">
        <v>48</v>
      </c>
      <c r="B31" t="s">
        <v>52</v>
      </c>
      <c r="C31" t="s">
        <v>35</v>
      </c>
      <c r="D31">
        <v>24</v>
      </c>
      <c r="E31" t="str">
        <f>HYPERLINK("#'Data'!A681", "D_5 Household members by reported ability to obtain healthcare when they needed it on the admin of oblast perc")</f>
        <v>D_5 Household members by reported ability to obtain healthcare when they needed it on the admin of oblast perc</v>
      </c>
    </row>
    <row r="32" spans="1:5">
      <c r="A32" t="s">
        <v>48</v>
      </c>
      <c r="B32" t="s">
        <v>52</v>
      </c>
      <c r="C32" t="s">
        <v>42</v>
      </c>
      <c r="D32">
        <v>25</v>
      </c>
      <c r="E32" t="str">
        <f>HYPERLINK("#'Data'!A696", "D_5 Household members by reported ability to obtain healthcare when they needed it broken down by rural / urban on the admin of oblast perc")</f>
        <v>D_5 Household members by reported ability to obtain healthcare when they needed it broken down by rural / urban on the admin of oblast perc</v>
      </c>
    </row>
    <row r="33" spans="1:5">
      <c r="A33" t="s">
        <v>48</v>
      </c>
      <c r="B33" t="s">
        <v>53</v>
      </c>
      <c r="C33" t="s">
        <v>35</v>
      </c>
      <c r="D33">
        <v>26</v>
      </c>
      <c r="E33" t="str">
        <f>HYPERLINK("#'Data'!A721", "D_4 Household members that reportedly needed healthcare by type of need on the admin of oblast perc")</f>
        <v>D_4 Household members that reportedly needed healthcare by type of need on the admin of oblast perc</v>
      </c>
    </row>
    <row r="34" spans="1:5">
      <c r="A34" t="s">
        <v>48</v>
      </c>
      <c r="B34" t="s">
        <v>53</v>
      </c>
      <c r="C34" t="s">
        <v>42</v>
      </c>
      <c r="D34">
        <v>27</v>
      </c>
      <c r="E34" t="str">
        <f>HYPERLINK("#'Data'!A736", "D_4 Household members that reportedly needed healthcare by type of need broken down by rural / urban on the admin of oblast perc")</f>
        <v>D_4 Household members that reportedly needed healthcare by type of need broken down by rural / urban on the admin of oblast perc</v>
      </c>
    </row>
    <row r="35" spans="1:5">
      <c r="A35" t="s">
        <v>48</v>
      </c>
      <c r="B35" t="s">
        <v>54</v>
      </c>
      <c r="C35" t="s">
        <v>35</v>
      </c>
      <c r="D35">
        <v>28</v>
      </c>
      <c r="E35" t="str">
        <f>HYPERLINK("#'Data'!A761", "Distance to the nearest medical facility on the admin of oblast mean")</f>
        <v>Distance to the nearest medical facility on the admin of oblast mean</v>
      </c>
    </row>
    <row r="36" spans="1:5">
      <c r="A36" t="s">
        <v>48</v>
      </c>
      <c r="B36" t="s">
        <v>55</v>
      </c>
      <c r="C36" t="s">
        <v>35</v>
      </c>
      <c r="D36">
        <v>29</v>
      </c>
      <c r="E36" t="str">
        <f>HYPERLINK("#'Data'!A776", "Households that reportedly sought any medicine in the last 3 months on the admin of oblast perc")</f>
        <v>Households that reportedly sought any medicine in the last 3 months on the admin of oblast perc</v>
      </c>
    </row>
    <row r="37" spans="1:5">
      <c r="A37" t="s">
        <v>48</v>
      </c>
      <c r="B37" t="s">
        <v>55</v>
      </c>
      <c r="C37" t="s">
        <v>42</v>
      </c>
      <c r="D37">
        <v>30</v>
      </c>
      <c r="E37" t="str">
        <f>HYPERLINK("#'Data'!A791", "Households that reportedly sought any medicine in the last 3 months broken down by rural / urban on the admin of oblast perc")</f>
        <v>Households that reportedly sought any medicine in the last 3 months broken down by rural / urban on the admin of oblast perc</v>
      </c>
    </row>
    <row r="38" spans="1:5">
      <c r="A38" t="s">
        <v>48</v>
      </c>
      <c r="B38" t="s">
        <v>56</v>
      </c>
      <c r="C38" t="s">
        <v>35</v>
      </c>
      <c r="D38">
        <v>31</v>
      </c>
      <c r="E38" t="str">
        <f>HYPERLINK("#'Data'!A816", "Households that were able to obtain the medicine they sought in the last 3 months on the admin of oblast perc")</f>
        <v>Households that were able to obtain the medicine they sought in the last 3 months on the admin of oblast perc</v>
      </c>
    </row>
    <row r="39" spans="1:5">
      <c r="A39" t="s">
        <v>48</v>
      </c>
      <c r="B39" t="s">
        <v>56</v>
      </c>
      <c r="C39" t="s">
        <v>42</v>
      </c>
      <c r="D39">
        <v>32</v>
      </c>
      <c r="E39" t="str">
        <f>HYPERLINK("#'Data'!A831", "Households that were able to obtain the medicine they sought in the last 3 months broken down by rural / urban on the admin of oblast perc")</f>
        <v>Households that were able to obtain the medicine they sought in the last 3 months broken down by rural / urban on the admin of oblast perc</v>
      </c>
    </row>
    <row r="40" spans="1:5">
      <c r="A40" t="s">
        <v>48</v>
      </c>
      <c r="B40" t="s">
        <v>57</v>
      </c>
      <c r="C40" t="s">
        <v>35</v>
      </c>
      <c r="D40">
        <v>33</v>
      </c>
      <c r="E40" t="str">
        <f>HYPERLINK("#'Data'!A856", "Households by types of medicines sought in the last 3 months on the admin of oblast perc")</f>
        <v>Households by types of medicines sought in the last 3 months on the admin of oblast perc</v>
      </c>
    </row>
    <row r="41" spans="1:5">
      <c r="A41" t="s">
        <v>48</v>
      </c>
      <c r="B41" t="s">
        <v>58</v>
      </c>
      <c r="C41" t="s">
        <v>35</v>
      </c>
      <c r="D41">
        <v>34</v>
      </c>
      <c r="E41" t="str">
        <f>HYPERLINK("#'Data'!A869", "Households that reportedly were unable to obtain medicine from Affordable Medicine Program on the admin of oblast perc")</f>
        <v>Households that reportedly were unable to obtain medicine from Affordable Medicine Program on the admin of oblast perc</v>
      </c>
    </row>
    <row r="42" spans="1:5">
      <c r="A42" t="s">
        <v>48</v>
      </c>
      <c r="B42" t="s">
        <v>59</v>
      </c>
      <c r="C42" t="s">
        <v>35</v>
      </c>
      <c r="D42">
        <v>35</v>
      </c>
      <c r="E42" t="str">
        <f>HYPERLINK("#'Data'!A882", "Households by reported reasons for not being able to obtain medicine from Affordable Medicine Program on the admin of oblast perc")</f>
        <v>Households by reported reasons for not being able to obtain medicine from Affordable Medicine Program on the admin of oblast perc</v>
      </c>
    </row>
    <row r="43" spans="1:5">
      <c r="A43" t="s">
        <v>48</v>
      </c>
      <c r="B43" t="s">
        <v>60</v>
      </c>
      <c r="C43" t="s">
        <v>35</v>
      </c>
      <c r="D43">
        <v>36</v>
      </c>
      <c r="E43" t="str">
        <f>HYPERLINK("#'Data'!A889", "Households reporting barriers while accessing healthcare/medication on the admin of oblast perc")</f>
        <v>Households reporting barriers while accessing healthcare/medication on the admin of oblast perc</v>
      </c>
    </row>
    <row r="44" spans="1:5">
      <c r="A44" t="s">
        <v>48</v>
      </c>
      <c r="B44" t="s">
        <v>61</v>
      </c>
      <c r="C44" t="s">
        <v>35</v>
      </c>
      <c r="D44">
        <v>37</v>
      </c>
      <c r="E44" t="str">
        <f>HYPERLINK("#'Data'!A904", "Households with women (12-49 y.o.) reportedly having the information on where to access sexual and reproductive health services on the admin of oblast...")</f>
        <v>Households with women (12-49 y.o.) reportedly having the information on where to access sexual and reproductive health services on the admin of oblast...</v>
      </c>
    </row>
    <row r="45" spans="1:5">
      <c r="A45" t="s">
        <v>48</v>
      </c>
      <c r="B45" t="s">
        <v>62</v>
      </c>
      <c r="C45" t="s">
        <v>35</v>
      </c>
      <c r="D45">
        <v>38</v>
      </c>
      <c r="E45" t="str">
        <f>HYPERLINK("#'Data'!A919", "Households reportedly experiencing at least 2 weeks of notable stress in the last 6 months on the admin of oblast perc")</f>
        <v>Households reportedly experiencing at least 2 weeks of notable stress in the last 6 months on the admin of oblast perc</v>
      </c>
    </row>
    <row r="46" spans="1:5">
      <c r="A46" t="s">
        <v>48</v>
      </c>
      <c r="B46" t="s">
        <v>62</v>
      </c>
      <c r="C46" t="s">
        <v>42</v>
      </c>
      <c r="D46">
        <v>39</v>
      </c>
      <c r="E46" t="str">
        <f>HYPERLINK("#'Data'!A934", "Households reportedly experiencing at least 2 weeks of notable stress in the last 6 months broken down by rural / urban on the admin of oblast perc")</f>
        <v>Households reportedly experiencing at least 2 weeks of notable stress in the last 6 months broken down by rural / urban on the admin of oblast perc</v>
      </c>
    </row>
    <row r="47" spans="1:5">
      <c r="A47" t="s">
        <v>48</v>
      </c>
      <c r="B47" t="s">
        <v>63</v>
      </c>
      <c r="C47" t="s">
        <v>35</v>
      </c>
      <c r="D47">
        <v>41</v>
      </c>
      <c r="E47" t="str">
        <f>HYPERLINK("#'Data'!A959", "Households reportedly experiencing at least 2 weeks of depressed mood in the last 6 months on the admin of oblast perc")</f>
        <v>Households reportedly experiencing at least 2 weeks of depressed mood in the last 6 months on the admin of oblast perc</v>
      </c>
    </row>
    <row r="48" spans="1:5">
      <c r="A48" t="s">
        <v>48</v>
      </c>
      <c r="B48" t="s">
        <v>63</v>
      </c>
      <c r="C48" t="s">
        <v>42</v>
      </c>
      <c r="D48">
        <v>42</v>
      </c>
      <c r="E48" t="str">
        <f>HYPERLINK("#'Data'!A974", "Households reportedly experiencing at least 2 weeks of depressed mood in the last 6 months broken down by rural / urban on the admin of oblast perc")</f>
        <v>Households reportedly experiencing at least 2 weeks of depressed mood in the last 6 months broken down by rural / urban on the admin of oblast perc</v>
      </c>
    </row>
    <row r="49" spans="1:5">
      <c r="A49" t="s">
        <v>48</v>
      </c>
      <c r="B49" t="s">
        <v>64</v>
      </c>
      <c r="C49" t="s">
        <v>35</v>
      </c>
      <c r="D49">
        <v>44</v>
      </c>
      <c r="E49" t="str">
        <f>HYPERLINK("#'Data'!A999", "Households reportedly experiencing at least 2 weeks of anxiety in the last 6 months on the admin of oblast perc")</f>
        <v>Households reportedly experiencing at least 2 weeks of anxiety in the last 6 months on the admin of oblast perc</v>
      </c>
    </row>
    <row r="50" spans="1:5">
      <c r="A50" t="s">
        <v>48</v>
      </c>
      <c r="B50" t="s">
        <v>64</v>
      </c>
      <c r="C50" t="s">
        <v>42</v>
      </c>
      <c r="D50">
        <v>45</v>
      </c>
      <c r="E50" t="str">
        <f>HYPERLINK("#'Data'!A1014", "Households reportedly experiencing at least 2 weeks of anxiety in the last 6 months broken down by rural / urban on the admin of oblast perc")</f>
        <v>Households reportedly experiencing at least 2 weeks of anxiety in the last 6 months broken down by rural / urban on the admin of oblast perc</v>
      </c>
    </row>
    <row r="51" spans="1:5">
      <c r="A51" t="s">
        <v>48</v>
      </c>
      <c r="B51" t="s">
        <v>65</v>
      </c>
      <c r="C51" t="s">
        <v>35</v>
      </c>
      <c r="D51">
        <v>47</v>
      </c>
      <c r="E51" t="str">
        <f>HYPERLINK("#'Data'!A1039", "Households that reportedly have at least 1 member that has registered disability on the admin of oblast perc")</f>
        <v>Households that reportedly have at least 1 member that has registered disability on the admin of oblast perc</v>
      </c>
    </row>
    <row r="52" spans="1:5">
      <c r="A52" t="s">
        <v>48</v>
      </c>
      <c r="B52" t="s">
        <v>65</v>
      </c>
      <c r="C52" t="s">
        <v>42</v>
      </c>
      <c r="D52">
        <v>48</v>
      </c>
      <c r="E52" t="str">
        <f>HYPERLINK("#'Data'!A1054", "Households that reportedly have at least 1 member that has registered disability broken down by rural / urban on the admin of oblast perc")</f>
        <v>Households that reportedly have at least 1 member that has registered disability broken down by rural / urban on the admin of oblast perc</v>
      </c>
    </row>
    <row r="53" spans="1:5">
      <c r="A53" t="s">
        <v>48</v>
      </c>
      <c r="B53" t="s">
        <v>66</v>
      </c>
      <c r="C53" t="s">
        <v>35</v>
      </c>
      <c r="D53">
        <v>49</v>
      </c>
      <c r="E53" t="str">
        <f>HYPERLINK("#'Data'!A1079", "Households that reportedly have at least 1 member that has difficulties seeing on the admin of oblast perc")</f>
        <v>Households that reportedly have at least 1 member that has difficulties seeing on the admin of oblast perc</v>
      </c>
    </row>
    <row r="54" spans="1:5">
      <c r="A54" t="s">
        <v>48</v>
      </c>
      <c r="B54" t="s">
        <v>67</v>
      </c>
      <c r="C54" t="s">
        <v>35</v>
      </c>
      <c r="D54">
        <v>50</v>
      </c>
      <c r="E54" t="str">
        <f>HYPERLINK("#'Data'!A1094", "Households that reportedly have at least 1 member that has difficulties hearing on the admin of oblast perc")</f>
        <v>Households that reportedly have at least 1 member that has difficulties hearing on the admin of oblast perc</v>
      </c>
    </row>
    <row r="55" spans="1:5">
      <c r="A55" t="s">
        <v>48</v>
      </c>
      <c r="B55" t="s">
        <v>68</v>
      </c>
      <c r="C55" t="s">
        <v>35</v>
      </c>
      <c r="D55">
        <v>51</v>
      </c>
      <c r="E55" t="str">
        <f>HYPERLINK("#'Data'!A1109", "Households that reportedly have at least 1 member that has difficulties walking on the admin of oblast perc")</f>
        <v>Households that reportedly have at least 1 member that has difficulties walking on the admin of oblast perc</v>
      </c>
    </row>
    <row r="56" spans="1:5">
      <c r="A56" t="s">
        <v>48</v>
      </c>
      <c r="B56" t="s">
        <v>69</v>
      </c>
      <c r="C56" t="s">
        <v>35</v>
      </c>
      <c r="D56">
        <v>52</v>
      </c>
      <c r="E56" t="str">
        <f>HYPERLINK("#'Data'!A1124", "Households that reportedly have at least 1 member that has difficulties concentrating on the admin of oblast perc")</f>
        <v>Households that reportedly have at least 1 member that has difficulties concentrating on the admin of oblast perc</v>
      </c>
    </row>
    <row r="57" spans="1:5">
      <c r="A57" t="s">
        <v>48</v>
      </c>
      <c r="B57" t="s">
        <v>70</v>
      </c>
      <c r="C57" t="s">
        <v>35</v>
      </c>
      <c r="D57">
        <v>53</v>
      </c>
      <c r="E57" t="str">
        <f>HYPERLINK("#'Data'!A1139", "Households that reportedly have at least 1 member that has difficulties with self-care on the admin of oblast perc")</f>
        <v>Households that reportedly have at least 1 member that has difficulties with self-care on the admin of oblast perc</v>
      </c>
    </row>
    <row r="58" spans="1:5">
      <c r="A58" t="s">
        <v>48</v>
      </c>
      <c r="B58" t="s">
        <v>71</v>
      </c>
      <c r="C58" t="s">
        <v>35</v>
      </c>
      <c r="D58">
        <v>54</v>
      </c>
      <c r="E58" t="str">
        <f>HYPERLINK("#'Data'!A1154", "Households that reportedly have at least 1 member that has difficulties communicating on the admin of oblast perc")</f>
        <v>Households that reportedly have at least 1 member that has difficulties communicating on the admin of oblast perc</v>
      </c>
    </row>
    <row r="59" spans="1:5">
      <c r="A59" t="s">
        <v>72</v>
      </c>
      <c r="B59" t="s">
        <v>73</v>
      </c>
      <c r="C59" t="s">
        <v>35</v>
      </c>
      <c r="D59">
        <v>55</v>
      </c>
      <c r="E59" t="str">
        <f>HYPERLINK("#'Data'!A1169", "Households separated for three months or more due to reasons related to the war on the admin of oblast perc")</f>
        <v>Households separated for three months or more due to reasons related to the war on the admin of oblast perc</v>
      </c>
    </row>
    <row r="60" spans="1:5">
      <c r="A60" t="s">
        <v>72</v>
      </c>
      <c r="B60" t="s">
        <v>74</v>
      </c>
      <c r="C60" t="s">
        <v>35</v>
      </c>
      <c r="D60">
        <v>56</v>
      </c>
      <c r="E60" t="str">
        <f>HYPERLINK("#'Data'!A1184", "Households that moved abroad for at least 14 days on the admin of oblast perc")</f>
        <v>Households that moved abroad for at least 14 days on the admin of oblast perc</v>
      </c>
    </row>
    <row r="61" spans="1:5">
      <c r="A61" t="s">
        <v>72</v>
      </c>
      <c r="B61" t="s">
        <v>75</v>
      </c>
      <c r="C61" t="s">
        <v>35</v>
      </c>
      <c r="D61">
        <v>57</v>
      </c>
      <c r="E61" t="str">
        <f>HYPERLINK("#'Data'!A1199", "IDP households and households displaced within settlement duration in current place of residence on the admin of oblast perc")</f>
        <v>IDP households and households displaced within settlement duration in current place of residence on the admin of oblast perc</v>
      </c>
    </row>
    <row r="62" spans="1:5">
      <c r="A62" t="s">
        <v>72</v>
      </c>
      <c r="B62" t="s">
        <v>76</v>
      </c>
      <c r="C62" t="s">
        <v>35</v>
      </c>
      <c r="D62">
        <v>60</v>
      </c>
      <c r="E62" t="str">
        <f>HYPERLINK("#'Data'!A1214", "Households reporting their movement intentions for the next 12 months on the admin of oblast perc")</f>
        <v>Households reporting their movement intentions for the next 12 months on the admin of oblast perc</v>
      </c>
    </row>
    <row r="63" spans="1:5">
      <c r="A63" t="s">
        <v>72</v>
      </c>
      <c r="B63" t="s">
        <v>76</v>
      </c>
      <c r="C63" t="s">
        <v>42</v>
      </c>
      <c r="D63">
        <v>61</v>
      </c>
      <c r="E63" t="str">
        <f>HYPERLINK("#'Data'!A1229", "Households reporting their movement intentions for the next 12 months broken down by rural / urban on the admin of oblast perc")</f>
        <v>Households reporting their movement intentions for the next 12 months broken down by rural / urban on the admin of oblast perc</v>
      </c>
    </row>
    <row r="64" spans="1:5">
      <c r="A64" t="s">
        <v>72</v>
      </c>
      <c r="B64" t="s">
        <v>77</v>
      </c>
      <c r="C64" t="s">
        <v>35</v>
      </c>
      <c r="D64">
        <v>63</v>
      </c>
      <c r="E64" t="str">
        <f>HYPERLINK("#'Data'!A1254", "Households that reportedly have registered IDP members on the admin of oblast perc")</f>
        <v>Households that reportedly have registered IDP members on the admin of oblast perc</v>
      </c>
    </row>
    <row r="65" spans="1:5">
      <c r="A65" t="s">
        <v>78</v>
      </c>
      <c r="B65" t="s">
        <v>79</v>
      </c>
      <c r="C65" t="s">
        <v>35</v>
      </c>
      <c r="D65">
        <v>64</v>
      </c>
      <c r="E65" t="str">
        <f>HYPERLINK("#'Data'!A1269", "Household members (5-18 y.o) reportedly attending school or early education program during 2023-2024 years on the admin of oblast perc")</f>
        <v>Household members (5-18 y.o) reportedly attending school or early education program during 2023-2024 years on the admin of oblast perc</v>
      </c>
    </row>
    <row r="66" spans="1:5">
      <c r="A66" t="s">
        <v>78</v>
      </c>
      <c r="B66" t="s">
        <v>79</v>
      </c>
      <c r="C66" t="s">
        <v>42</v>
      </c>
      <c r="D66">
        <v>65</v>
      </c>
      <c r="E66" t="str">
        <f>HYPERLINK("#'Data'!A1284", "Household members (5-18 y.o) reportedly attending school or early education program during 2023-2024 years broken down by rural / urban on the admi...")</f>
        <v>Household members (5-18 y.o) reportedly attending school or early education program during 2023-2024 years broken down by rural / urban on the admi...</v>
      </c>
    </row>
    <row r="67" spans="1:5">
      <c r="A67" t="s">
        <v>78</v>
      </c>
      <c r="B67" t="s">
        <v>80</v>
      </c>
      <c r="C67" t="s">
        <v>35</v>
      </c>
      <c r="D67">
        <v>67</v>
      </c>
      <c r="E67" t="str">
        <f>HYPERLINK("#'Data'!A1309", "Household members (5-18 y.o) who attended school by learning modality on the admin of oblast perc")</f>
        <v>Household members (5-18 y.o) who attended school by learning modality on the admin of oblast perc</v>
      </c>
    </row>
    <row r="68" spans="1:5">
      <c r="A68" t="s">
        <v>78</v>
      </c>
      <c r="B68" t="s">
        <v>80</v>
      </c>
      <c r="C68" t="s">
        <v>42</v>
      </c>
      <c r="D68">
        <v>68</v>
      </c>
      <c r="E68" t="str">
        <f>HYPERLINK("#'Data'!A1324", "Household members (5-18 y.o) who attended school by learning modality broken down by rural / urban on the admin of oblast perc")</f>
        <v>Household members (5-18 y.o) who attended school by learning modality broken down by rural / urban on the admin of oblast perc</v>
      </c>
    </row>
    <row r="69" spans="1:5">
      <c r="A69" t="s">
        <v>78</v>
      </c>
      <c r="B69" t="s">
        <v>81</v>
      </c>
      <c r="C69" t="s">
        <v>35</v>
      </c>
      <c r="D69">
        <v>70</v>
      </c>
      <c r="E69" t="str">
        <f>HYPERLINK("#'Data'!A1349", "Household members (5-18 y.o) who attended school by grade on the admin of oblast perc")</f>
        <v>Household members (5-18 y.o) who attended school by grade on the admin of oblast perc</v>
      </c>
    </row>
    <row r="70" spans="1:5">
      <c r="A70" t="s">
        <v>78</v>
      </c>
      <c r="B70" t="s">
        <v>82</v>
      </c>
      <c r="C70" t="s">
        <v>35</v>
      </c>
      <c r="D70">
        <v>71</v>
      </c>
      <c r="E70" t="str">
        <f>HYPERLINK("#'Data'!A1364", "Household members (5-18 y.o) reporting reasons for not attending schools on the admin of oblast perc")</f>
        <v>Household members (5-18 y.o) reporting reasons for not attending schools on the admin of oblast perc</v>
      </c>
    </row>
    <row r="71" spans="1:5">
      <c r="A71" t="s">
        <v>78</v>
      </c>
      <c r="B71" t="s">
        <v>83</v>
      </c>
      <c r="C71" t="s">
        <v>35</v>
      </c>
      <c r="D71">
        <v>72</v>
      </c>
      <c r="E71" t="str">
        <f>HYPERLINK("#'Data'!A1376", "Households with school-aged children (5-18 y.o) that reported education disruption because of displacement/evacuation on the admin of oblast perc")</f>
        <v>Households with school-aged children (5-18 y.o) that reported education disruption because of displacement/evacuation on the admin of oblast perc</v>
      </c>
    </row>
    <row r="72" spans="1:5">
      <c r="A72" t="s">
        <v>78</v>
      </c>
      <c r="B72" t="s">
        <v>83</v>
      </c>
      <c r="C72" t="s">
        <v>42</v>
      </c>
      <c r="D72">
        <v>73</v>
      </c>
      <c r="E72" t="str">
        <f>HYPERLINK("#'Data'!A1391", "Households with school-aged children (5-18 y.o) that reported education disruption because of displacement/evacuation broken down by rural / urban ...")</f>
        <v>Households with school-aged children (5-18 y.o) that reported education disruption because of displacement/evacuation broken down by rural / urban ...</v>
      </c>
    </row>
    <row r="73" spans="1:5">
      <c r="A73" t="s">
        <v>78</v>
      </c>
      <c r="B73" t="s">
        <v>84</v>
      </c>
      <c r="C73" t="s">
        <v>35</v>
      </c>
      <c r="D73">
        <v>75</v>
      </c>
      <c r="E73" t="str">
        <f>HYPERLINK("#'Data'!A1416", "Households with school-aged children (5-18 y.o) that reported education disruption because of school damage on the admin of oblast perc")</f>
        <v>Households with school-aged children (5-18 y.o) that reported education disruption because of school damage on the admin of oblast perc</v>
      </c>
    </row>
    <row r="74" spans="1:5">
      <c r="A74" t="s">
        <v>78</v>
      </c>
      <c r="B74" t="s">
        <v>84</v>
      </c>
      <c r="C74" t="s">
        <v>42</v>
      </c>
      <c r="D74">
        <v>76</v>
      </c>
      <c r="E74" t="str">
        <f>HYPERLINK("#'Data'!A1431", "Households with school-aged children (5-18 y.o) that reported education disruption because of school damage broken down by rural / urban on the adm...")</f>
        <v>Households with school-aged children (5-18 y.o) that reported education disruption because of school damage broken down by rural / urban on the adm...</v>
      </c>
    </row>
    <row r="75" spans="1:5">
      <c r="A75" t="s">
        <v>78</v>
      </c>
      <c r="B75" t="s">
        <v>85</v>
      </c>
      <c r="C75" t="s">
        <v>35</v>
      </c>
      <c r="D75">
        <v>78</v>
      </c>
      <c r="E75" t="str">
        <f>HYPERLINK("#'Data'!A1453", "Households with school-aged children (5-18 y.o) that reported education disruption because of home damage on the admin of oblast perc")</f>
        <v>Households with school-aged children (5-18 y.o) that reported education disruption because of home damage on the admin of oblast perc</v>
      </c>
    </row>
    <row r="76" spans="1:5">
      <c r="A76" t="s">
        <v>78</v>
      </c>
      <c r="B76" t="s">
        <v>85</v>
      </c>
      <c r="C76" t="s">
        <v>42</v>
      </c>
      <c r="D76">
        <v>79</v>
      </c>
      <c r="E76" t="str">
        <f>HYPERLINK("#'Data'!A1468", "Households with school-aged children (5-18 y.o) that reported education disruption because of home damage broken down by rural / urban on the admin...")</f>
        <v>Households with school-aged children (5-18 y.o) that reported education disruption because of home damage broken down by rural / urban on the admin...</v>
      </c>
    </row>
    <row r="77" spans="1:5">
      <c r="A77" t="s">
        <v>78</v>
      </c>
      <c r="B77" t="s">
        <v>86</v>
      </c>
      <c r="C77" t="s">
        <v>35</v>
      </c>
      <c r="D77">
        <v>81</v>
      </c>
      <c r="E77" t="str">
        <f>HYPERLINK("#'Data'!A1493", "Households with school-aged children (5-18 y.o) that reported education disruption because of missile attack on the admin of oblast perc")</f>
        <v>Households with school-aged children (5-18 y.o) that reported education disruption because of missile attack on the admin of oblast perc</v>
      </c>
    </row>
    <row r="78" spans="1:5">
      <c r="A78" t="s">
        <v>78</v>
      </c>
      <c r="B78" t="s">
        <v>86</v>
      </c>
      <c r="C78" t="s">
        <v>42</v>
      </c>
      <c r="D78">
        <v>82</v>
      </c>
      <c r="E78" t="str">
        <f>HYPERLINK("#'Data'!A1508", "Households with school-aged children (5-18 y.o) that reported education disruption because of missile attack broken down by rural / urban on the ad...")</f>
        <v>Households with school-aged children (5-18 y.o) that reported education disruption because of missile attack broken down by rural / urban on the ad...</v>
      </c>
    </row>
    <row r="79" spans="1:5">
      <c r="A79" t="s">
        <v>78</v>
      </c>
      <c r="B79" t="s">
        <v>87</v>
      </c>
      <c r="C79" t="s">
        <v>35</v>
      </c>
      <c r="D79">
        <v>84</v>
      </c>
      <c r="E79" t="str">
        <f>HYPERLINK("#'Data'!A1533", "Households reporting time they spent supporting school-aged children with education on the admin of oblast mean")</f>
        <v>Households reporting time they spent supporting school-aged children with education on the admin of oblast mean</v>
      </c>
    </row>
    <row r="80" spans="1:5">
      <c r="A80" t="s">
        <v>88</v>
      </c>
      <c r="B80" t="s">
        <v>89</v>
      </c>
      <c r="C80" t="s">
        <v>35</v>
      </c>
      <c r="D80">
        <v>85</v>
      </c>
      <c r="E80" t="str">
        <f>HYPERLINK("#'Data'!A1548", "Households reporting types of expenditures they had in the last 30 days before DC on the admin of oblast perc")</f>
        <v>Households reporting types of expenditures they had in the last 30 days before DC on the admin of oblast perc</v>
      </c>
    </row>
    <row r="81" spans="1:5">
      <c r="A81" t="s">
        <v>88</v>
      </c>
      <c r="B81" t="s">
        <v>89</v>
      </c>
      <c r="C81" t="s">
        <v>42</v>
      </c>
      <c r="D81">
        <v>86</v>
      </c>
      <c r="E81" t="str">
        <f>HYPERLINK("#'Data'!A1563", "Households reporting types of expenditures they had in the last 30 days before DC broken down by rural / urban on the admin of oblast perc")</f>
        <v>Households reporting types of expenditures they had in the last 30 days before DC broken down by rural / urban on the admin of oblast perc</v>
      </c>
    </row>
    <row r="82" spans="1:5">
      <c r="A82" t="s">
        <v>88</v>
      </c>
      <c r="B82" t="s">
        <v>90</v>
      </c>
      <c r="C82" t="s">
        <v>35</v>
      </c>
      <c r="D82">
        <v>88</v>
      </c>
      <c r="E82" t="str">
        <f>HYPERLINK("#'Data'!A1588", "Household Domestic Expenditure over the last 30 days, by type and amount on the admin of oblast ")</f>
        <v xml:space="preserve">Household Domestic Expenditure over the last 30 days, by type and amount on the admin of oblast </v>
      </c>
    </row>
    <row r="83" spans="1:5">
      <c r="A83" t="s">
        <v>88</v>
      </c>
      <c r="B83" t="s">
        <v>90</v>
      </c>
      <c r="C83" t="s">
        <v>42</v>
      </c>
      <c r="D83">
        <v>99</v>
      </c>
      <c r="E83" t="str">
        <f>HYPERLINK("#'Data'!A1603", "Household Domestic Expenditure over the last 30 days, by type and amount broken down by rural / urban on the admin of oblast ")</f>
        <v xml:space="preserve">Household Domestic Expenditure over the last 30 days, by type and amount broken down by rural / urban on the admin of oblast </v>
      </c>
    </row>
    <row r="84" spans="1:5">
      <c r="A84" t="s">
        <v>88</v>
      </c>
      <c r="B84" t="s">
        <v>91</v>
      </c>
      <c r="C84" t="s">
        <v>35</v>
      </c>
      <c r="D84">
        <v>121</v>
      </c>
      <c r="E84" t="str">
        <f>HYPERLINK("#'Data'!A1628", "Estimated Household's Domestic Expenditure on Heating during the last winter on the admin of oblast mean")</f>
        <v>Estimated Household's Domestic Expenditure on Heating during the last winter on the admin of oblast mean</v>
      </c>
    </row>
    <row r="85" spans="1:5">
      <c r="A85" t="s">
        <v>88</v>
      </c>
      <c r="B85" t="s">
        <v>91</v>
      </c>
      <c r="C85" t="s">
        <v>42</v>
      </c>
      <c r="D85">
        <v>122</v>
      </c>
      <c r="E85" t="str">
        <f>HYPERLINK("#'Data'!A1643", "Estimated Household's Domestic Expenditure on Heating during the last winter broken down by rural / urban on the admin of oblast mean")</f>
        <v>Estimated Household's Domestic Expenditure on Heating during the last winter broken down by rural / urban on the admin of oblast mean</v>
      </c>
    </row>
    <row r="86" spans="1:5">
      <c r="A86" t="s">
        <v>88</v>
      </c>
      <c r="B86" t="s">
        <v>92</v>
      </c>
      <c r="C86" t="s">
        <v>35</v>
      </c>
      <c r="D86">
        <v>124</v>
      </c>
      <c r="E86" t="str">
        <f>HYPERLINK("#'Data'!A1668", "Households reporting types of expenditures they had in the last 6 months before DC on the admin of oblast perc")</f>
        <v>Households reporting types of expenditures they had in the last 6 months before DC on the admin of oblast perc</v>
      </c>
    </row>
    <row r="87" spans="1:5">
      <c r="A87" t="s">
        <v>88</v>
      </c>
      <c r="B87" t="s">
        <v>92</v>
      </c>
      <c r="C87" t="s">
        <v>42</v>
      </c>
      <c r="D87">
        <v>125</v>
      </c>
      <c r="E87" t="str">
        <f>HYPERLINK("#'Data'!A1683", "Households reporting types of expenditures they had in the last 6 months before DC broken down by rural / urban on the admin of oblast perc")</f>
        <v>Households reporting types of expenditures they had in the last 6 months before DC broken down by rural / urban on the admin of oblast perc</v>
      </c>
    </row>
    <row r="88" spans="1:5">
      <c r="A88" t="s">
        <v>88</v>
      </c>
      <c r="B88" t="s">
        <v>93</v>
      </c>
      <c r="C88" t="s">
        <v>35</v>
      </c>
      <c r="D88">
        <v>127</v>
      </c>
      <c r="E88" t="str">
        <f>HYPERLINK("#'Data'!A1708", "Household Domestic Expenditure over the last 6 months by type and amount  on the admin of oblast ")</f>
        <v xml:space="preserve">Household Domestic Expenditure over the last 6 months by type and amount  on the admin of oblast </v>
      </c>
    </row>
    <row r="89" spans="1:5">
      <c r="A89" t="s">
        <v>88</v>
      </c>
      <c r="B89" t="s">
        <v>93</v>
      </c>
      <c r="C89" t="s">
        <v>42</v>
      </c>
      <c r="D89">
        <v>133</v>
      </c>
      <c r="E89" t="str">
        <f>HYPERLINK("#'Data'!A1723", "Household Domestic Expenditure over the last 6 months by type and amount  broken down by rural / urban on the admin of ...")</f>
        <v>Household Domestic Expenditure over the last 6 months by type and amount  broken down by rural / urban on the admin of ...</v>
      </c>
    </row>
    <row r="90" spans="1:5">
      <c r="A90" t="s">
        <v>88</v>
      </c>
      <c r="B90" t="s">
        <v>94</v>
      </c>
      <c r="C90" t="s">
        <v>35</v>
      </c>
      <c r="D90">
        <v>145</v>
      </c>
      <c r="E90" t="str">
        <f>HYPERLINK("#'Data'!A1747", "Total monthly expenditure PER CAPITA among those who reported any expenditure on the admin of oblast mean")</f>
        <v>Total monthly expenditure PER CAPITA among those who reported any expenditure on the admin of oblast mean</v>
      </c>
    </row>
    <row r="91" spans="1:5">
      <c r="A91" t="s">
        <v>88</v>
      </c>
      <c r="B91" t="s">
        <v>94</v>
      </c>
      <c r="C91" t="s">
        <v>42</v>
      </c>
      <c r="D91">
        <v>146</v>
      </c>
      <c r="E91" t="str">
        <f>HYPERLINK("#'Data'!A1762", "Total monthly expenditure PER CAPITA among those who reported any expenditure broken down by rural / urban on the admin of oblast mean")</f>
        <v>Total monthly expenditure PER CAPITA among those who reported any expenditure broken down by rural / urban on the admin of oblast mean</v>
      </c>
    </row>
    <row r="92" spans="1:5">
      <c r="A92" t="s">
        <v>88</v>
      </c>
      <c r="B92" t="s">
        <v>95</v>
      </c>
      <c r="C92" t="s">
        <v>35</v>
      </c>
      <c r="D92">
        <v>148</v>
      </c>
      <c r="E92" t="str">
        <f>HYPERLINK("#'Data'!A1787", "Total monthly expenditure among those who reported any expenditure on the admin of oblast mean")</f>
        <v>Total monthly expenditure among those who reported any expenditure on the admin of oblast mean</v>
      </c>
    </row>
    <row r="93" spans="1:5">
      <c r="A93" t="s">
        <v>88</v>
      </c>
      <c r="B93" t="s">
        <v>95</v>
      </c>
      <c r="C93" t="s">
        <v>42</v>
      </c>
      <c r="D93">
        <v>149</v>
      </c>
      <c r="E93" t="str">
        <f>HYPERLINK("#'Data'!A1802", "Total monthly expenditure among those who reported any expenditure broken down by rural / urban on the admin of oblast mean")</f>
        <v>Total monthly expenditure among those who reported any expenditure broken down by rural / urban on the admin of oblast mean</v>
      </c>
    </row>
    <row r="94" spans="1:5">
      <c r="A94" t="s">
        <v>88</v>
      </c>
      <c r="B94" t="s">
        <v>96</v>
      </c>
      <c r="C94" t="s">
        <v>35</v>
      </c>
      <c r="D94">
        <v>151</v>
      </c>
      <c r="E94" t="str">
        <f>HYPERLINK("#'Data'!A1827", "Households reporting missing non-food items on the admin of oblast perc")</f>
        <v>Households reporting missing non-food items on the admin of oblast perc</v>
      </c>
    </row>
    <row r="95" spans="1:5">
      <c r="A95" t="s">
        <v>88</v>
      </c>
      <c r="B95" t="s">
        <v>96</v>
      </c>
      <c r="C95" t="s">
        <v>42</v>
      </c>
      <c r="D95">
        <v>152</v>
      </c>
      <c r="E95" t="str">
        <f>HYPERLINK("#'Data'!A1842", "Households reporting missing non-food items broken down by rural / urban on the admin of oblast perc")</f>
        <v>Households reporting missing non-food items broken down by rural / urban on the admin of oblast perc</v>
      </c>
    </row>
    <row r="96" spans="1:5">
      <c r="A96" t="s">
        <v>88</v>
      </c>
      <c r="B96" t="s">
        <v>97</v>
      </c>
      <c r="C96" t="s">
        <v>35</v>
      </c>
      <c r="D96">
        <v>154</v>
      </c>
      <c r="E96" t="str">
        <f>HYPERLINK("#'Data'!A1867", "Primary Income Sources Reported by Households Over the Last 30 Days Prior to DC on the admin of oblast perc")</f>
        <v>Primary Income Sources Reported by Households Over the Last 30 Days Prior to DC on the admin of oblast perc</v>
      </c>
    </row>
    <row r="97" spans="1:5">
      <c r="A97" t="s">
        <v>88</v>
      </c>
      <c r="B97" t="s">
        <v>97</v>
      </c>
      <c r="C97" t="s">
        <v>42</v>
      </c>
      <c r="D97">
        <v>155</v>
      </c>
      <c r="E97" t="str">
        <f>HYPERLINK("#'Data'!A1882", "Primary Income Sources Reported by Households Over the Last 30 Days Prior to DC broken down by rural / urban on the admin of oblast perc")</f>
        <v>Primary Income Sources Reported by Households Over the Last 30 Days Prior to DC broken down by rural / urban on the admin of oblast perc</v>
      </c>
    </row>
    <row r="98" spans="1:5">
      <c r="A98" t="s">
        <v>88</v>
      </c>
      <c r="B98" t="s">
        <v>98</v>
      </c>
      <c r="C98" t="s">
        <v>35</v>
      </c>
      <c r="D98">
        <v>157</v>
      </c>
      <c r="E98" t="str">
        <f>HYPERLINK("#'Data'!A1907", "Household income over the 30 days prior to data collection, by types of income source on the admin of oblast ")</f>
        <v xml:space="preserve">Household income over the 30 days prior to data collection, by types of income source on the admin of oblast </v>
      </c>
    </row>
    <row r="99" spans="1:5">
      <c r="A99" t="s">
        <v>88</v>
      </c>
      <c r="B99" t="s">
        <v>98</v>
      </c>
      <c r="C99" t="s">
        <v>42</v>
      </c>
      <c r="D99">
        <v>170</v>
      </c>
      <c r="E99" t="str">
        <f>HYPERLINK("#'Data'!A1922", "Household income over the 30 days prior to data collection, by types of income source broken down by rural / urban on the admin of obla...")</f>
        <v>Household income over the 30 days prior to data collection, by types of income source broken down by rural / urban on the admin of obla...</v>
      </c>
    </row>
    <row r="100" spans="1:5">
      <c r="A100" t="s">
        <v>88</v>
      </c>
      <c r="B100" t="s">
        <v>99</v>
      </c>
      <c r="C100" t="s">
        <v>35</v>
      </c>
      <c r="D100">
        <v>196</v>
      </c>
      <c r="E100" t="str">
        <f>HYPERLINK("#'Data'!A1947", "Total income per capita among those who reported any income on the admin of oblast mean")</f>
        <v>Total income per capita among those who reported any income on the admin of oblast mean</v>
      </c>
    </row>
    <row r="101" spans="1:5">
      <c r="A101" t="s">
        <v>88</v>
      </c>
      <c r="B101" t="s">
        <v>99</v>
      </c>
      <c r="C101" t="s">
        <v>42</v>
      </c>
      <c r="D101">
        <v>197</v>
      </c>
      <c r="E101" t="str">
        <f>HYPERLINK("#'Data'!A1962", "Total income per capita among those who reported any income broken down by rural / urban on the admin of oblast mean")</f>
        <v>Total income per capita among those who reported any income broken down by rural / urban on the admin of oblast mean</v>
      </c>
    </row>
    <row r="102" spans="1:5">
      <c r="A102" t="s">
        <v>88</v>
      </c>
      <c r="B102" t="s">
        <v>100</v>
      </c>
      <c r="C102" t="s">
        <v>35</v>
      </c>
      <c r="D102">
        <v>199</v>
      </c>
      <c r="E102" t="str">
        <f>HYPERLINK("#'Data'!A1987", "Household income over the 30 days prior to data collection, by types of income source Per Capita on the admin of oblast ")</f>
        <v xml:space="preserve">Household income over the 30 days prior to data collection, by types of income source Per Capita on the admin of oblast </v>
      </c>
    </row>
    <row r="103" spans="1:5">
      <c r="A103" t="s">
        <v>88</v>
      </c>
      <c r="B103" t="s">
        <v>100</v>
      </c>
      <c r="C103" t="s">
        <v>42</v>
      </c>
      <c r="D103">
        <v>212</v>
      </c>
      <c r="E103" t="str">
        <f>HYPERLINK("#'Data'!A2002", "Household income over the 30 days prior to data collection, by types of income source Per Capita broken down by rural / urban on the ad...")</f>
        <v>Household income over the 30 days prior to data collection, by types of income source Per Capita broken down by rural / urban on the ad...</v>
      </c>
    </row>
    <row r="104" spans="1:5">
      <c r="A104" t="s">
        <v>88</v>
      </c>
      <c r="B104" t="s">
        <v>101</v>
      </c>
      <c r="C104" t="s">
        <v>35</v>
      </c>
      <c r="D104">
        <v>238</v>
      </c>
      <c r="E104" t="str">
        <f>HYPERLINK("#'Data'!A2027", "Total income per household among those who reported any income on the admin of oblast mean")</f>
        <v>Total income per household among those who reported any income on the admin of oblast mean</v>
      </c>
    </row>
    <row r="105" spans="1:5">
      <c r="A105" t="s">
        <v>88</v>
      </c>
      <c r="B105" t="s">
        <v>101</v>
      </c>
      <c r="C105" t="s">
        <v>42</v>
      </c>
      <c r="D105">
        <v>239</v>
      </c>
      <c r="E105" t="str">
        <f>HYPERLINK("#'Data'!A2042", "Total income per household among those who reported any income broken down by rural / urban on the admin of oblast mean")</f>
        <v>Total income per household among those who reported any income broken down by rural / urban on the admin of oblast mean</v>
      </c>
    </row>
    <row r="106" spans="1:5">
      <c r="A106" t="s">
        <v>88</v>
      </c>
      <c r="B106" t="s">
        <v>102</v>
      </c>
      <c r="C106" t="s">
        <v>35</v>
      </c>
      <c r="D106">
        <v>241</v>
      </c>
      <c r="E106" t="str">
        <f>HYPERLINK("#'Data'!A2067", "Households that have borrowed money that they still have to pay back on the admin of oblast perc")</f>
        <v>Households that have borrowed money that they still have to pay back on the admin of oblast perc</v>
      </c>
    </row>
    <row r="107" spans="1:5">
      <c r="A107" t="s">
        <v>88</v>
      </c>
      <c r="B107" t="s">
        <v>102</v>
      </c>
      <c r="C107" t="s">
        <v>42</v>
      </c>
      <c r="D107">
        <v>242</v>
      </c>
      <c r="E107" t="str">
        <f>HYPERLINK("#'Data'!A2082", "Households that have borrowed money that they still have to pay back broken down by rural / urban on the admin of oblast perc")</f>
        <v>Households that have borrowed money that they still have to pay back broken down by rural / urban on the admin of oblast perc</v>
      </c>
    </row>
    <row r="108" spans="1:5">
      <c r="A108" t="s">
        <v>88</v>
      </c>
      <c r="B108" t="s">
        <v>103</v>
      </c>
      <c r="C108" t="s">
        <v>35</v>
      </c>
      <c r="D108">
        <v>243</v>
      </c>
      <c r="E108" t="str">
        <f>HYPERLINK("#'Data'!A2107", "Households reporting reasons why they took on debt since February 2022 on the admin of oblast perc")</f>
        <v>Households reporting reasons why they took on debt since February 2022 on the admin of oblast perc</v>
      </c>
    </row>
    <row r="109" spans="1:5">
      <c r="A109" t="s">
        <v>88</v>
      </c>
      <c r="B109" t="s">
        <v>103</v>
      </c>
      <c r="C109" t="s">
        <v>42</v>
      </c>
      <c r="D109">
        <v>244</v>
      </c>
      <c r="E109" t="str">
        <f>HYPERLINK("#'Data'!A2122", "Households reporting reasons why they took on debt since February 2022 broken down by rural / urban on the admin of oblast perc")</f>
        <v>Households reporting reasons why they took on debt since February 2022 broken down by rural / urban on the admin of oblast perc</v>
      </c>
    </row>
    <row r="110" spans="1:5">
      <c r="A110" t="s">
        <v>88</v>
      </c>
      <c r="B110" t="s">
        <v>104</v>
      </c>
      <c r="C110" t="s">
        <v>35</v>
      </c>
      <c r="D110">
        <v>245</v>
      </c>
      <c r="E110" t="str">
        <f>HYPERLINK("#'Data'!A2147", "Households reporting barriers while accessing markets on the admin of oblast perc")</f>
        <v>Households reporting barriers while accessing markets on the admin of oblast perc</v>
      </c>
    </row>
    <row r="111" spans="1:5">
      <c r="A111" t="s">
        <v>88</v>
      </c>
      <c r="B111" t="s">
        <v>105</v>
      </c>
      <c r="C111" t="s">
        <v>35</v>
      </c>
      <c r="D111">
        <v>246</v>
      </c>
      <c r="E111" t="str">
        <f>HYPERLINK("#'Data'!A2162", "Households adopting Livelihood Coping Strategies, by strategy on the admin of oblast ")</f>
        <v xml:space="preserve">Households adopting Livelihood Coping Strategies, by strategy on the admin of oblast </v>
      </c>
    </row>
    <row r="112" spans="1:5">
      <c r="A112" t="s">
        <v>88</v>
      </c>
      <c r="B112" t="s">
        <v>105</v>
      </c>
      <c r="C112" t="s">
        <v>42</v>
      </c>
      <c r="D112">
        <v>256</v>
      </c>
      <c r="E112" t="str">
        <f>HYPERLINK("#'Data'!A2209", "Households adopting Livelihood Coping Strategies, by strategy broken down by rural / urban on the admin of oblast ")</f>
        <v xml:space="preserve">Households adopting Livelihood Coping Strategies, by strategy broken down by rural / urban on the admin of oblast </v>
      </c>
    </row>
    <row r="113" spans="1:5">
      <c r="A113" t="s">
        <v>88</v>
      </c>
      <c r="B113" t="s">
        <v>106</v>
      </c>
      <c r="C113" t="s">
        <v>35</v>
      </c>
      <c r="D113">
        <v>276</v>
      </c>
      <c r="E113" t="str">
        <f>HYPERLINK("#'Data'!A2284", "Main Reasons Households Reported for Using Livelihood Coping Strategies  on the admin of oblast perc")</f>
        <v>Main Reasons Households Reported for Using Livelihood Coping Strategies  on the admin of oblast perc</v>
      </c>
    </row>
    <row r="114" spans="1:5">
      <c r="A114" t="s">
        <v>88</v>
      </c>
      <c r="B114" t="s">
        <v>106</v>
      </c>
      <c r="C114" t="s">
        <v>42</v>
      </c>
      <c r="D114">
        <v>277</v>
      </c>
      <c r="E114" t="str">
        <f>HYPERLINK("#'Data'!A2299", "Main Reasons Households Reported for Using Livelihood Coping Strategies  broken down by rural / urban on the admin of oblast perc")</f>
        <v>Main Reasons Households Reported for Using Livelihood Coping Strategies  broken down by rural / urban on the admin of oblast perc</v>
      </c>
    </row>
    <row r="115" spans="1:5">
      <c r="A115" t="s">
        <v>88</v>
      </c>
      <c r="B115" t="s">
        <v>107</v>
      </c>
      <c r="C115" t="s">
        <v>35</v>
      </c>
      <c r="D115">
        <v>279</v>
      </c>
      <c r="E115" t="str">
        <f>HYPERLINK("#'Data'!A2324", "Livelihood Coping Strategy - Essential Needs (LCS-EN) on the admin of oblast perc")</f>
        <v>Livelihood Coping Strategy - Essential Needs (LCS-EN) on the admin of oblast perc</v>
      </c>
    </row>
    <row r="116" spans="1:5">
      <c r="A116" t="s">
        <v>88</v>
      </c>
      <c r="B116" t="s">
        <v>107</v>
      </c>
      <c r="C116" t="s">
        <v>42</v>
      </c>
      <c r="D116">
        <v>280</v>
      </c>
      <c r="E116" t="str">
        <f>HYPERLINK("#'Data'!A2339", "Livelihood Coping Strategy - Essential Needs (LCS-EN) broken down by rural / urban on the admin of oblast perc")</f>
        <v>Livelihood Coping Strategy - Essential Needs (LCS-EN) broken down by rural / urban on the admin of oblast perc</v>
      </c>
    </row>
    <row r="117" spans="1:5">
      <c r="A117" t="s">
        <v>108</v>
      </c>
      <c r="B117" t="s">
        <v>109</v>
      </c>
      <c r="C117" t="s">
        <v>35</v>
      </c>
      <c r="D117">
        <v>282</v>
      </c>
      <c r="E117" t="str">
        <f>HYPERLINK("#'Data'!A2364", "Security Factors that reportedly influenced households' sense of safety on the admin of oblast perc")</f>
        <v>Security Factors that reportedly influenced households' sense of safety on the admin of oblast perc</v>
      </c>
    </row>
    <row r="118" spans="1:5">
      <c r="A118" t="s">
        <v>108</v>
      </c>
      <c r="B118" t="s">
        <v>109</v>
      </c>
      <c r="C118" t="s">
        <v>45</v>
      </c>
      <c r="D118">
        <v>283</v>
      </c>
      <c r="E118" t="str">
        <f>HYPERLINK("#'Data'!A2379", "Security Factors that reportedly influenced households' sense of safety broken down by gender of respondent on the admin of oblast perc")</f>
        <v>Security Factors that reportedly influenced households' sense of safety broken down by gender of respondent on the admin of oblast perc</v>
      </c>
    </row>
    <row r="119" spans="1:5">
      <c r="A119" t="s">
        <v>108</v>
      </c>
      <c r="B119" t="s">
        <v>109</v>
      </c>
      <c r="C119" t="s">
        <v>42</v>
      </c>
      <c r="D119">
        <v>284</v>
      </c>
      <c r="E119" t="str">
        <f>HYPERLINK("#'Data'!A2405", "Security Factors that reportedly influenced households' sense of safety broken down by rural / urban on the admin of oblast perc")</f>
        <v>Security Factors that reportedly influenced households' sense of safety broken down by rural / urban on the admin of oblast perc</v>
      </c>
    </row>
    <row r="120" spans="1:5">
      <c r="A120" t="s">
        <v>108</v>
      </c>
      <c r="B120" t="s">
        <v>110</v>
      </c>
      <c r="C120" t="s">
        <v>35</v>
      </c>
      <c r="D120">
        <v>286</v>
      </c>
      <c r="E120" t="str">
        <f>HYPERLINK("#'Data'!A2430", "Reasons why social tension or discrimination impacted households' sense of safety on the admin of oblast perc")</f>
        <v>Reasons why social tension or discrimination impacted households' sense of safety on the admin of oblast perc</v>
      </c>
    </row>
    <row r="121" spans="1:5">
      <c r="A121" t="s">
        <v>108</v>
      </c>
      <c r="B121" t="s">
        <v>111</v>
      </c>
      <c r="C121" t="s">
        <v>35</v>
      </c>
      <c r="D121">
        <v>287</v>
      </c>
      <c r="E121" t="str">
        <f>HYPERLINK("#'Data'!A2445", "Households that reported being concerned about having any HH member engaging in risky activities due to the economic needs on the admin of oblast perc")</f>
        <v>Households that reported being concerned about having any HH member engaging in risky activities due to the economic needs on the admin of oblast perc</v>
      </c>
    </row>
    <row r="122" spans="1:5">
      <c r="A122" t="s">
        <v>108</v>
      </c>
      <c r="B122" t="s">
        <v>111</v>
      </c>
      <c r="C122" t="s">
        <v>45</v>
      </c>
      <c r="D122">
        <v>288</v>
      </c>
      <c r="E122" t="str">
        <f>HYPERLINK("#'Data'!A2460", "Households that reported being concerned about having any HH member engaging in risky activities due to the economic needs broken down by gender of...")</f>
        <v>Households that reported being concerned about having any HH member engaging in risky activities due to the economic needs broken down by gender of...</v>
      </c>
    </row>
    <row r="123" spans="1:5">
      <c r="A123" t="s">
        <v>108</v>
      </c>
      <c r="B123" t="s">
        <v>111</v>
      </c>
      <c r="C123" t="s">
        <v>42</v>
      </c>
      <c r="D123">
        <v>289</v>
      </c>
      <c r="E123" t="str">
        <f>HYPERLINK("#'Data'!A2486", "Households that reported being concerned about having any HH member engaging in risky activities due to the economic needs broken down by rural / u...")</f>
        <v>Households that reported being concerned about having any HH member engaging in risky activities due to the economic needs broken down by rural / u...</v>
      </c>
    </row>
    <row r="124" spans="1:5">
      <c r="A124" t="s">
        <v>112</v>
      </c>
      <c r="B124" t="s">
        <v>113</v>
      </c>
      <c r="C124" t="s">
        <v>35</v>
      </c>
      <c r="D124">
        <v>291</v>
      </c>
      <c r="E124" t="str">
        <f>HYPERLINK("#'Data'!A2511", "Households that reported being concerned about being forced to flee their home on the admin of oblast perc")</f>
        <v>Households that reported being concerned about being forced to flee their home on the admin of oblast perc</v>
      </c>
    </row>
    <row r="125" spans="1:5">
      <c r="A125" t="s">
        <v>112</v>
      </c>
      <c r="B125" t="s">
        <v>113</v>
      </c>
      <c r="C125" t="s">
        <v>45</v>
      </c>
      <c r="D125">
        <v>292</v>
      </c>
      <c r="E125" t="str">
        <f>HYPERLINK("#'Data'!A2526", "Households that reported being concerned about being forced to flee their home broken down by gender of respondent on the admin of oblast perc")</f>
        <v>Households that reported being concerned about being forced to flee their home broken down by gender of respondent on the admin of oblast perc</v>
      </c>
    </row>
    <row r="126" spans="1:5">
      <c r="A126" t="s">
        <v>108</v>
      </c>
      <c r="B126" t="s">
        <v>113</v>
      </c>
      <c r="C126" t="s">
        <v>42</v>
      </c>
      <c r="D126">
        <v>293</v>
      </c>
      <c r="E126" t="str">
        <f>HYPERLINK("#'Data'!A2552", "Households that reported being concerned about being forced to flee their home broken down by rural / urban on the admin of oblast perc")</f>
        <v>Households that reported being concerned about being forced to flee their home broken down by rural / urban on the admin of oblast perc</v>
      </c>
    </row>
    <row r="127" spans="1:5">
      <c r="A127" t="s">
        <v>108</v>
      </c>
      <c r="B127" t="s">
        <v>114</v>
      </c>
      <c r="C127" t="s">
        <v>35</v>
      </c>
      <c r="D127">
        <v>295</v>
      </c>
      <c r="E127" t="str">
        <f>HYPERLINK("#'Data'!A2577", "Security factors that reportedly influenced sense of safety of WOMEN in community on the admin of oblast perc")</f>
        <v>Security factors that reportedly influenced sense of safety of WOMEN in community on the admin of oblast perc</v>
      </c>
    </row>
    <row r="128" spans="1:5">
      <c r="A128" t="s">
        <v>108</v>
      </c>
      <c r="B128" t="s">
        <v>114</v>
      </c>
      <c r="C128" t="s">
        <v>37</v>
      </c>
      <c r="D128">
        <v>296</v>
      </c>
      <c r="E128" t="str">
        <f>HYPERLINK("#'Data'!A2592", "Security factors that reportedly influenced sense of safety of WOMEN in community broken down by gender of respondent on the admin of oblast perc")</f>
        <v>Security factors that reportedly influenced sense of safety of WOMEN in community broken down by gender of respondent on the admin of oblast perc</v>
      </c>
    </row>
    <row r="129" spans="1:5">
      <c r="A129" t="s">
        <v>108</v>
      </c>
      <c r="B129" t="s">
        <v>114</v>
      </c>
      <c r="C129" t="s">
        <v>42</v>
      </c>
      <c r="D129">
        <v>297</v>
      </c>
      <c r="E129" t="str">
        <f>HYPERLINK("#'Data'!A2618", "Security factors that reportedly influenced sense of safety of WOMEN in community broken down by rural / urban on the admin of oblast perc")</f>
        <v>Security factors that reportedly influenced sense of safety of WOMEN in community broken down by rural / urban on the admin of oblast perc</v>
      </c>
    </row>
    <row r="130" spans="1:5">
      <c r="A130" t="s">
        <v>108</v>
      </c>
      <c r="B130" t="s">
        <v>115</v>
      </c>
      <c r="C130" t="s">
        <v>35</v>
      </c>
      <c r="D130">
        <v>299</v>
      </c>
      <c r="E130" t="str">
        <f>HYPERLINK("#'Data'!A2643", "Households with women that reportedly feel unsafe walking in community on the admin of oblast perc")</f>
        <v>Households with women that reportedly feel unsafe walking in community on the admin of oblast perc</v>
      </c>
    </row>
    <row r="131" spans="1:5">
      <c r="A131" t="s">
        <v>108</v>
      </c>
      <c r="B131" t="s">
        <v>116</v>
      </c>
      <c r="C131" t="s">
        <v>35</v>
      </c>
      <c r="D131">
        <v>300</v>
      </c>
      <c r="E131" t="str">
        <f>HYPERLINK("#'Data'!A2658", "Places women reportedly avoid because of security concerns on the admin of oblast perc")</f>
        <v>Places women reportedly avoid because of security concerns on the admin of oblast perc</v>
      </c>
    </row>
    <row r="132" spans="1:5">
      <c r="A132" t="s">
        <v>108</v>
      </c>
      <c r="B132" t="s">
        <v>117</v>
      </c>
      <c r="C132" t="s">
        <v>35</v>
      </c>
      <c r="D132">
        <v>301</v>
      </c>
      <c r="E132" t="str">
        <f>HYPERLINK("#'Data'!A2673", "Security factors that reportedly influenced sense of safety of MEN in community on the admin of oblast perc")</f>
        <v>Security factors that reportedly influenced sense of safety of MEN in community on the admin of oblast perc</v>
      </c>
    </row>
    <row r="133" spans="1:5">
      <c r="A133" t="s">
        <v>108</v>
      </c>
      <c r="B133" t="s">
        <v>117</v>
      </c>
      <c r="C133" t="s">
        <v>37</v>
      </c>
      <c r="D133">
        <v>302</v>
      </c>
      <c r="E133" t="str">
        <f>HYPERLINK("#'Data'!A2688", "Security factors that reportedly influenced sense of safety of MEN in community broken down by gender of respondent on the admin of oblast perc")</f>
        <v>Security factors that reportedly influenced sense of safety of MEN in community broken down by gender of respondent on the admin of oblast perc</v>
      </c>
    </row>
    <row r="134" spans="1:5">
      <c r="A134" t="s">
        <v>108</v>
      </c>
      <c r="B134" t="s">
        <v>117</v>
      </c>
      <c r="C134" t="s">
        <v>42</v>
      </c>
      <c r="D134">
        <v>303</v>
      </c>
      <c r="E134" t="str">
        <f>HYPERLINK("#'Data'!A2714", "Security factors that reportedly influenced sense of safety of MEN in community broken down by rural / urban on the admin of oblast perc")</f>
        <v>Security factors that reportedly influenced sense of safety of MEN in community broken down by rural / urban on the admin of oblast perc</v>
      </c>
    </row>
    <row r="135" spans="1:5">
      <c r="A135" t="s">
        <v>108</v>
      </c>
      <c r="B135" t="s">
        <v>118</v>
      </c>
      <c r="C135" t="s">
        <v>35</v>
      </c>
      <c r="D135">
        <v>305</v>
      </c>
      <c r="E135" t="str">
        <f>HYPERLINK("#'Data'!A2739", "Security factors that reportedly influenced sense of safety of CHILDREN in community on the admin of oblast perc")</f>
        <v>Security factors that reportedly influenced sense of safety of CHILDREN in community on the admin of oblast perc</v>
      </c>
    </row>
    <row r="136" spans="1:5">
      <c r="A136" t="s">
        <v>108</v>
      </c>
      <c r="B136" t="s">
        <v>118</v>
      </c>
      <c r="C136" t="s">
        <v>37</v>
      </c>
      <c r="D136">
        <v>306</v>
      </c>
      <c r="E136" t="str">
        <f>HYPERLINK("#'Data'!A2754", "Security factors that reportedly influenced sense of safety of CHILDREN in community broken down by gender of respondent on the admin of oblast per...")</f>
        <v>Security factors that reportedly influenced sense of safety of CHILDREN in community broken down by gender of respondent on the admin of oblast per...</v>
      </c>
    </row>
    <row r="137" spans="1:5">
      <c r="A137" t="s">
        <v>108</v>
      </c>
      <c r="B137" t="s">
        <v>118</v>
      </c>
      <c r="C137" t="s">
        <v>119</v>
      </c>
      <c r="D137">
        <v>307</v>
      </c>
      <c r="E137" t="str">
        <f>HYPERLINK("#'Data'!A2780", "Security factors that reportedly influenced sense of safety of CHILDREN in community broken down by presence of children on the admin of oblast per...")</f>
        <v>Security factors that reportedly influenced sense of safety of CHILDREN in community broken down by presence of children on the admin of oblast per...</v>
      </c>
    </row>
    <row r="138" spans="1:5">
      <c r="A138" t="s">
        <v>108</v>
      </c>
      <c r="B138" t="s">
        <v>118</v>
      </c>
      <c r="C138" t="s">
        <v>42</v>
      </c>
      <c r="D138">
        <v>308</v>
      </c>
      <c r="E138" t="str">
        <f>HYPERLINK("#'Data'!A2806", "Security factors that reportedly influenced sense of safety of CHILDREN in community broken down by rural / urban on the admin of oblast perc")</f>
        <v>Security factors that reportedly influenced sense of safety of CHILDREN in community broken down by rural / urban on the admin of oblast perc</v>
      </c>
    </row>
    <row r="139" spans="1:5">
      <c r="A139" t="s">
        <v>108</v>
      </c>
      <c r="B139" t="s">
        <v>120</v>
      </c>
      <c r="C139" t="s">
        <v>35</v>
      </c>
      <c r="D139">
        <v>310</v>
      </c>
      <c r="E139" t="str">
        <f>HYPERLINK("#'Data'!A2831", "Housing/land/property (HLP) concerns households reported experiencing on the admin of oblast perc")</f>
        <v>Housing/land/property (HLP) concerns households reported experiencing on the admin of oblast perc</v>
      </c>
    </row>
    <row r="140" spans="1:5">
      <c r="A140" t="s">
        <v>108</v>
      </c>
      <c r="B140" t="s">
        <v>120</v>
      </c>
      <c r="C140" t="s">
        <v>42</v>
      </c>
      <c r="D140">
        <v>311</v>
      </c>
      <c r="E140" t="str">
        <f>HYPERLINK("#'Data'!A2846", "Housing/land/property (HLP) concerns households reported experiencing broken down by rural / urban on the admin of oblast perc")</f>
        <v>Housing/land/property (HLP) concerns households reported experiencing broken down by rural / urban on the admin of oblast perc</v>
      </c>
    </row>
    <row r="141" spans="1:5">
      <c r="A141" t="s">
        <v>108</v>
      </c>
      <c r="B141" t="s">
        <v>121</v>
      </c>
      <c r="C141" t="s">
        <v>35</v>
      </c>
      <c r="D141">
        <v>313</v>
      </c>
      <c r="E141" t="str">
        <f>HYPERLINK("#'Data'!A2871", "Number of times Household members reportedly were trained on safe behaviours towards Explosive Ordnances  on the admin of oblast mean")</f>
        <v>Number of times Household members reportedly were trained on safe behaviours towards Explosive Ordnances  on the admin of oblast mean</v>
      </c>
    </row>
    <row r="142" spans="1:5">
      <c r="A142" t="s">
        <v>108</v>
      </c>
      <c r="B142" t="s">
        <v>122</v>
      </c>
      <c r="C142" t="s">
        <v>35</v>
      </c>
      <c r="D142">
        <v>314</v>
      </c>
      <c r="E142" t="str">
        <f>HYPERLINK("#'Data'!A2886", "Households Reporting Explosive Ordnance Currently Present in their Community on the admin of oblast perc")</f>
        <v>Households Reporting Explosive Ordnance Currently Present in their Community on the admin of oblast perc</v>
      </c>
    </row>
    <row r="143" spans="1:5">
      <c r="A143" t="s">
        <v>108</v>
      </c>
      <c r="B143" t="s">
        <v>123</v>
      </c>
      <c r="C143" t="s">
        <v>35</v>
      </c>
      <c r="D143">
        <v>315</v>
      </c>
      <c r="E143" t="str">
        <f>HYPERLINK("#'Data'!A2901", "Households Reporting that Explosive Ordnance Affect the Livelihoods of People within their Community on the admin of oblast perc")</f>
        <v>Households Reporting that Explosive Ordnance Affect the Livelihoods of People within their Community on the admin of oblast perc</v>
      </c>
    </row>
    <row r="144" spans="1:5">
      <c r="A144" t="s">
        <v>112</v>
      </c>
      <c r="B144" t="s">
        <v>124</v>
      </c>
      <c r="C144" t="s">
        <v>35</v>
      </c>
      <c r="D144">
        <v>316</v>
      </c>
      <c r="E144" t="str">
        <f>HYPERLINK("#'Data'!A2916", "Households describing their shelter situation on the admin of oblast perc")</f>
        <v>Households describing their shelter situation on the admin of oblast perc</v>
      </c>
    </row>
    <row r="145" spans="1:5">
      <c r="A145" t="s">
        <v>112</v>
      </c>
      <c r="B145" t="s">
        <v>124</v>
      </c>
      <c r="C145" t="s">
        <v>42</v>
      </c>
      <c r="D145">
        <v>317</v>
      </c>
      <c r="E145" t="str">
        <f>HYPERLINK("#'Data'!A2931", "Households describing their shelter situation broken down by rural / urban on the admin of oblast perc")</f>
        <v>Households describing their shelter situation broken down by rural / urban on the admin of oblast perc</v>
      </c>
    </row>
    <row r="146" spans="1:5">
      <c r="A146" t="s">
        <v>112</v>
      </c>
      <c r="B146" t="s">
        <v>125</v>
      </c>
      <c r="C146" t="s">
        <v>35</v>
      </c>
      <c r="D146">
        <v>319</v>
      </c>
      <c r="E146" t="str">
        <f>HYPERLINK("#'Data'!A2956", "Households reporting type of shelter they live in on the admin of oblast perc")</f>
        <v>Households reporting type of shelter they live in on the admin of oblast perc</v>
      </c>
    </row>
    <row r="147" spans="1:5">
      <c r="A147" t="s">
        <v>112</v>
      </c>
      <c r="B147" t="s">
        <v>125</v>
      </c>
      <c r="C147" t="s">
        <v>42</v>
      </c>
      <c r="D147">
        <v>320</v>
      </c>
      <c r="E147" t="str">
        <f>HYPERLINK("#'Data'!A2971", "Households reporting type of shelter they live in broken down by rural / urban on the admin of oblast perc")</f>
        <v>Households reporting type of shelter they live in broken down by rural / urban on the admin of oblast perc</v>
      </c>
    </row>
    <row r="148" spans="1:5">
      <c r="A148" t="s">
        <v>112</v>
      </c>
      <c r="B148" t="s">
        <v>126</v>
      </c>
      <c r="C148" t="s">
        <v>35</v>
      </c>
      <c r="D148">
        <v>322</v>
      </c>
      <c r="E148" t="str">
        <f>HYPERLINK("#'Data'!A2996", "Households reporting number of square meters in their shelter on the admin of oblast mean")</f>
        <v>Households reporting number of square meters in their shelter on the admin of oblast mean</v>
      </c>
    </row>
    <row r="149" spans="1:5">
      <c r="A149" t="s">
        <v>112</v>
      </c>
      <c r="B149" t="s">
        <v>126</v>
      </c>
      <c r="C149" t="s">
        <v>42</v>
      </c>
      <c r="D149">
        <v>323</v>
      </c>
      <c r="E149" t="str">
        <f>HYPERLINK("#'Data'!A3011", "Households reporting number of square meters in their shelter broken down by rural / urban on the admin of oblast mean")</f>
        <v>Households reporting number of square meters in their shelter broken down by rural / urban on the admin of oblast mean</v>
      </c>
    </row>
    <row r="150" spans="1:5">
      <c r="A150" t="s">
        <v>112</v>
      </c>
      <c r="B150" t="s">
        <v>127</v>
      </c>
      <c r="C150" t="s">
        <v>35</v>
      </c>
      <c r="D150">
        <v>325</v>
      </c>
      <c r="E150" t="str">
        <f>HYPERLINK("#'Data'!A3036", "Households reporting number of individuals living in their current shelter on the admin of oblast mean")</f>
        <v>Households reporting number of individuals living in their current shelter on the admin of oblast mean</v>
      </c>
    </row>
    <row r="151" spans="1:5">
      <c r="A151" t="s">
        <v>112</v>
      </c>
      <c r="B151" t="s">
        <v>127</v>
      </c>
      <c r="C151" t="s">
        <v>42</v>
      </c>
      <c r="D151">
        <v>326</v>
      </c>
      <c r="E151" t="str">
        <f>HYPERLINK("#'Data'!A3051", "Households reporting number of individuals living in their current shelter broken down by rural / urban on the admin of oblast mean")</f>
        <v>Households reporting number of individuals living in their current shelter broken down by rural / urban on the admin of oblast mean</v>
      </c>
    </row>
    <row r="152" spans="1:5">
      <c r="A152" t="s">
        <v>112</v>
      </c>
      <c r="B152" t="s">
        <v>128</v>
      </c>
      <c r="C152" t="s">
        <v>35</v>
      </c>
      <c r="D152">
        <v>328</v>
      </c>
      <c r="E152" t="str">
        <f>HYPERLINK("#'Data'!A3076", "Shelter overcrowding on the admin of oblast mean")</f>
        <v>Shelter overcrowding on the admin of oblast mean</v>
      </c>
    </row>
    <row r="153" spans="1:5">
      <c r="A153" t="s">
        <v>112</v>
      </c>
      <c r="B153" t="s">
        <v>128</v>
      </c>
      <c r="C153" t="s">
        <v>42</v>
      </c>
      <c r="D153">
        <v>329</v>
      </c>
      <c r="E153" t="str">
        <f>HYPERLINK("#'Data'!A3091", "Shelter overcrowding broken down by rural / urban on the admin of oblast mean")</f>
        <v>Shelter overcrowding broken down by rural / urban on the admin of oblast mean</v>
      </c>
    </row>
    <row r="154" spans="1:5">
      <c r="A154" t="s">
        <v>112</v>
      </c>
      <c r="B154" t="s">
        <v>129</v>
      </c>
      <c r="C154" t="s">
        <v>35</v>
      </c>
      <c r="D154">
        <v>331</v>
      </c>
      <c r="E154" t="str">
        <f>HYPERLINK("#'Data'!A3116", "Households reporting occupancy arrangement of their shelter on the admin of oblast perc")</f>
        <v>Households reporting occupancy arrangement of their shelter on the admin of oblast perc</v>
      </c>
    </row>
    <row r="155" spans="1:5">
      <c r="A155" t="s">
        <v>112</v>
      </c>
      <c r="B155" t="s">
        <v>129</v>
      </c>
      <c r="C155" t="s">
        <v>42</v>
      </c>
      <c r="D155">
        <v>332</v>
      </c>
      <c r="E155" t="str">
        <f>HYPERLINK("#'Data'!A3131", "Households reporting occupancy arrangement of their shelter broken down by rural / urban on the admin of oblast perc")</f>
        <v>Households reporting occupancy arrangement of their shelter broken down by rural / urban on the admin of oblast perc</v>
      </c>
    </row>
    <row r="156" spans="1:5">
      <c r="A156" t="s">
        <v>112</v>
      </c>
      <c r="B156" t="s">
        <v>130</v>
      </c>
      <c r="C156" t="s">
        <v>35</v>
      </c>
      <c r="D156">
        <v>334</v>
      </c>
      <c r="E156" t="str">
        <f>HYPERLINK("#'Data'!A3156", "Households reporting risk of being evicted from their shelter on the admin of oblast perc")</f>
        <v>Households reporting risk of being evicted from their shelter on the admin of oblast perc</v>
      </c>
    </row>
    <row r="157" spans="1:5">
      <c r="A157" t="s">
        <v>112</v>
      </c>
      <c r="B157" t="s">
        <v>130</v>
      </c>
      <c r="C157" t="s">
        <v>42</v>
      </c>
      <c r="D157">
        <v>335</v>
      </c>
      <c r="E157" t="str">
        <f>HYPERLINK("#'Data'!A3171", "Households reporting risk of being evicted from their shelter broken down by rural / urban on the admin of oblast perc")</f>
        <v>Households reporting risk of being evicted from their shelter broken down by rural / urban on the admin of oblast perc</v>
      </c>
    </row>
    <row r="158" spans="1:5">
      <c r="A158" t="s">
        <v>112</v>
      </c>
      <c r="B158" t="s">
        <v>131</v>
      </c>
      <c r="C158" t="s">
        <v>35</v>
      </c>
      <c r="D158">
        <v>337</v>
      </c>
      <c r="E158" t="str">
        <f>HYPERLINK("#'Data'!A3196", "Households reporting shelter issues that were NOT caused by the war on the admin of oblast perc")</f>
        <v>Households reporting shelter issues that were NOT caused by the war on the admin of oblast perc</v>
      </c>
    </row>
    <row r="159" spans="1:5">
      <c r="A159" t="s">
        <v>112</v>
      </c>
      <c r="B159" t="s">
        <v>131</v>
      </c>
      <c r="C159" t="s">
        <v>42</v>
      </c>
      <c r="D159">
        <v>338</v>
      </c>
      <c r="E159" t="str">
        <f>HYPERLINK("#'Data'!A3211", "Households reporting shelter issues that were NOT caused by the war broken down by rural / urban on the admin of oblast perc")</f>
        <v>Households reporting shelter issues that were NOT caused by the war broken down by rural / urban on the admin of oblast perc</v>
      </c>
    </row>
    <row r="160" spans="1:5">
      <c r="A160" t="s">
        <v>112</v>
      </c>
      <c r="B160" t="s">
        <v>132</v>
      </c>
      <c r="C160" t="s">
        <v>35</v>
      </c>
      <c r="D160">
        <v>340</v>
      </c>
      <c r="E160" t="str">
        <f>HYPERLINK("#'Data'!A3236", "Households reporting damage to their current shelter (caused by the war) on the admin of oblast perc")</f>
        <v>Households reporting damage to their current shelter (caused by the war) on the admin of oblast perc</v>
      </c>
    </row>
    <row r="161" spans="1:5">
      <c r="A161" t="s">
        <v>112</v>
      </c>
      <c r="B161" t="s">
        <v>132</v>
      </c>
      <c r="C161" t="s">
        <v>42</v>
      </c>
      <c r="D161">
        <v>341</v>
      </c>
      <c r="E161" t="str">
        <f>HYPERLINK("#'Data'!A3251", "Households reporting damage to their current shelter (caused by the war) broken down by rural / urban on the admin of oblast perc")</f>
        <v>Households reporting damage to their current shelter (caused by the war) broken down by rural / urban on the admin of oblast perc</v>
      </c>
    </row>
    <row r="162" spans="1:5">
      <c r="A162" t="s">
        <v>112</v>
      </c>
      <c r="B162" t="s">
        <v>133</v>
      </c>
      <c r="C162" t="s">
        <v>35</v>
      </c>
      <c r="D162">
        <v>343</v>
      </c>
      <c r="E162" t="str">
        <f>HYPERLINK("#'Data'!A3276", "Households assessing shelter damage in their current shelter on the admin of oblast perc")</f>
        <v>Households assessing shelter damage in their current shelter on the admin of oblast perc</v>
      </c>
    </row>
    <row r="163" spans="1:5">
      <c r="A163" t="s">
        <v>112</v>
      </c>
      <c r="B163" t="s">
        <v>133</v>
      </c>
      <c r="C163" t="s">
        <v>42</v>
      </c>
      <c r="D163">
        <v>344</v>
      </c>
      <c r="E163" t="str">
        <f>HYPERLINK("#'Data'!A3291", "Households assessing shelter damage in their current shelter broken down by rural / urban on the admin of oblast perc")</f>
        <v>Households assessing shelter damage in their current shelter broken down by rural / urban on the admin of oblast perc</v>
      </c>
    </row>
    <row r="164" spans="1:5">
      <c r="A164" t="s">
        <v>112</v>
      </c>
      <c r="B164" t="s">
        <v>134</v>
      </c>
      <c r="C164" t="s">
        <v>35</v>
      </c>
      <c r="D164">
        <v>346</v>
      </c>
      <c r="E164" t="str">
        <f>HYPERLINK("#'Data'!A3316", "Households reportedly experiencing issues while cooking on the admin of oblast perc")</f>
        <v>Households reportedly experiencing issues while cooking on the admin of oblast perc</v>
      </c>
    </row>
    <row r="165" spans="1:5">
      <c r="A165" t="s">
        <v>112</v>
      </c>
      <c r="B165" t="s">
        <v>134</v>
      </c>
      <c r="C165" t="s">
        <v>42</v>
      </c>
      <c r="D165">
        <v>347</v>
      </c>
      <c r="E165" t="str">
        <f>HYPERLINK("#'Data'!A3331", "Households reportedly experiencing issues while cooking broken down by rural / urban on the admin of oblast perc")</f>
        <v>Households reportedly experiencing issues while cooking broken down by rural / urban on the admin of oblast perc</v>
      </c>
    </row>
    <row r="166" spans="1:5">
      <c r="A166" t="s">
        <v>112</v>
      </c>
      <c r="B166" t="s">
        <v>135</v>
      </c>
      <c r="C166" t="s">
        <v>35</v>
      </c>
      <c r="D166">
        <v>349</v>
      </c>
      <c r="E166" t="str">
        <f>HYPERLINK("#'Data'!A3356", "Households reportedly experiencing issues while sleeping on the admin of oblast perc")</f>
        <v>Households reportedly experiencing issues while sleeping on the admin of oblast perc</v>
      </c>
    </row>
    <row r="167" spans="1:5">
      <c r="A167" t="s">
        <v>112</v>
      </c>
      <c r="B167" t="s">
        <v>135</v>
      </c>
      <c r="C167" t="s">
        <v>42</v>
      </c>
      <c r="D167">
        <v>350</v>
      </c>
      <c r="E167" t="str">
        <f>HYPERLINK("#'Data'!A3371", "Households reportedly experiencing issues while sleeping broken down by rural / urban on the admin of oblast perc")</f>
        <v>Households reportedly experiencing issues while sleeping broken down by rural / urban on the admin of oblast perc</v>
      </c>
    </row>
    <row r="168" spans="1:5">
      <c r="A168" t="s">
        <v>112</v>
      </c>
      <c r="B168" t="s">
        <v>136</v>
      </c>
      <c r="C168" t="s">
        <v>35</v>
      </c>
      <c r="D168">
        <v>352</v>
      </c>
      <c r="E168" t="str">
        <f>HYPERLINK("#'Data'!A3396", "Households reporting main heating source last winter on the admin of oblast perc")</f>
        <v>Households reporting main heating source last winter on the admin of oblast perc</v>
      </c>
    </row>
    <row r="169" spans="1:5">
      <c r="A169" t="s">
        <v>112</v>
      </c>
      <c r="B169" t="s">
        <v>136</v>
      </c>
      <c r="C169" t="s">
        <v>35</v>
      </c>
      <c r="D169">
        <v>353</v>
      </c>
      <c r="E169" t="str">
        <f>HYPERLINK("#'Data'!A3411", "Households reporting main heating source last winter on the admin of oblast perc")</f>
        <v>Households reporting main heating source last winter on the admin of oblast perc</v>
      </c>
    </row>
    <row r="170" spans="1:5">
      <c r="A170" t="s">
        <v>112</v>
      </c>
      <c r="B170" t="s">
        <v>136</v>
      </c>
      <c r="C170" t="s">
        <v>42</v>
      </c>
      <c r="D170">
        <v>354</v>
      </c>
      <c r="E170" t="str">
        <f>HYPERLINK("#'Data'!A3426", "Households reporting main heating source last winter broken down by rural / urban on the admin of oblast perc")</f>
        <v>Households reporting main heating source last winter broken down by rural / urban on the admin of oblast perc</v>
      </c>
    </row>
    <row r="171" spans="1:5">
      <c r="A171" t="s">
        <v>112</v>
      </c>
      <c r="B171" t="s">
        <v>137</v>
      </c>
      <c r="C171" t="s">
        <v>35</v>
      </c>
      <c r="D171">
        <v>356</v>
      </c>
      <c r="E171" t="str">
        <f>HYPERLINK("#'Data'!A3451", "Households reportedly experiencing issues while storing food on the admin of oblast perc")</f>
        <v>Households reportedly experiencing issues while storing food on the admin of oblast perc</v>
      </c>
    </row>
    <row r="172" spans="1:5">
      <c r="A172" t="s">
        <v>112</v>
      </c>
      <c r="B172" t="s">
        <v>137</v>
      </c>
      <c r="C172" t="s">
        <v>42</v>
      </c>
      <c r="D172">
        <v>357</v>
      </c>
      <c r="E172" t="str">
        <f>HYPERLINK("#'Data'!A3466", "Households reportedly experiencing issues while storing food broken down by rural / urban on the admin of oblast perc")</f>
        <v>Households reportedly experiencing issues while storing food broken down by rural / urban on the admin of oblast perc</v>
      </c>
    </row>
    <row r="173" spans="1:5">
      <c r="A173" t="s">
        <v>112</v>
      </c>
      <c r="B173" t="s">
        <v>138</v>
      </c>
      <c r="C173" t="s">
        <v>35</v>
      </c>
      <c r="D173">
        <v>359</v>
      </c>
      <c r="E173" t="str">
        <f>HYPERLINK("#'Data'!A3491", "Households reportedly experiencing issues with electricity on the admin of oblast perc")</f>
        <v>Households reportedly experiencing issues with electricity on the admin of oblast perc</v>
      </c>
    </row>
    <row r="174" spans="1:5">
      <c r="A174" t="s">
        <v>112</v>
      </c>
      <c r="B174" t="s">
        <v>138</v>
      </c>
      <c r="C174" t="s">
        <v>42</v>
      </c>
      <c r="D174">
        <v>360</v>
      </c>
      <c r="E174" t="str">
        <f>HYPERLINK("#'Data'!A3506", "Households reportedly experiencing issues with electricity broken down by rural / urban on the admin of oblast perc")</f>
        <v>Households reportedly experiencing issues with electricity broken down by rural / urban on the admin of oblast perc</v>
      </c>
    </row>
    <row r="175" spans="1:5">
      <c r="A175" t="s">
        <v>112</v>
      </c>
      <c r="B175" t="s">
        <v>139</v>
      </c>
      <c r="C175" t="s">
        <v>35</v>
      </c>
      <c r="D175">
        <v>362</v>
      </c>
      <c r="E175" t="str">
        <f>HYPERLINK("#'Data'!A3531", "Households reportedly experiencing utility interruptions on the admin of oblast perc")</f>
        <v>Households reportedly experiencing utility interruptions on the admin of oblast perc</v>
      </c>
    </row>
    <row r="176" spans="1:5">
      <c r="A176" t="s">
        <v>112</v>
      </c>
      <c r="B176" t="s">
        <v>139</v>
      </c>
      <c r="C176" t="s">
        <v>42</v>
      </c>
      <c r="D176">
        <v>363</v>
      </c>
      <c r="E176" t="str">
        <f>HYPERLINK("#'Data'!A3546", "Households reportedly experiencing utility interruptions broken down by rural / urban on the admin of oblast perc")</f>
        <v>Households reportedly experiencing utility interruptions broken down by rural / urban on the admin of oblast perc</v>
      </c>
    </row>
    <row r="177" spans="1:5">
      <c r="A177" t="s">
        <v>112</v>
      </c>
      <c r="B177" t="s">
        <v>140</v>
      </c>
      <c r="C177" t="s">
        <v>35</v>
      </c>
      <c r="D177">
        <v>365</v>
      </c>
      <c r="E177" t="str">
        <f>HYPERLINK("#'Data'!A3571", "Households reportedly having alternative energy sources  on the admin of oblast perc")</f>
        <v>Households reportedly having alternative energy sources  on the admin of oblast perc</v>
      </c>
    </row>
    <row r="178" spans="1:5">
      <c r="A178" t="s">
        <v>112</v>
      </c>
      <c r="B178" t="s">
        <v>140</v>
      </c>
      <c r="C178" t="s">
        <v>42</v>
      </c>
      <c r="D178">
        <v>366</v>
      </c>
      <c r="E178" t="str">
        <f>HYPERLINK("#'Data'!A3586", "Households reportedly having alternative energy sources  broken down by rural / urban on the admin of oblast perc")</f>
        <v>Households reportedly having alternative energy sources  broken down by rural / urban on the admin of oblast perc</v>
      </c>
    </row>
    <row r="179" spans="1:5">
      <c r="A179" t="s">
        <v>112</v>
      </c>
      <c r="B179" t="s">
        <v>141</v>
      </c>
      <c r="C179" t="s">
        <v>35</v>
      </c>
      <c r="D179">
        <v>368</v>
      </c>
      <c r="E179" t="str">
        <f>HYPERLINK("#'Data'!A3611", "Households reportedly having access to the Internet on the admin of oblast perc")</f>
        <v>Households reportedly having access to the Internet on the admin of oblast perc</v>
      </c>
    </row>
    <row r="180" spans="1:5">
      <c r="A180" t="s">
        <v>112</v>
      </c>
      <c r="B180" t="s">
        <v>141</v>
      </c>
      <c r="C180" t="s">
        <v>42</v>
      </c>
      <c r="D180">
        <v>369</v>
      </c>
      <c r="E180" t="str">
        <f>HYPERLINK("#'Data'!A3626", "Households reportedly having access to the Internet broken down by rural / urban on the admin of oblast perc")</f>
        <v>Households reportedly having access to the Internet broken down by rural / urban on the admin of oblast perc</v>
      </c>
    </row>
    <row r="181" spans="1:5">
      <c r="A181" t="s">
        <v>112</v>
      </c>
      <c r="B181" t="s">
        <v>142</v>
      </c>
      <c r="C181" t="s">
        <v>35</v>
      </c>
      <c r="D181">
        <v>371</v>
      </c>
      <c r="E181" t="str">
        <f>HYPERLINK("#'Data'!A3651", "Households reporting main source of access to the Internet on the admin of oblast perc")</f>
        <v>Households reporting main source of access to the Internet on the admin of oblast perc</v>
      </c>
    </row>
    <row r="182" spans="1:5">
      <c r="A182" t="s">
        <v>112</v>
      </c>
      <c r="B182" t="s">
        <v>142</v>
      </c>
      <c r="C182" t="s">
        <v>42</v>
      </c>
      <c r="D182">
        <v>372</v>
      </c>
      <c r="E182" t="str">
        <f>HYPERLINK("#'Data'!A3666", "Households reporting main source of access to the Internet broken down by rural / urban on the admin of oblast perc")</f>
        <v>Households reporting main source of access to the Internet broken down by rural / urban on the admin of oblast perc</v>
      </c>
    </row>
    <row r="183" spans="1:5">
      <c r="A183" t="s">
        <v>112</v>
      </c>
      <c r="B183" t="s">
        <v>143</v>
      </c>
      <c r="C183" t="s">
        <v>35</v>
      </c>
      <c r="D183">
        <v>374</v>
      </c>
      <c r="E183" t="str">
        <f>HYPERLINK("#'Data'!A3691", "Households reporting distance to the nearest bomb shelter on the admin of oblast perc")</f>
        <v>Households reporting distance to the nearest bomb shelter on the admin of oblast perc</v>
      </c>
    </row>
    <row r="184" spans="1:5">
      <c r="A184" t="s">
        <v>112</v>
      </c>
      <c r="B184" t="s">
        <v>143</v>
      </c>
      <c r="C184" t="s">
        <v>42</v>
      </c>
      <c r="D184">
        <v>375</v>
      </c>
      <c r="E184" t="str">
        <f>HYPERLINK("#'Data'!A3706", "Households reporting distance to the nearest bomb shelter broken down by rural / urban on the admin of oblast perc")</f>
        <v>Households reporting distance to the nearest bomb shelter broken down by rural / urban on the admin of oblast perc</v>
      </c>
    </row>
    <row r="185" spans="1:5">
      <c r="A185" t="s">
        <v>112</v>
      </c>
      <c r="B185" t="s">
        <v>144</v>
      </c>
      <c r="C185" t="s">
        <v>35</v>
      </c>
      <c r="D185">
        <v>377</v>
      </c>
      <c r="E185" t="str">
        <f>HYPERLINK("#'Data'!A3731", "Households reporting damage to the shelter in their area of origin (for IDP members) on the admin of oblast perc")</f>
        <v>Households reporting damage to the shelter in their area of origin (for IDP members) on the admin of oblast perc</v>
      </c>
    </row>
    <row r="186" spans="1:5">
      <c r="A186" t="s">
        <v>112</v>
      </c>
      <c r="B186" t="s">
        <v>144</v>
      </c>
      <c r="C186" t="s">
        <v>42</v>
      </c>
      <c r="D186">
        <v>378</v>
      </c>
      <c r="E186" t="str">
        <f>HYPERLINK("#'Data'!A3746", "Households reporting damage to the shelter in their area of origin (for IDP members) broken down by rural / urban on the admin of oblast perc")</f>
        <v>Households reporting damage to the shelter in their area of origin (for IDP members) broken down by rural / urban on the admin of oblast perc</v>
      </c>
    </row>
    <row r="187" spans="1:5">
      <c r="A187" t="s">
        <v>112</v>
      </c>
      <c r="B187" t="s">
        <v>145</v>
      </c>
      <c r="C187" t="s">
        <v>35</v>
      </c>
      <c r="D187">
        <v>380</v>
      </c>
      <c r="E187" t="str">
        <f>HYPERLINK("#'Data'!A3771", "Households assessing shelter damage in their shelter in area of origin on the admin of oblast perc")</f>
        <v>Households assessing shelter damage in their shelter in area of origin on the admin of oblast perc</v>
      </c>
    </row>
    <row r="188" spans="1:5">
      <c r="A188" t="s">
        <v>112</v>
      </c>
      <c r="B188" t="s">
        <v>145</v>
      </c>
      <c r="C188" t="s">
        <v>42</v>
      </c>
      <c r="D188">
        <v>381</v>
      </c>
      <c r="E188" t="str">
        <f>HYPERLINK("#'Data'!A3786", "Households assessing shelter damage in their shelter in area of origin broken down by rural / urban on the admin of oblast perc")</f>
        <v>Households assessing shelter damage in their shelter in area of origin broken down by rural / urban on the admin of oblast perc</v>
      </c>
    </row>
    <row r="189" spans="1:5">
      <c r="A189" t="s">
        <v>146</v>
      </c>
      <c r="B189" t="s">
        <v>147</v>
      </c>
      <c r="C189" t="s">
        <v>35</v>
      </c>
      <c r="D189">
        <v>383</v>
      </c>
      <c r="E189" t="str">
        <f>HYPERLINK("#'Data'!A3811", "Households reporting their main source of drinking water on the admin of oblast perc")</f>
        <v>Households reporting their main source of drinking water on the admin of oblast perc</v>
      </c>
    </row>
    <row r="190" spans="1:5">
      <c r="A190" t="s">
        <v>146</v>
      </c>
      <c r="B190" t="s">
        <v>147</v>
      </c>
      <c r="C190" t="s">
        <v>42</v>
      </c>
      <c r="D190">
        <v>384</v>
      </c>
      <c r="E190" t="str">
        <f>HYPERLINK("#'Data'!A3826", "Households reporting their main source of drinking water broken down by rural / urban on the admin of oblast perc")</f>
        <v>Households reporting their main source of drinking water broken down by rural / urban on the admin of oblast perc</v>
      </c>
    </row>
    <row r="191" spans="1:5">
      <c r="A191" t="s">
        <v>146</v>
      </c>
      <c r="B191" t="s">
        <v>148</v>
      </c>
      <c r="C191" t="s">
        <v>35</v>
      </c>
      <c r="D191">
        <v>386</v>
      </c>
      <c r="E191" t="str">
        <f>HYPERLINK("#'Data'!A3851", "Time reported by Households to Fetch Water from Main Source of Water used for Drinking overall on the admin of oblast mean")</f>
        <v>Time reported by Households to Fetch Water from Main Source of Water used for Drinking overall on the admin of oblast mean</v>
      </c>
    </row>
    <row r="192" spans="1:5">
      <c r="A192" t="s">
        <v>146</v>
      </c>
      <c r="B192" t="s">
        <v>148</v>
      </c>
      <c r="C192" t="s">
        <v>42</v>
      </c>
      <c r="D192">
        <v>387</v>
      </c>
      <c r="E192" t="str">
        <f>HYPERLINK("#'Data'!A3866", "Time reported by Households to Fetch Water from Main Source of Water used for Drinking overall broken down by rural / urban on the admin of oblast ...")</f>
        <v>Time reported by Households to Fetch Water from Main Source of Water used for Drinking overall broken down by rural / urban on the admin of oblast ...</v>
      </c>
    </row>
    <row r="193" spans="1:5">
      <c r="A193" t="s">
        <v>146</v>
      </c>
      <c r="B193" t="s">
        <v>149</v>
      </c>
      <c r="C193" t="s">
        <v>35</v>
      </c>
      <c r="D193">
        <v>389</v>
      </c>
      <c r="E193" t="str">
        <f>HYPERLINK("#'Data'!A3891", "Households assessing drinking water from their main source on the admin of oblast perc")</f>
        <v>Households assessing drinking water from their main source on the admin of oblast perc</v>
      </c>
    </row>
    <row r="194" spans="1:5">
      <c r="A194" t="s">
        <v>146</v>
      </c>
      <c r="B194" t="s">
        <v>149</v>
      </c>
      <c r="C194" t="s">
        <v>42</v>
      </c>
      <c r="D194">
        <v>390</v>
      </c>
      <c r="E194" t="str">
        <f>HYPERLINK("#'Data'!A3906", "Households assessing drinking water from their main source broken down by rural / urban on the admin of oblast perc")</f>
        <v>Households assessing drinking water from their main source broken down by rural / urban on the admin of oblast perc</v>
      </c>
    </row>
    <row r="195" spans="1:5">
      <c r="A195" t="s">
        <v>146</v>
      </c>
      <c r="B195" t="s">
        <v>150</v>
      </c>
      <c r="C195" t="s">
        <v>35</v>
      </c>
      <c r="D195">
        <v>392</v>
      </c>
      <c r="E195" t="str">
        <f>HYPERLINK("#'Data'!A3931", "Households reportedly treating drinking water from their main source on the admin of oblast perc")</f>
        <v>Households reportedly treating drinking water from their main source on the admin of oblast perc</v>
      </c>
    </row>
    <row r="196" spans="1:5">
      <c r="A196" t="s">
        <v>146</v>
      </c>
      <c r="B196" t="s">
        <v>150</v>
      </c>
      <c r="C196" t="s">
        <v>42</v>
      </c>
      <c r="D196">
        <v>393</v>
      </c>
      <c r="E196" t="str">
        <f>HYPERLINK("#'Data'!A3946", "Households reportedly treating drinking water from their main source broken down by rural / urban on the admin of oblast perc")</f>
        <v>Households reportedly treating drinking water from their main source broken down by rural / urban on the admin of oblast perc</v>
      </c>
    </row>
    <row r="197" spans="1:5">
      <c r="A197" t="s">
        <v>146</v>
      </c>
      <c r="B197" t="s">
        <v>151</v>
      </c>
      <c r="C197" t="s">
        <v>35</v>
      </c>
      <c r="D197">
        <v>395</v>
      </c>
      <c r="E197" t="str">
        <f>HYPERLINK("#'Data'!A3971", "Households reporting days without sufficient drinking water in the last 4 weeks on the admin of oblast mean")</f>
        <v>Households reporting days without sufficient drinking water in the last 4 weeks on the admin of oblast mean</v>
      </c>
    </row>
    <row r="198" spans="1:5">
      <c r="A198" t="s">
        <v>146</v>
      </c>
      <c r="B198" t="s">
        <v>151</v>
      </c>
      <c r="C198" t="s">
        <v>42</v>
      </c>
      <c r="D198">
        <v>396</v>
      </c>
      <c r="E198" t="str">
        <f>HYPERLINK("#'Data'!A3986", "Households reporting days without sufficient drinking water in the last 4 weeks broken down by rural / urban on the admin of oblast mean")</f>
        <v>Households reporting days without sufficient drinking water in the last 4 weeks broken down by rural / urban on the admin of oblast mean</v>
      </c>
    </row>
    <row r="199" spans="1:5">
      <c r="A199" t="s">
        <v>146</v>
      </c>
      <c r="B199" t="s">
        <v>152</v>
      </c>
      <c r="C199" t="s">
        <v>35</v>
      </c>
      <c r="D199">
        <v>398</v>
      </c>
      <c r="E199" t="str">
        <f>HYPERLINK("#'Data'!A4011", "Households reporting sources of water for domestic purposes on the admin of oblast perc")</f>
        <v>Households reporting sources of water for domestic purposes on the admin of oblast perc</v>
      </c>
    </row>
    <row r="200" spans="1:5">
      <c r="A200" t="s">
        <v>146</v>
      </c>
      <c r="B200" t="s">
        <v>152</v>
      </c>
      <c r="C200" t="s">
        <v>42</v>
      </c>
      <c r="D200">
        <v>399</v>
      </c>
      <c r="E200" t="str">
        <f>HYPERLINK("#'Data'!A4026", "Households reporting sources of water for domestic purposes broken down by rural / urban on the admin of oblast perc")</f>
        <v>Households reporting sources of water for domestic purposes broken down by rural / urban on the admin of oblast perc</v>
      </c>
    </row>
    <row r="201" spans="1:5">
      <c r="A201" t="s">
        <v>146</v>
      </c>
      <c r="B201" t="s">
        <v>153</v>
      </c>
      <c r="C201" t="s">
        <v>35</v>
      </c>
      <c r="D201">
        <v>401</v>
      </c>
      <c r="E201" t="str">
        <f>HYPERLINK("#'Data'!A4051", "Households reporting having enough water for technical needs on the admin of oblast perc")</f>
        <v>Households reporting having enough water for technical needs on the admin of oblast perc</v>
      </c>
    </row>
    <row r="202" spans="1:5">
      <c r="A202" t="s">
        <v>146</v>
      </c>
      <c r="B202" t="s">
        <v>153</v>
      </c>
      <c r="C202" t="s">
        <v>42</v>
      </c>
      <c r="D202">
        <v>402</v>
      </c>
      <c r="E202" t="str">
        <f>HYPERLINK("#'Data'!A4066", "Households reporting having enough water for technical needs broken down by rural / urban on the admin of oblast perc")</f>
        <v>Households reporting having enough water for technical needs broken down by rural / urban on the admin of oblast perc</v>
      </c>
    </row>
    <row r="203" spans="1:5">
      <c r="A203" t="s">
        <v>146</v>
      </c>
      <c r="B203" t="s">
        <v>154</v>
      </c>
      <c r="C203" t="s">
        <v>35</v>
      </c>
      <c r="D203">
        <v>404</v>
      </c>
      <c r="E203" t="str">
        <f>HYPERLINK("#'Data'!A4091", "Households reportedly having issues with performing personal hygiene on the admin of oblast perc")</f>
        <v>Households reportedly having issues with performing personal hygiene on the admin of oblast perc</v>
      </c>
    </row>
    <row r="204" spans="1:5">
      <c r="A204" t="s">
        <v>146</v>
      </c>
      <c r="B204" t="s">
        <v>154</v>
      </c>
      <c r="C204" t="s">
        <v>42</v>
      </c>
      <c r="D204">
        <v>405</v>
      </c>
      <c r="E204" t="str">
        <f>HYPERLINK("#'Data'!A4106", "Households reportedly having issues with performing personal hygiene broken down by rural / urban on the admin of oblast perc")</f>
        <v>Households reportedly having issues with performing personal hygiene broken down by rural / urban on the admin of oblast perc</v>
      </c>
    </row>
    <row r="205" spans="1:5">
      <c r="A205" t="s">
        <v>146</v>
      </c>
      <c r="B205" t="s">
        <v>155</v>
      </c>
      <c r="C205" t="s">
        <v>35</v>
      </c>
      <c r="D205">
        <v>407</v>
      </c>
      <c r="E205" t="str">
        <f>HYPERLINK("#'Data'!A4131", "Reasons why households reported issues with performing personal hygiene on the admin of oblast perc")</f>
        <v>Reasons why households reported issues with performing personal hygiene on the admin of oblast perc</v>
      </c>
    </row>
    <row r="206" spans="1:5">
      <c r="A206" t="s">
        <v>146</v>
      </c>
      <c r="B206" t="s">
        <v>155</v>
      </c>
      <c r="C206" t="s">
        <v>42</v>
      </c>
      <c r="D206">
        <v>408</v>
      </c>
      <c r="E206" t="str">
        <f>HYPERLINK("#'Data'!A4146", "Reasons why households reported issues with performing personal hygiene broken down by rural / urban on the admin of oblast perc")</f>
        <v>Reasons why households reported issues with performing personal hygiene broken down by rural / urban on the admin of oblast perc</v>
      </c>
    </row>
    <row r="207" spans="1:5">
      <c r="A207" t="s">
        <v>146</v>
      </c>
      <c r="B207" t="s">
        <v>156</v>
      </c>
      <c r="C207" t="s">
        <v>35</v>
      </c>
      <c r="D207">
        <v>410</v>
      </c>
      <c r="E207" t="str">
        <f>HYPERLINK("#'Data'!A4171", "Main handwashing facilities reported by households on the admin of oblast perc")</f>
        <v>Main handwashing facilities reported by households on the admin of oblast perc</v>
      </c>
    </row>
    <row r="208" spans="1:5">
      <c r="A208" t="s">
        <v>146</v>
      </c>
      <c r="B208" t="s">
        <v>156</v>
      </c>
      <c r="C208" t="s">
        <v>42</v>
      </c>
      <c r="D208">
        <v>411</v>
      </c>
      <c r="E208" t="str">
        <f>HYPERLINK("#'Data'!A4186", "Main handwashing facilities reported by households broken down by rural / urban on the admin of oblast perc")</f>
        <v>Main handwashing facilities reported by households broken down by rural / urban on the admin of oblast perc</v>
      </c>
    </row>
    <row r="209" spans="1:5">
      <c r="A209" t="s">
        <v>146</v>
      </c>
      <c r="B209" t="s">
        <v>157</v>
      </c>
      <c r="C209" t="s">
        <v>35</v>
      </c>
      <c r="D209">
        <v>413</v>
      </c>
      <c r="E209" t="str">
        <f>HYPERLINK("#'Data'!A4211", "Households reportedly having soap in their household on the admin of oblast perc")</f>
        <v>Households reportedly having soap in their household on the admin of oblast perc</v>
      </c>
    </row>
    <row r="210" spans="1:5">
      <c r="A210" t="s">
        <v>146</v>
      </c>
      <c r="B210" t="s">
        <v>157</v>
      </c>
      <c r="C210" t="s">
        <v>42</v>
      </c>
      <c r="D210">
        <v>414</v>
      </c>
      <c r="E210" t="str">
        <f>HYPERLINK("#'Data'!A4226", "Households reportedly having soap in their household broken down by rural / urban on the admin of oblast perc")</f>
        <v>Households reportedly having soap in their household broken down by rural / urban on the admin of oblast perc</v>
      </c>
    </row>
    <row r="211" spans="1:5">
      <c r="A211" t="s">
        <v>146</v>
      </c>
      <c r="B211" t="s">
        <v>158</v>
      </c>
      <c r="C211" t="s">
        <v>35</v>
      </c>
      <c r="D211">
        <v>416</v>
      </c>
      <c r="E211" t="str">
        <f>HYPERLINK("#'Data'!A4251", "Households reporting main toilet facility in their household on the admin of oblast perc")</f>
        <v>Households reporting main toilet facility in their household on the admin of oblast perc</v>
      </c>
    </row>
    <row r="212" spans="1:5">
      <c r="A212" t="s">
        <v>146</v>
      </c>
      <c r="B212" t="s">
        <v>158</v>
      </c>
      <c r="C212" t="s">
        <v>42</v>
      </c>
      <c r="D212">
        <v>417</v>
      </c>
      <c r="E212" t="str">
        <f>HYPERLINK("#'Data'!A4266", "Households reporting main toilet facility in their household broken down by rural / urban on the admin of oblast perc")</f>
        <v>Households reporting main toilet facility in their household broken down by rural / urban on the admin of oblast perc</v>
      </c>
    </row>
    <row r="213" spans="1:5">
      <c r="A213" t="s">
        <v>146</v>
      </c>
      <c r="B213" t="s">
        <v>159</v>
      </c>
      <c r="C213" t="s">
        <v>35</v>
      </c>
      <c r="D213">
        <v>419</v>
      </c>
      <c r="E213" t="str">
        <f>HYPERLINK("#'Data'!A4291", "Households that reportedly share their sanitation facility on the admin of oblast perc")</f>
        <v>Households that reportedly share their sanitation facility on the admin of oblast perc</v>
      </c>
    </row>
    <row r="214" spans="1:5">
      <c r="A214" t="s">
        <v>146</v>
      </c>
      <c r="B214" t="s">
        <v>160</v>
      </c>
      <c r="C214" t="s">
        <v>35</v>
      </c>
      <c r="D214">
        <v>420</v>
      </c>
      <c r="E214" t="str">
        <f>HYPERLINK("#'Data'!A4306", "Number of Households Sharing Sanitation Facility Reported overall on the admin of oblast mean")</f>
        <v>Number of Households Sharing Sanitation Facility Reported overall on the admin of oblast mean</v>
      </c>
    </row>
    <row r="215" spans="1:5">
      <c r="A215" t="s">
        <v>146</v>
      </c>
      <c r="B215" t="s">
        <v>161</v>
      </c>
      <c r="C215" t="s">
        <v>35</v>
      </c>
      <c r="D215">
        <v>421</v>
      </c>
      <c r="E215" t="str">
        <f>HYPERLINK("#'Data'!A4321", "Households reportedly having access to adequate toilets on the admin of oblast perc")</f>
        <v>Households reportedly having access to adequate toilets on the admin of oblast perc</v>
      </c>
    </row>
    <row r="216" spans="1:5">
      <c r="A216" t="s">
        <v>146</v>
      </c>
      <c r="B216" t="s">
        <v>161</v>
      </c>
      <c r="C216" t="s">
        <v>42</v>
      </c>
      <c r="D216">
        <v>422</v>
      </c>
      <c r="E216" t="str">
        <f>HYPERLINK("#'Data'!A4336", "Households reportedly having access to adequate toilets broken down by rural / urban on the admin of oblast perc")</f>
        <v>Households reportedly having access to adequate toilets broken down by rural / urban on the admin of oblast perc</v>
      </c>
    </row>
    <row r="217" spans="1:5">
      <c r="A217" t="s">
        <v>146</v>
      </c>
      <c r="B217" t="s">
        <v>162</v>
      </c>
      <c r="C217" t="s">
        <v>35</v>
      </c>
      <c r="D217">
        <v>423</v>
      </c>
      <c r="E217" t="str">
        <f>HYPERLINK("#'Data'!A4361", "Most Common Garbage Disposal Method Reported by Households on the admin of oblast perc")</f>
        <v>Most Common Garbage Disposal Method Reported by Households on the admin of oblast perc</v>
      </c>
    </row>
    <row r="218" spans="1:5">
      <c r="A218" t="s">
        <v>146</v>
      </c>
      <c r="B218" t="s">
        <v>162</v>
      </c>
      <c r="C218" t="s">
        <v>42</v>
      </c>
      <c r="D218">
        <v>424</v>
      </c>
      <c r="E218" t="str">
        <f>HYPERLINK("#'Data'!A4376", "Most Common Garbage Disposal Method Reported by Households broken down by rural / urban on the admin of oblast perc")</f>
        <v>Most Common Garbage Disposal Method Reported by Households broken down by rural / urban on the admin of oblast perc</v>
      </c>
    </row>
    <row r="219" spans="1:5">
      <c r="A219" t="s">
        <v>146</v>
      </c>
      <c r="B219" t="s">
        <v>163</v>
      </c>
      <c r="C219" t="s">
        <v>35</v>
      </c>
      <c r="D219">
        <v>425</v>
      </c>
      <c r="E219" t="str">
        <f>HYPERLINK("#'Data'!A4401", "Households reportedly facing issues with their sewage on the admin of oblast perc")</f>
        <v>Households reportedly facing issues with their sewage on the admin of oblast perc</v>
      </c>
    </row>
    <row r="220" spans="1:5">
      <c r="A220" t="s">
        <v>146</v>
      </c>
      <c r="B220" t="s">
        <v>163</v>
      </c>
      <c r="C220" t="s">
        <v>42</v>
      </c>
      <c r="D220">
        <v>426</v>
      </c>
      <c r="E220" t="str">
        <f>HYPERLINK("#'Data'!A4416", "Households reportedly facing issues with their sewage broken down by rural / urban on the admin of oblast perc")</f>
        <v>Households reportedly facing issues with their sewage broken down by rural / urban on the admin of oblast perc</v>
      </c>
    </row>
    <row r="221" spans="1:5">
      <c r="A221" t="s">
        <v>88</v>
      </c>
      <c r="B221" t="s">
        <v>164</v>
      </c>
      <c r="C221" t="s">
        <v>35</v>
      </c>
      <c r="D221">
        <v>427</v>
      </c>
      <c r="E221" t="str">
        <f>HYPERLINK("#'Data'!A4441", "Households reportedly struggling to obtain enough money to cover basic needs on the admin of oblast perc")</f>
        <v>Households reportedly struggling to obtain enough money to cover basic needs on the admin of oblast perc</v>
      </c>
    </row>
    <row r="222" spans="1:5">
      <c r="A222" t="s">
        <v>88</v>
      </c>
      <c r="B222" t="s">
        <v>164</v>
      </c>
      <c r="C222" t="s">
        <v>42</v>
      </c>
      <c r="D222">
        <v>428</v>
      </c>
      <c r="E222" t="str">
        <f>HYPERLINK("#'Data'!A4456", "Households reportedly struggling to obtain enough money to cover basic needs broken down by rural / urban on the admin of oblast perc")</f>
        <v>Households reportedly struggling to obtain enough money to cover basic needs broken down by rural / urban on the admin of oblast perc</v>
      </c>
    </row>
    <row r="223" spans="1:5">
      <c r="A223" t="s">
        <v>88</v>
      </c>
      <c r="B223" t="s">
        <v>165</v>
      </c>
      <c r="C223" t="s">
        <v>35</v>
      </c>
      <c r="D223">
        <v>430</v>
      </c>
      <c r="E223" t="str">
        <f>HYPERLINK("#'Data'!A4481", "Main Challenges Reported by Households to Obtain Money to Meet Basic Needs on the admin of oblast perc")</f>
        <v>Main Challenges Reported by Households to Obtain Money to Meet Basic Needs on the admin of oblast perc</v>
      </c>
    </row>
    <row r="224" spans="1:5">
      <c r="A224" t="s">
        <v>88</v>
      </c>
      <c r="B224" t="s">
        <v>165</v>
      </c>
      <c r="C224" t="s">
        <v>42</v>
      </c>
      <c r="D224">
        <v>431</v>
      </c>
      <c r="E224" t="str">
        <f>HYPERLINK("#'Data'!A4496", "Main Challenges Reported by Households to Obtain Money to Meet Basic Needs broken down by rural / urban on the admin of oblast perc")</f>
        <v>Main Challenges Reported by Households to Obtain Money to Meet Basic Needs broken down by rural / urban on the admin of oblast perc</v>
      </c>
    </row>
    <row r="225" spans="1:5">
      <c r="A225" t="s">
        <v>166</v>
      </c>
      <c r="B225" t="s">
        <v>167</v>
      </c>
      <c r="C225" t="s">
        <v>35</v>
      </c>
      <c r="D225">
        <v>433</v>
      </c>
      <c r="E225" t="str">
        <f>HYPERLINK("#'Data'!A4521", "Reduced Coping Strategies Index (rCSI) on the admin of oblast perc")</f>
        <v>Reduced Coping Strategies Index (rCSI) on the admin of oblast perc</v>
      </c>
    </row>
    <row r="226" spans="1:5">
      <c r="A226" t="s">
        <v>166</v>
      </c>
      <c r="B226" t="s">
        <v>167</v>
      </c>
      <c r="C226" t="s">
        <v>42</v>
      </c>
      <c r="D226">
        <v>434</v>
      </c>
      <c r="E226" t="str">
        <f>HYPERLINK("#'Data'!A4536", "Reduced Coping Strategies Index (rCSI) broken down by rural / urban on the admin of oblast perc")</f>
        <v>Reduced Coping Strategies Index (rCSI) broken down by rural / urban on the admin of oblast perc</v>
      </c>
    </row>
    <row r="227" spans="1:5">
      <c r="A227" t="s">
        <v>166</v>
      </c>
      <c r="B227" t="s">
        <v>168</v>
      </c>
      <c r="C227" t="s">
        <v>35</v>
      </c>
      <c r="D227">
        <v>436</v>
      </c>
      <c r="E227" t="str">
        <f>HYPERLINK("#'Data'!A4561", "Household Hunger Scale (HHS) on the admin of oblast perc")</f>
        <v>Household Hunger Scale (HHS) on the admin of oblast perc</v>
      </c>
    </row>
    <row r="228" spans="1:5">
      <c r="A228" t="s">
        <v>166</v>
      </c>
      <c r="B228" t="s">
        <v>168</v>
      </c>
      <c r="C228" t="s">
        <v>42</v>
      </c>
      <c r="D228">
        <v>437</v>
      </c>
      <c r="E228" t="str">
        <f>HYPERLINK("#'Data'!A4576", "Household Hunger Scale (HHS) broken down by rural / urban on the admin of oblast perc")</f>
        <v>Household Hunger Scale (HHS) broken down by rural / urban on the admin of oblast perc</v>
      </c>
    </row>
    <row r="229" spans="1:5">
      <c r="A229" t="s">
        <v>169</v>
      </c>
      <c r="B229" t="s">
        <v>170</v>
      </c>
      <c r="C229" t="s">
        <v>35</v>
      </c>
      <c r="D229">
        <v>439</v>
      </c>
      <c r="E229" t="str">
        <f>HYPERLINK("#'Data'!A4601", "K_2 Households reporting first most significant challenge their household currently faces on the admin of oblast ")</f>
        <v xml:space="preserve">K_2 Households reporting first most significant challenge their household currently faces on the admin of oblast </v>
      </c>
    </row>
    <row r="230" spans="1:5">
      <c r="A230" t="s">
        <v>169</v>
      </c>
      <c r="B230" t="s">
        <v>170</v>
      </c>
      <c r="C230" t="s">
        <v>42</v>
      </c>
      <c r="D230">
        <v>442</v>
      </c>
      <c r="E230" t="str">
        <f>HYPERLINK("#'Data'!A4751", "K_2 Households reporting first most significant challenge their household currently faces broken down by rural / urban on the admin of oblast ")</f>
        <v xml:space="preserve">K_2 Households reporting first most significant challenge their household currently faces broken down by rural / urban on the admin of oblast </v>
      </c>
    </row>
    <row r="231" spans="1:5">
      <c r="A231" t="s">
        <v>169</v>
      </c>
      <c r="B231" t="s">
        <v>171</v>
      </c>
      <c r="C231" t="s">
        <v>35</v>
      </c>
      <c r="D231">
        <v>448</v>
      </c>
      <c r="E231" t="str">
        <f>HYPERLINK("#'Data'!A4943", "Support households reportedly would like to receive on the admin of oblast perc")</f>
        <v>Support households reportedly would like to receive on the admin of oblast perc</v>
      </c>
    </row>
    <row r="232" spans="1:5">
      <c r="A232" t="s">
        <v>169</v>
      </c>
      <c r="B232" t="s">
        <v>171</v>
      </c>
      <c r="C232" t="s">
        <v>42</v>
      </c>
      <c r="D232">
        <v>449</v>
      </c>
      <c r="E232" t="str">
        <f>HYPERLINK("#'Data'!A4958", "Support households reportedly would like to receive broken down by rural / urban on the admin of oblast perc")</f>
        <v>Support households reportedly would like to receive broken down by rural / urban on the admin of oblast perc</v>
      </c>
    </row>
    <row r="233" spans="1:5">
      <c r="A233" t="s">
        <v>169</v>
      </c>
      <c r="B233" t="s">
        <v>172</v>
      </c>
      <c r="C233" t="s">
        <v>35</v>
      </c>
      <c r="D233">
        <v>451</v>
      </c>
      <c r="E233" t="str">
        <f>HYPERLINK("#'Data'!A4983", "Aid households reportedly would like to receive on the admin of oblast perc")</f>
        <v>Aid households reportedly would like to receive on the admin of oblast perc</v>
      </c>
    </row>
    <row r="234" spans="1:5">
      <c r="A234" t="s">
        <v>169</v>
      </c>
      <c r="B234" t="s">
        <v>172</v>
      </c>
      <c r="C234" t="s">
        <v>42</v>
      </c>
      <c r="D234">
        <v>452</v>
      </c>
      <c r="E234" t="str">
        <f>HYPERLINK("#'Data'!A4998", "Aid households reportedly would like to receive broken down by rural / urban on the admin of oblast perc")</f>
        <v>Aid households reportedly would like to receive broken down by rural / urban on the admin of oblast perc</v>
      </c>
    </row>
    <row r="235" spans="1:5">
      <c r="A235" t="s">
        <v>169</v>
      </c>
      <c r="B235" t="s">
        <v>173</v>
      </c>
      <c r="C235" t="s">
        <v>35</v>
      </c>
      <c r="D235">
        <v>454</v>
      </c>
      <c r="E235" t="str">
        <f>HYPERLINK("#'Data'!A5023", "Preferred modality of assistance per aid type on the admin of oblast ")</f>
        <v xml:space="preserve">Preferred modality of assistance per aid type on the admin of oblast </v>
      </c>
    </row>
    <row r="236" spans="1:5">
      <c r="A236" t="s">
        <v>169</v>
      </c>
      <c r="B236" t="s">
        <v>174</v>
      </c>
      <c r="C236" t="s">
        <v>35</v>
      </c>
      <c r="D236">
        <v>459</v>
      </c>
      <c r="E236" t="str">
        <f>HYPERLINK("#'Data'!A5052", "K_11 Households Reported to have Received Humanitarian Assistance in the Last 12 months on the admin of oblast perc")</f>
        <v>K_11 Households Reported to have Received Humanitarian Assistance in the Last 12 months on the admin of oblast perc</v>
      </c>
    </row>
    <row r="237" spans="1:5">
      <c r="A237" t="s">
        <v>169</v>
      </c>
      <c r="B237" t="s">
        <v>174</v>
      </c>
      <c r="C237" t="s">
        <v>42</v>
      </c>
      <c r="D237">
        <v>460</v>
      </c>
      <c r="E237" t="str">
        <f>HYPERLINK("#'Data'!A5067", "K_11 Households Reported to have Received Humanitarian Assistance in the Last 12 months broken down by rural / urban on the admin of oblast perc")</f>
        <v>K_11 Households Reported to have Received Humanitarian Assistance in the Last 12 months broken down by rural / urban on the admin of oblast perc</v>
      </c>
    </row>
    <row r="238" spans="1:5">
      <c r="A238" t="s">
        <v>169</v>
      </c>
      <c r="B238" t="s">
        <v>175</v>
      </c>
      <c r="C238" t="s">
        <v>35</v>
      </c>
      <c r="D238">
        <v>462</v>
      </c>
      <c r="E238" t="str">
        <f>HYPERLINK("#'Data'!A5092", "Barriers Households reportedly faced during accessing aid on the admin of oblast perc")</f>
        <v>Barriers Households reportedly faced during accessing aid on the admin of oblast perc</v>
      </c>
    </row>
    <row r="239" spans="1:5">
      <c r="A239" t="s">
        <v>169</v>
      </c>
      <c r="B239" t="s">
        <v>175</v>
      </c>
      <c r="C239" t="s">
        <v>42</v>
      </c>
      <c r="D239">
        <v>463</v>
      </c>
      <c r="E239" t="str">
        <f>HYPERLINK("#'Data'!A5107", "Barriers Households reportedly faced during accessing aid broken down by rural / urban on the admin of oblast perc")</f>
        <v>Barriers Households reportedly faced during accessing aid broken down by rural / urban on the admin of oblast perc</v>
      </c>
    </row>
    <row r="240" spans="1:5">
      <c r="A240" t="s">
        <v>169</v>
      </c>
      <c r="B240" t="s">
        <v>176</v>
      </c>
      <c r="C240" t="s">
        <v>35</v>
      </c>
      <c r="D240">
        <v>465</v>
      </c>
      <c r="E240" t="str">
        <f>HYPERLINK("#'Data'!A5132", "Aid satisfaction reported by households on the admin of oblast perc")</f>
        <v>Aid satisfaction reported by households on the admin of oblast perc</v>
      </c>
    </row>
    <row r="241" spans="1:5">
      <c r="A241" t="s">
        <v>169</v>
      </c>
      <c r="B241" t="s">
        <v>176</v>
      </c>
      <c r="C241" t="s">
        <v>42</v>
      </c>
      <c r="D241">
        <v>466</v>
      </c>
      <c r="E241" t="str">
        <f>HYPERLINK("#'Data'!A5147", "Aid satisfaction reported by households broken down by rural / urban on the admin of oblast perc")</f>
        <v>Aid satisfaction reported by households broken down by rural / urban on the admin of oblast perc</v>
      </c>
    </row>
    <row r="242" spans="1:5">
      <c r="A242" t="s">
        <v>169</v>
      </c>
      <c r="B242" t="s">
        <v>177</v>
      </c>
      <c r="C242" t="s">
        <v>35</v>
      </c>
      <c r="D242">
        <v>468</v>
      </c>
      <c r="E242" t="str">
        <f>HYPERLINK("#'Data'!A5172", "Information Households would like to receive from aid providers on the admin of oblast perc")</f>
        <v>Information Households would like to receive from aid providers on the admin of oblast perc</v>
      </c>
    </row>
    <row r="243" spans="1:5">
      <c r="A243" t="s">
        <v>169</v>
      </c>
      <c r="B243" t="s">
        <v>178</v>
      </c>
      <c r="C243" t="s">
        <v>35</v>
      </c>
      <c r="D243">
        <v>469</v>
      </c>
      <c r="E243" t="str">
        <f>HYPERLINK("#'Data'!A5187", "Peferred mean of communication reported by households on the admin of oblast perc")</f>
        <v>Peferred mean of communication reported by households on the admin of oblast perc</v>
      </c>
    </row>
    <row r="244" spans="1:5">
      <c r="A244" t="s">
        <v>169</v>
      </c>
      <c r="B244" t="s">
        <v>179</v>
      </c>
      <c r="C244" t="s">
        <v>35</v>
      </c>
      <c r="D244">
        <v>470</v>
      </c>
      <c r="E244" t="str">
        <f>HYPERLINK("#'Data'!A5202", "Households reportedly feeling involved in aid distribution on the admin of oblast perc")</f>
        <v>Households reportedly feeling involved in aid distribution on the admin of oblast perc</v>
      </c>
    </row>
    <row r="245" spans="1:5">
      <c r="A245" t="s">
        <v>169</v>
      </c>
      <c r="B245" t="s">
        <v>180</v>
      </c>
      <c r="C245" t="s">
        <v>35</v>
      </c>
      <c r="D245">
        <v>471</v>
      </c>
      <c r="E245" t="str">
        <f>HYPERLINK("#'Data'!A5217", "Preferred language of communication with aid providers on the admin of oblast perc")</f>
        <v>Preferred language of communication with aid providers on the admin of oblast perc</v>
      </c>
    </row>
    <row r="246" spans="1:5">
      <c r="A246" t="s">
        <v>169</v>
      </c>
      <c r="B246" t="s">
        <v>181</v>
      </c>
      <c r="C246" t="s">
        <v>35</v>
      </c>
      <c r="D246">
        <v>472</v>
      </c>
      <c r="E246" t="str">
        <f>HYPERLINK("#'Data'!A5232", "Households reporting to experience cuts in assisstance from the government on the admin of oblast perc")</f>
        <v>Households reporting to experience cuts in assisstance from the government on the admin of oblast perc</v>
      </c>
    </row>
    <row r="247" spans="1:5">
      <c r="A247" t="s">
        <v>169</v>
      </c>
      <c r="B247" t="s">
        <v>182</v>
      </c>
      <c r="C247" t="s">
        <v>35</v>
      </c>
      <c r="D247">
        <v>473</v>
      </c>
      <c r="E247" t="str">
        <f>HYPERLINK("#'Data'!A5247", "Households reportedly requiring legal assisstance on the admin of oblast perc")</f>
        <v>Households reportedly requiring legal assisstance on the admin of oblast perc</v>
      </c>
    </row>
    <row r="248" spans="1:5">
      <c r="A248" t="s">
        <v>169</v>
      </c>
      <c r="B248" t="s">
        <v>183</v>
      </c>
      <c r="C248" t="s">
        <v>35</v>
      </c>
      <c r="D248">
        <v>474</v>
      </c>
      <c r="E248" t="str">
        <f>HYPERLINK("#'Data'!A5262", "Households reportedly requiring services provided by the government on the admin of oblast perc")</f>
        <v>Households reportedly requiring services provided by the government on the admin of oblast perc</v>
      </c>
    </row>
    <row r="249" spans="1:5">
      <c r="A249" t="s">
        <v>169</v>
      </c>
      <c r="B249" t="s">
        <v>184</v>
      </c>
      <c r="C249" t="s">
        <v>42</v>
      </c>
      <c r="D249">
        <v>475</v>
      </c>
      <c r="E249" t="str">
        <f>HYPERLINK("#'Data'!A5277", "Households reportedly facing barriers while accessing services provided by the government on the admin of oblast perc")</f>
        <v>Households reportedly facing barriers while accessing services provided by the government on the admin of oblast perc</v>
      </c>
    </row>
    <row r="250" spans="1:5">
      <c r="A250" t="s">
        <v>169</v>
      </c>
      <c r="B250" t="s">
        <v>184</v>
      </c>
      <c r="C250" t="s">
        <v>42</v>
      </c>
      <c r="D250">
        <v>476</v>
      </c>
      <c r="E250" t="str">
        <f>HYPERLINK("#'Data'!A5292", "Households reportedly facing barriers while accessing services provided by the government broken down by rural / urban on the admin of oblast perc")</f>
        <v>Households reportedly facing barriers while accessing services provided by the government broken down by rural / urban on the admin of oblast perc</v>
      </c>
    </row>
    <row r="251" spans="1:5">
      <c r="A251" t="s">
        <v>169</v>
      </c>
      <c r="B251" t="s">
        <v>185</v>
      </c>
      <c r="C251" t="s">
        <v>35</v>
      </c>
      <c r="D251">
        <v>477</v>
      </c>
      <c r="E251" t="str">
        <f>HYPERLINK("#'Data'!A5317", "Households reporting available services for women in their community on the admin of oblast perc")</f>
        <v>Households reporting available services for women in their community on the admin of oblast perc</v>
      </c>
    </row>
    <row r="252" spans="1:5">
      <c r="A252" t="s">
        <v>169</v>
      </c>
      <c r="B252" t="s">
        <v>185</v>
      </c>
      <c r="C252" t="s">
        <v>42</v>
      </c>
      <c r="D252">
        <v>478</v>
      </c>
      <c r="E252" t="str">
        <f>HYPERLINK("#'Data'!A5332", "Households reporting available services for women in their community broken down by rural / urban on the admin of oblast perc")</f>
        <v>Households reporting available services for women in their community broken down by rural / urban on the admin of oblast perc</v>
      </c>
    </row>
    <row r="253" spans="1:5">
      <c r="A253" t="s">
        <v>169</v>
      </c>
      <c r="B253" t="s">
        <v>186</v>
      </c>
      <c r="C253" t="s">
        <v>35</v>
      </c>
      <c r="D253">
        <v>479</v>
      </c>
      <c r="E253" t="str">
        <f>HYPERLINK("#'Data'!A5357", "Households reporting needed services related to children's well-being  on the admin of oblast perc")</f>
        <v>Households reporting needed services related to children's well-being  on the admin of oblast perc</v>
      </c>
    </row>
    <row r="254" spans="1:5">
      <c r="A254" t="s">
        <v>169</v>
      </c>
      <c r="B254" t="s">
        <v>186</v>
      </c>
      <c r="C254" t="s">
        <v>42</v>
      </c>
      <c r="D254">
        <v>480</v>
      </c>
      <c r="E254" t="str">
        <f>HYPERLINK("#'Data'!A5372", "Households reporting needed services related to children's well-being  broken down by rural / urban on the admin of oblast perc")</f>
        <v>Households reporting needed services related to children's well-being  broken down by rural / urban on the admin of oblast perc</v>
      </c>
    </row>
    <row r="255" spans="1:5">
      <c r="A255" t="s">
        <v>166</v>
      </c>
      <c r="B255" t="s">
        <v>187</v>
      </c>
      <c r="C255" t="s">
        <v>42</v>
      </c>
      <c r="D255">
        <v>481</v>
      </c>
      <c r="E255" t="str">
        <f>HYPERLINK("#'Data'!A5397", "Percentage of households adopting reduced coping strategies, by strategy (rCSI) broken down by rural / urban on the admin of oblast ")</f>
        <v xml:space="preserve">Percentage of households adopting reduced coping strategies, by strategy (rCSI) broken down by rural / urban on the admin of oblast </v>
      </c>
    </row>
  </sheetData>
  <mergeCells count="1">
    <mergeCell ref="A1:E1"/>
  </mergeCells>
  <pageMargins left="0.75" right="0.75" top="1" bottom="1" header="0.5" footer="0.5"/>
  <drawing r:id="rId1"/>
  <tableParts count="1">
    <tablePart r:id="rId2"/>
  </tableParts>
  <extLst>
    <ext xmlns:x15="http://schemas.microsoft.com/office/spreadsheetml/2010/11/main" uri="{3A4CF648-6AED-40f4-86FF-DC5316D8AED3}">
      <x14:slicerList xmlns:x14="http://schemas.microsoft.com/office/spreadsheetml/2009/9/main">
        <x14:slicer r:id="rId3"/>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C5442"/>
  <sheetViews>
    <sheetView workbookViewId="0">
      <selection activeCell="A4309" sqref="A4309"/>
    </sheetView>
  </sheetViews>
  <sheetFormatPr defaultRowHeight="15"/>
  <cols>
    <col min="1" max="1" width="30" customWidth="1"/>
    <col min="2" max="55" width="20" customWidth="1"/>
  </cols>
  <sheetData>
    <row r="1" spans="1:8">
      <c r="A1" t="s">
        <v>188</v>
      </c>
    </row>
    <row r="2" spans="1:8">
      <c r="A2" t="s">
        <v>189</v>
      </c>
      <c r="B2" t="s">
        <v>190</v>
      </c>
      <c r="C2" t="s">
        <v>191</v>
      </c>
      <c r="D2" t="s">
        <v>192</v>
      </c>
      <c r="E2" t="s">
        <v>193</v>
      </c>
      <c r="F2" t="s">
        <v>194</v>
      </c>
      <c r="G2" t="s">
        <v>195</v>
      </c>
      <c r="H2" t="s">
        <v>196</v>
      </c>
    </row>
    <row r="3" spans="1:8">
      <c r="A3" t="s">
        <v>197</v>
      </c>
      <c r="B3" t="s">
        <v>198</v>
      </c>
      <c r="C3">
        <v>44.52271226746663</v>
      </c>
      <c r="D3">
        <v>41</v>
      </c>
      <c r="E3">
        <v>18</v>
      </c>
      <c r="F3">
        <v>89</v>
      </c>
      <c r="G3">
        <v>968</v>
      </c>
      <c r="H3">
        <v>968</v>
      </c>
    </row>
    <row r="4" spans="1:8">
      <c r="A4" t="s">
        <v>199</v>
      </c>
      <c r="B4" t="s">
        <v>200</v>
      </c>
      <c r="C4">
        <v>47.663555566715161</v>
      </c>
      <c r="D4">
        <v>42</v>
      </c>
      <c r="E4">
        <v>23</v>
      </c>
      <c r="F4">
        <v>82</v>
      </c>
      <c r="G4">
        <v>73</v>
      </c>
      <c r="H4">
        <v>968</v>
      </c>
    </row>
    <row r="5" spans="1:8">
      <c r="A5" t="s">
        <v>199</v>
      </c>
      <c r="B5" t="s">
        <v>201</v>
      </c>
      <c r="C5">
        <v>43.260416666666671</v>
      </c>
      <c r="D5">
        <v>39</v>
      </c>
      <c r="E5">
        <v>22</v>
      </c>
      <c r="F5">
        <v>86</v>
      </c>
      <c r="G5">
        <v>96</v>
      </c>
      <c r="H5">
        <v>968</v>
      </c>
    </row>
    <row r="6" spans="1:8">
      <c r="A6" t="s">
        <v>199</v>
      </c>
      <c r="B6" t="s">
        <v>202</v>
      </c>
      <c r="C6">
        <v>45.426160629368638</v>
      </c>
      <c r="D6">
        <v>41</v>
      </c>
      <c r="E6">
        <v>18</v>
      </c>
      <c r="F6">
        <v>82</v>
      </c>
      <c r="G6">
        <v>98</v>
      </c>
      <c r="H6">
        <v>968</v>
      </c>
    </row>
    <row r="7" spans="1:8">
      <c r="A7" t="s">
        <v>199</v>
      </c>
      <c r="B7" t="s">
        <v>203</v>
      </c>
      <c r="C7">
        <v>43.721805265927721</v>
      </c>
      <c r="D7">
        <v>40</v>
      </c>
      <c r="E7">
        <v>20</v>
      </c>
      <c r="F7">
        <v>82</v>
      </c>
      <c r="G7">
        <v>77</v>
      </c>
      <c r="H7">
        <v>968</v>
      </c>
    </row>
    <row r="8" spans="1:8">
      <c r="A8" t="s">
        <v>204</v>
      </c>
      <c r="B8" t="s">
        <v>205</v>
      </c>
      <c r="C8">
        <v>43.835714406603728</v>
      </c>
      <c r="D8">
        <v>38</v>
      </c>
      <c r="E8">
        <v>18</v>
      </c>
      <c r="F8">
        <v>84</v>
      </c>
      <c r="G8">
        <v>91</v>
      </c>
      <c r="H8">
        <v>968</v>
      </c>
    </row>
    <row r="9" spans="1:8">
      <c r="A9" t="s">
        <v>204</v>
      </c>
      <c r="B9" t="s">
        <v>206</v>
      </c>
      <c r="C9">
        <v>41.872476198353432</v>
      </c>
      <c r="D9">
        <v>40</v>
      </c>
      <c r="E9">
        <v>23</v>
      </c>
      <c r="F9">
        <v>76</v>
      </c>
      <c r="G9">
        <v>72</v>
      </c>
      <c r="H9">
        <v>968</v>
      </c>
    </row>
    <row r="10" spans="1:8">
      <c r="A10" t="s">
        <v>204</v>
      </c>
      <c r="B10" t="s">
        <v>207</v>
      </c>
      <c r="C10">
        <v>44.818873577609729</v>
      </c>
      <c r="D10">
        <v>39</v>
      </c>
      <c r="E10">
        <v>20</v>
      </c>
      <c r="F10">
        <v>77</v>
      </c>
      <c r="G10">
        <v>131</v>
      </c>
      <c r="H10">
        <v>968</v>
      </c>
    </row>
    <row r="11" spans="1:8">
      <c r="A11" t="s">
        <v>204</v>
      </c>
      <c r="B11" t="s">
        <v>208</v>
      </c>
      <c r="C11">
        <v>46.689189189189193</v>
      </c>
      <c r="D11">
        <v>45</v>
      </c>
      <c r="E11">
        <v>19</v>
      </c>
      <c r="F11">
        <v>83</v>
      </c>
      <c r="G11">
        <v>74</v>
      </c>
      <c r="H11">
        <v>968</v>
      </c>
    </row>
    <row r="12" spans="1:8">
      <c r="A12" t="s">
        <v>209</v>
      </c>
      <c r="B12" t="s">
        <v>210</v>
      </c>
      <c r="C12">
        <v>47.394237426628472</v>
      </c>
      <c r="D12">
        <v>47</v>
      </c>
      <c r="E12">
        <v>27</v>
      </c>
      <c r="F12">
        <v>77</v>
      </c>
      <c r="G12">
        <v>74</v>
      </c>
      <c r="H12">
        <v>968</v>
      </c>
    </row>
    <row r="13" spans="1:8">
      <c r="A13" t="s">
        <v>209</v>
      </c>
      <c r="B13" t="s">
        <v>211</v>
      </c>
      <c r="C13">
        <v>46.824624904450928</v>
      </c>
      <c r="D13">
        <v>44</v>
      </c>
      <c r="E13">
        <v>19</v>
      </c>
      <c r="F13">
        <v>89</v>
      </c>
      <c r="G13">
        <v>97</v>
      </c>
      <c r="H13">
        <v>968</v>
      </c>
    </row>
    <row r="14" spans="1:8">
      <c r="A14" t="s">
        <v>209</v>
      </c>
      <c r="B14" t="s">
        <v>212</v>
      </c>
      <c r="C14">
        <v>43.712078270596777</v>
      </c>
      <c r="D14">
        <v>41</v>
      </c>
      <c r="E14">
        <v>20</v>
      </c>
      <c r="F14">
        <v>80</v>
      </c>
      <c r="G14">
        <v>85</v>
      </c>
      <c r="H14">
        <v>968</v>
      </c>
    </row>
    <row r="16" spans="1:8">
      <c r="A16" t="s">
        <v>213</v>
      </c>
    </row>
    <row r="17" spans="1:7">
      <c r="A17" t="s">
        <v>214</v>
      </c>
      <c r="B17" t="s">
        <v>189</v>
      </c>
      <c r="C17" t="s">
        <v>195</v>
      </c>
      <c r="D17" t="s">
        <v>190</v>
      </c>
      <c r="E17" t="s">
        <v>196</v>
      </c>
      <c r="F17" t="s">
        <v>215</v>
      </c>
      <c r="G17" t="s">
        <v>216</v>
      </c>
    </row>
    <row r="18" spans="1:7">
      <c r="A18" t="s">
        <v>198</v>
      </c>
      <c r="B18" t="s">
        <v>197</v>
      </c>
      <c r="C18">
        <v>968</v>
      </c>
      <c r="D18" t="s">
        <v>198</v>
      </c>
      <c r="E18">
        <v>968</v>
      </c>
      <c r="F18" s="1">
        <v>9.7000000000000003E-2</v>
      </c>
      <c r="G18" s="1">
        <v>0.90300000000000002</v>
      </c>
    </row>
    <row r="19" spans="1:7" s="26" customFormat="1">
      <c r="A19" s="26" t="s">
        <v>217</v>
      </c>
      <c r="B19" s="26" t="s">
        <v>204</v>
      </c>
      <c r="C19" s="26">
        <v>15</v>
      </c>
      <c r="D19" s="26" t="s">
        <v>208</v>
      </c>
      <c r="E19" s="26">
        <v>968</v>
      </c>
      <c r="F19" s="26">
        <v>6.6699999999999995E-2</v>
      </c>
      <c r="G19" s="26">
        <v>0.93330000000000002</v>
      </c>
    </row>
    <row r="20" spans="1:7" s="26" customFormat="1">
      <c r="A20" s="26" t="s">
        <v>217</v>
      </c>
      <c r="B20" s="26" t="s">
        <v>204</v>
      </c>
      <c r="C20" s="26">
        <v>27</v>
      </c>
      <c r="D20" s="26" t="s">
        <v>205</v>
      </c>
      <c r="E20" s="26">
        <v>968</v>
      </c>
      <c r="F20" s="26">
        <v>0.2019</v>
      </c>
      <c r="G20" s="26">
        <v>0.79810000000000003</v>
      </c>
    </row>
    <row r="21" spans="1:7">
      <c r="A21" t="s">
        <v>218</v>
      </c>
      <c r="B21" t="s">
        <v>204</v>
      </c>
      <c r="C21">
        <v>64</v>
      </c>
      <c r="D21" t="s">
        <v>205</v>
      </c>
      <c r="E21">
        <v>968</v>
      </c>
      <c r="F21" s="1">
        <v>0.15790000000000001</v>
      </c>
      <c r="G21" s="1">
        <v>0.84209999999999996</v>
      </c>
    </row>
    <row r="22" spans="1:7" s="26" customFormat="1">
      <c r="A22" s="26" t="s">
        <v>217</v>
      </c>
      <c r="B22" s="26" t="s">
        <v>204</v>
      </c>
      <c r="C22" s="26">
        <v>11</v>
      </c>
      <c r="D22" s="26" t="s">
        <v>206</v>
      </c>
      <c r="E22" s="26">
        <v>968</v>
      </c>
      <c r="G22" s="26">
        <v>1</v>
      </c>
    </row>
    <row r="23" spans="1:7">
      <c r="A23" t="s">
        <v>218</v>
      </c>
      <c r="B23" t="s">
        <v>204</v>
      </c>
      <c r="C23">
        <v>61</v>
      </c>
      <c r="D23" t="s">
        <v>206</v>
      </c>
      <c r="E23">
        <v>968</v>
      </c>
      <c r="F23" s="1">
        <v>3.2500000000000001E-2</v>
      </c>
      <c r="G23" s="1">
        <v>0.96750000000000003</v>
      </c>
    </row>
    <row r="24" spans="1:7" s="26" customFormat="1">
      <c r="A24" s="26" t="s">
        <v>217</v>
      </c>
      <c r="B24" s="26" t="s">
        <v>204</v>
      </c>
      <c r="C24" s="26">
        <v>23</v>
      </c>
      <c r="D24" s="26" t="s">
        <v>207</v>
      </c>
      <c r="E24" s="26">
        <v>968</v>
      </c>
      <c r="G24" s="26">
        <v>1</v>
      </c>
    </row>
    <row r="25" spans="1:7">
      <c r="A25" t="s">
        <v>218</v>
      </c>
      <c r="B25" t="s">
        <v>204</v>
      </c>
      <c r="C25">
        <v>108</v>
      </c>
      <c r="D25" t="s">
        <v>207</v>
      </c>
      <c r="E25">
        <v>968</v>
      </c>
      <c r="F25" s="1">
        <v>3.6799999999999999E-2</v>
      </c>
      <c r="G25" s="1">
        <v>0.96319999999999995</v>
      </c>
    </row>
    <row r="26" spans="1:7">
      <c r="A26" t="s">
        <v>218</v>
      </c>
      <c r="B26" t="s">
        <v>204</v>
      </c>
      <c r="C26">
        <v>59</v>
      </c>
      <c r="D26" t="s">
        <v>208</v>
      </c>
      <c r="E26">
        <v>968</v>
      </c>
      <c r="F26" s="1">
        <v>3.39E-2</v>
      </c>
      <c r="G26" s="1">
        <v>0.96609999999999996</v>
      </c>
    </row>
    <row r="27" spans="1:7" s="26" customFormat="1">
      <c r="A27" s="26" t="s">
        <v>217</v>
      </c>
      <c r="B27" s="26" t="s">
        <v>199</v>
      </c>
      <c r="C27" s="26">
        <v>12</v>
      </c>
      <c r="D27" s="26" t="s">
        <v>203</v>
      </c>
      <c r="E27" s="26">
        <v>968</v>
      </c>
      <c r="G27" s="26">
        <v>1</v>
      </c>
    </row>
    <row r="28" spans="1:7">
      <c r="A28" t="s">
        <v>218</v>
      </c>
      <c r="B28" t="s">
        <v>199</v>
      </c>
      <c r="C28">
        <v>65</v>
      </c>
      <c r="D28" t="s">
        <v>203</v>
      </c>
      <c r="E28">
        <v>968</v>
      </c>
      <c r="F28" s="1">
        <v>0.12230000000000001</v>
      </c>
      <c r="G28" s="1">
        <v>0.87770000000000004</v>
      </c>
    </row>
    <row r="29" spans="1:7">
      <c r="A29" t="s">
        <v>218</v>
      </c>
      <c r="B29" t="s">
        <v>199</v>
      </c>
      <c r="C29">
        <v>71</v>
      </c>
      <c r="D29" t="s">
        <v>202</v>
      </c>
      <c r="E29">
        <v>968</v>
      </c>
      <c r="F29" s="1">
        <v>0.13120000000000001</v>
      </c>
      <c r="G29" s="1">
        <v>0.86880000000000002</v>
      </c>
    </row>
    <row r="30" spans="1:7" s="26" customFormat="1">
      <c r="A30" s="26" t="s">
        <v>217</v>
      </c>
      <c r="B30" s="26" t="s">
        <v>199</v>
      </c>
      <c r="C30" s="26">
        <v>13</v>
      </c>
      <c r="D30" s="26" t="s">
        <v>200</v>
      </c>
      <c r="E30" s="26">
        <v>968</v>
      </c>
      <c r="G30" s="26">
        <v>1</v>
      </c>
    </row>
    <row r="31" spans="1:7">
      <c r="A31" t="s">
        <v>218</v>
      </c>
      <c r="B31" t="s">
        <v>199</v>
      </c>
      <c r="C31">
        <v>80</v>
      </c>
      <c r="D31" t="s">
        <v>201</v>
      </c>
      <c r="E31">
        <v>968</v>
      </c>
      <c r="F31" s="1">
        <v>0.1125</v>
      </c>
      <c r="G31" s="1">
        <v>0.88749999999999996</v>
      </c>
    </row>
    <row r="32" spans="1:7">
      <c r="A32" t="s">
        <v>218</v>
      </c>
      <c r="B32" t="s">
        <v>199</v>
      </c>
      <c r="C32">
        <v>60</v>
      </c>
      <c r="D32" t="s">
        <v>200</v>
      </c>
      <c r="E32">
        <v>968</v>
      </c>
      <c r="F32" s="1">
        <v>5.4999999999999997E-3</v>
      </c>
      <c r="G32" s="1">
        <v>0.99450000000000005</v>
      </c>
    </row>
    <row r="33" spans="1:20" s="26" customFormat="1">
      <c r="A33" s="26" t="s">
        <v>217</v>
      </c>
      <c r="B33" s="26" t="s">
        <v>199</v>
      </c>
      <c r="C33" s="26">
        <v>27</v>
      </c>
      <c r="D33" s="26" t="s">
        <v>202</v>
      </c>
      <c r="E33" s="26">
        <v>968</v>
      </c>
      <c r="F33" s="26">
        <v>0.11849999999999999</v>
      </c>
      <c r="G33" s="26">
        <v>0.88149999999999995</v>
      </c>
    </row>
    <row r="34" spans="1:20" s="26" customFormat="1">
      <c r="A34" s="26" t="s">
        <v>217</v>
      </c>
      <c r="B34" s="26" t="s">
        <v>199</v>
      </c>
      <c r="C34" s="26">
        <v>16</v>
      </c>
      <c r="D34" s="26" t="s">
        <v>201</v>
      </c>
      <c r="E34" s="26">
        <v>968</v>
      </c>
      <c r="F34" s="27">
        <v>6.25E-2</v>
      </c>
      <c r="G34" s="27">
        <v>0.9375</v>
      </c>
      <c r="H34" s="27"/>
      <c r="I34" s="27"/>
      <c r="J34" s="27"/>
      <c r="L34" s="27"/>
      <c r="Q34" s="27"/>
      <c r="S34" s="27"/>
      <c r="T34" s="27"/>
    </row>
    <row r="35" spans="1:20">
      <c r="A35" t="s">
        <v>218</v>
      </c>
      <c r="B35" t="s">
        <v>209</v>
      </c>
      <c r="C35">
        <v>76</v>
      </c>
      <c r="D35" t="s">
        <v>211</v>
      </c>
      <c r="E35">
        <v>968</v>
      </c>
      <c r="F35" s="1">
        <v>8.5800000000000001E-2</v>
      </c>
      <c r="G35" s="1">
        <v>0.91420000000000001</v>
      </c>
    </row>
    <row r="36" spans="1:20" s="26" customFormat="1">
      <c r="A36" s="26" t="s">
        <v>217</v>
      </c>
      <c r="B36" s="26" t="s">
        <v>209</v>
      </c>
      <c r="C36" s="26">
        <v>21</v>
      </c>
      <c r="D36" s="26" t="s">
        <v>211</v>
      </c>
      <c r="E36" s="26">
        <v>968</v>
      </c>
      <c r="G36" s="27">
        <v>1</v>
      </c>
    </row>
    <row r="37" spans="1:20">
      <c r="A37" t="s">
        <v>218</v>
      </c>
      <c r="B37" t="s">
        <v>209</v>
      </c>
      <c r="C37">
        <v>71</v>
      </c>
      <c r="D37" t="s">
        <v>212</v>
      </c>
      <c r="E37">
        <v>968</v>
      </c>
      <c r="F37" s="1">
        <v>9.8799999999999999E-2</v>
      </c>
      <c r="G37" s="1">
        <v>0.9012</v>
      </c>
    </row>
    <row r="38" spans="1:20" s="26" customFormat="1">
      <c r="A38" s="26" t="s">
        <v>217</v>
      </c>
      <c r="B38" s="26" t="s">
        <v>209</v>
      </c>
      <c r="C38" s="26">
        <v>14</v>
      </c>
      <c r="D38" s="26" t="s">
        <v>212</v>
      </c>
      <c r="E38" s="26">
        <v>968</v>
      </c>
      <c r="G38" s="27">
        <v>1</v>
      </c>
    </row>
    <row r="39" spans="1:20" s="26" customFormat="1">
      <c r="A39" s="26" t="s">
        <v>217</v>
      </c>
      <c r="B39" s="26" t="s">
        <v>209</v>
      </c>
      <c r="C39" s="26">
        <v>17</v>
      </c>
      <c r="D39" s="26" t="s">
        <v>210</v>
      </c>
      <c r="E39" s="26">
        <v>968</v>
      </c>
      <c r="F39" s="27">
        <v>6.7199999999999996E-2</v>
      </c>
      <c r="G39" s="27">
        <v>0.93279999999999996</v>
      </c>
    </row>
    <row r="40" spans="1:20">
      <c r="A40" t="s">
        <v>218</v>
      </c>
      <c r="B40" t="s">
        <v>209</v>
      </c>
      <c r="C40">
        <v>57</v>
      </c>
      <c r="D40" t="s">
        <v>210</v>
      </c>
      <c r="E40">
        <v>968</v>
      </c>
      <c r="F40" s="1">
        <v>0.1399</v>
      </c>
      <c r="G40" s="1">
        <v>0.86009999999999998</v>
      </c>
    </row>
    <row r="42" spans="1:20">
      <c r="A42" t="s">
        <v>219</v>
      </c>
    </row>
    <row r="43" spans="1:20">
      <c r="A43" t="s">
        <v>189</v>
      </c>
      <c r="B43" t="s">
        <v>190</v>
      </c>
      <c r="C43" t="s">
        <v>191</v>
      </c>
      <c r="D43" t="s">
        <v>192</v>
      </c>
      <c r="E43" t="s">
        <v>193</v>
      </c>
      <c r="F43" t="s">
        <v>194</v>
      </c>
      <c r="G43" t="s">
        <v>195</v>
      </c>
      <c r="H43" t="s">
        <v>196</v>
      </c>
    </row>
    <row r="44" spans="1:20">
      <c r="A44" t="s">
        <v>197</v>
      </c>
      <c r="B44" t="s">
        <v>198</v>
      </c>
      <c r="C44">
        <v>2.8295144696909071</v>
      </c>
      <c r="D44">
        <v>3</v>
      </c>
      <c r="E44">
        <v>1</v>
      </c>
      <c r="F44">
        <v>10</v>
      </c>
      <c r="G44">
        <v>968</v>
      </c>
      <c r="H44">
        <v>968</v>
      </c>
    </row>
    <row r="45" spans="1:20">
      <c r="A45" t="s">
        <v>199</v>
      </c>
      <c r="B45" t="s">
        <v>200</v>
      </c>
      <c r="C45">
        <v>2.7167942943653611</v>
      </c>
      <c r="D45">
        <v>2</v>
      </c>
      <c r="E45">
        <v>1</v>
      </c>
      <c r="F45">
        <v>7</v>
      </c>
      <c r="G45">
        <v>73</v>
      </c>
      <c r="H45">
        <v>968</v>
      </c>
    </row>
    <row r="46" spans="1:20">
      <c r="A46" t="s">
        <v>199</v>
      </c>
      <c r="B46" t="s">
        <v>201</v>
      </c>
      <c r="C46">
        <v>2.854166666666667</v>
      </c>
      <c r="D46">
        <v>3</v>
      </c>
      <c r="E46">
        <v>1</v>
      </c>
      <c r="F46">
        <v>6</v>
      </c>
      <c r="G46">
        <v>96</v>
      </c>
      <c r="H46">
        <v>968</v>
      </c>
    </row>
    <row r="47" spans="1:20">
      <c r="A47" t="s">
        <v>199</v>
      </c>
      <c r="B47" t="s">
        <v>202</v>
      </c>
      <c r="C47">
        <v>3.0740863109700469</v>
      </c>
      <c r="D47">
        <v>3</v>
      </c>
      <c r="E47">
        <v>1</v>
      </c>
      <c r="F47">
        <v>10</v>
      </c>
      <c r="G47">
        <v>98</v>
      </c>
      <c r="H47">
        <v>968</v>
      </c>
    </row>
    <row r="48" spans="1:20">
      <c r="A48" t="s">
        <v>199</v>
      </c>
      <c r="B48" t="s">
        <v>203</v>
      </c>
      <c r="C48">
        <v>3.0854258870176512</v>
      </c>
      <c r="D48">
        <v>3</v>
      </c>
      <c r="E48">
        <v>1</v>
      </c>
      <c r="F48">
        <v>9</v>
      </c>
      <c r="G48">
        <v>77</v>
      </c>
      <c r="H48">
        <v>968</v>
      </c>
    </row>
    <row r="49" spans="1:8">
      <c r="A49" t="s">
        <v>204</v>
      </c>
      <c r="B49" t="s">
        <v>205</v>
      </c>
      <c r="C49">
        <v>2.576832744581798</v>
      </c>
      <c r="D49">
        <v>2</v>
      </c>
      <c r="E49">
        <v>1</v>
      </c>
      <c r="F49">
        <v>6</v>
      </c>
      <c r="G49">
        <v>91</v>
      </c>
      <c r="H49">
        <v>968</v>
      </c>
    </row>
    <row r="50" spans="1:8">
      <c r="A50" t="s">
        <v>204</v>
      </c>
      <c r="B50" t="s">
        <v>206</v>
      </c>
      <c r="C50">
        <v>3.0718762675119842</v>
      </c>
      <c r="D50">
        <v>3</v>
      </c>
      <c r="E50">
        <v>1</v>
      </c>
      <c r="F50">
        <v>6</v>
      </c>
      <c r="G50">
        <v>72</v>
      </c>
      <c r="H50">
        <v>968</v>
      </c>
    </row>
    <row r="51" spans="1:8">
      <c r="A51" t="s">
        <v>204</v>
      </c>
      <c r="B51" t="s">
        <v>207</v>
      </c>
      <c r="C51">
        <v>2.7241256447257598</v>
      </c>
      <c r="D51">
        <v>3</v>
      </c>
      <c r="E51">
        <v>1</v>
      </c>
      <c r="F51">
        <v>9</v>
      </c>
      <c r="G51">
        <v>131</v>
      </c>
      <c r="H51">
        <v>968</v>
      </c>
    </row>
    <row r="52" spans="1:8">
      <c r="A52" t="s">
        <v>204</v>
      </c>
      <c r="B52" t="s">
        <v>208</v>
      </c>
      <c r="C52">
        <v>2.7027027027027031</v>
      </c>
      <c r="D52">
        <v>2</v>
      </c>
      <c r="E52">
        <v>1</v>
      </c>
      <c r="F52">
        <v>8</v>
      </c>
      <c r="G52">
        <v>74</v>
      </c>
      <c r="H52">
        <v>968</v>
      </c>
    </row>
    <row r="53" spans="1:8">
      <c r="A53" t="s">
        <v>209</v>
      </c>
      <c r="B53" t="s">
        <v>210</v>
      </c>
      <c r="C53">
        <v>2.7339256333812809</v>
      </c>
      <c r="D53">
        <v>2</v>
      </c>
      <c r="E53">
        <v>1</v>
      </c>
      <c r="F53">
        <v>7</v>
      </c>
      <c r="G53">
        <v>74</v>
      </c>
      <c r="H53">
        <v>968</v>
      </c>
    </row>
    <row r="54" spans="1:8">
      <c r="A54" t="s">
        <v>209</v>
      </c>
      <c r="B54" t="s">
        <v>211</v>
      </c>
      <c r="C54">
        <v>2.9394468524452928</v>
      </c>
      <c r="D54">
        <v>3</v>
      </c>
      <c r="E54">
        <v>1</v>
      </c>
      <c r="F54">
        <v>7</v>
      </c>
      <c r="G54">
        <v>97</v>
      </c>
      <c r="H54">
        <v>968</v>
      </c>
    </row>
    <row r="55" spans="1:8">
      <c r="A55" t="s">
        <v>209</v>
      </c>
      <c r="B55" t="s">
        <v>212</v>
      </c>
      <c r="C55">
        <v>3.0322391854936561</v>
      </c>
      <c r="D55">
        <v>3</v>
      </c>
      <c r="E55">
        <v>1</v>
      </c>
      <c r="F55">
        <v>9</v>
      </c>
      <c r="G55">
        <v>85</v>
      </c>
      <c r="H55">
        <v>968</v>
      </c>
    </row>
    <row r="57" spans="1:8">
      <c r="A57" t="s">
        <v>220</v>
      </c>
    </row>
    <row r="58" spans="1:8">
      <c r="A58" t="s">
        <v>189</v>
      </c>
      <c r="B58" t="s">
        <v>190</v>
      </c>
      <c r="C58" t="s">
        <v>191</v>
      </c>
      <c r="D58" t="s">
        <v>192</v>
      </c>
      <c r="E58" t="s">
        <v>193</v>
      </c>
      <c r="F58" t="s">
        <v>194</v>
      </c>
      <c r="G58" t="s">
        <v>195</v>
      </c>
      <c r="H58" t="s">
        <v>196</v>
      </c>
    </row>
    <row r="59" spans="1:8">
      <c r="A59" t="s">
        <v>197</v>
      </c>
      <c r="B59" t="s">
        <v>198</v>
      </c>
      <c r="C59">
        <v>35.116115741004023</v>
      </c>
      <c r="D59">
        <v>35</v>
      </c>
      <c r="E59">
        <v>0</v>
      </c>
      <c r="F59">
        <v>96</v>
      </c>
      <c r="G59">
        <v>2800</v>
      </c>
      <c r="H59">
        <v>2800</v>
      </c>
    </row>
    <row r="60" spans="1:8">
      <c r="A60" t="s">
        <v>199</v>
      </c>
      <c r="B60" t="s">
        <v>200</v>
      </c>
      <c r="C60">
        <v>35.993702884019079</v>
      </c>
      <c r="D60">
        <v>39</v>
      </c>
      <c r="E60">
        <v>1</v>
      </c>
      <c r="F60">
        <v>96</v>
      </c>
      <c r="G60">
        <v>182</v>
      </c>
      <c r="H60">
        <v>2800</v>
      </c>
    </row>
    <row r="61" spans="1:8">
      <c r="A61" t="s">
        <v>199</v>
      </c>
      <c r="B61" t="s">
        <v>201</v>
      </c>
      <c r="C61">
        <v>31.95255474452555</v>
      </c>
      <c r="D61">
        <v>33</v>
      </c>
      <c r="E61">
        <v>0</v>
      </c>
      <c r="F61">
        <v>88</v>
      </c>
      <c r="G61">
        <v>274</v>
      </c>
      <c r="H61">
        <v>2800</v>
      </c>
    </row>
    <row r="62" spans="1:8">
      <c r="A62" t="s">
        <v>199</v>
      </c>
      <c r="B62" t="s">
        <v>202</v>
      </c>
      <c r="C62">
        <v>36.488564134184948</v>
      </c>
      <c r="D62">
        <v>36</v>
      </c>
      <c r="E62">
        <v>0</v>
      </c>
      <c r="F62">
        <v>96</v>
      </c>
      <c r="G62">
        <v>298</v>
      </c>
      <c r="H62">
        <v>2800</v>
      </c>
    </row>
    <row r="63" spans="1:8">
      <c r="A63" t="s">
        <v>199</v>
      </c>
      <c r="B63" t="s">
        <v>203</v>
      </c>
      <c r="C63">
        <v>31.81799766122673</v>
      </c>
      <c r="D63">
        <v>33</v>
      </c>
      <c r="E63">
        <v>0</v>
      </c>
      <c r="F63">
        <v>83</v>
      </c>
      <c r="G63">
        <v>243</v>
      </c>
      <c r="H63">
        <v>2800</v>
      </c>
    </row>
    <row r="64" spans="1:8">
      <c r="A64" t="s">
        <v>204</v>
      </c>
      <c r="B64" t="s">
        <v>205</v>
      </c>
      <c r="C64">
        <v>37.612219468262722</v>
      </c>
      <c r="D64">
        <v>35</v>
      </c>
      <c r="E64">
        <v>0</v>
      </c>
      <c r="F64">
        <v>85</v>
      </c>
      <c r="G64">
        <v>253</v>
      </c>
      <c r="H64">
        <v>2800</v>
      </c>
    </row>
    <row r="65" spans="1:8">
      <c r="A65" t="s">
        <v>204</v>
      </c>
      <c r="B65" t="s">
        <v>206</v>
      </c>
      <c r="C65">
        <v>29.35282978359108</v>
      </c>
      <c r="D65">
        <v>30</v>
      </c>
      <c r="E65">
        <v>0</v>
      </c>
      <c r="F65">
        <v>87</v>
      </c>
      <c r="G65">
        <v>219</v>
      </c>
      <c r="H65">
        <v>2800</v>
      </c>
    </row>
    <row r="66" spans="1:8">
      <c r="A66" t="s">
        <v>204</v>
      </c>
      <c r="B66" t="s">
        <v>207</v>
      </c>
      <c r="C66">
        <v>36.097595731486351</v>
      </c>
      <c r="D66">
        <v>33</v>
      </c>
      <c r="E66">
        <v>0</v>
      </c>
      <c r="F66">
        <v>94</v>
      </c>
      <c r="G66">
        <v>376</v>
      </c>
      <c r="H66">
        <v>2800</v>
      </c>
    </row>
    <row r="67" spans="1:8">
      <c r="A67" t="s">
        <v>204</v>
      </c>
      <c r="B67" t="s">
        <v>208</v>
      </c>
      <c r="C67">
        <v>35.774999999999999</v>
      </c>
      <c r="D67">
        <v>36</v>
      </c>
      <c r="E67">
        <v>0</v>
      </c>
      <c r="F67">
        <v>96</v>
      </c>
      <c r="G67">
        <v>200</v>
      </c>
      <c r="H67">
        <v>2800</v>
      </c>
    </row>
    <row r="68" spans="1:8">
      <c r="A68" t="s">
        <v>209</v>
      </c>
      <c r="B68" t="s">
        <v>210</v>
      </c>
      <c r="C68">
        <v>37.614469930144757</v>
      </c>
      <c r="D68">
        <v>39</v>
      </c>
      <c r="E68">
        <v>0</v>
      </c>
      <c r="F68">
        <v>96</v>
      </c>
      <c r="G68">
        <v>208</v>
      </c>
      <c r="H68">
        <v>2800</v>
      </c>
    </row>
    <row r="69" spans="1:8">
      <c r="A69" t="s">
        <v>209</v>
      </c>
      <c r="B69" t="s">
        <v>211</v>
      </c>
      <c r="C69">
        <v>34.93787818522113</v>
      </c>
      <c r="D69">
        <v>34</v>
      </c>
      <c r="E69">
        <v>0</v>
      </c>
      <c r="F69">
        <v>94</v>
      </c>
      <c r="G69">
        <v>289</v>
      </c>
      <c r="H69">
        <v>2800</v>
      </c>
    </row>
    <row r="70" spans="1:8">
      <c r="A70" t="s">
        <v>209</v>
      </c>
      <c r="B70" t="s">
        <v>212</v>
      </c>
      <c r="C70">
        <v>34.340285777351227</v>
      </c>
      <c r="D70">
        <v>35</v>
      </c>
      <c r="E70">
        <v>0</v>
      </c>
      <c r="F70">
        <v>87</v>
      </c>
      <c r="G70">
        <v>258</v>
      </c>
      <c r="H70">
        <v>2800</v>
      </c>
    </row>
    <row r="72" spans="1:8">
      <c r="A72" t="s">
        <v>221</v>
      </c>
    </row>
    <row r="73" spans="1:8">
      <c r="A73" t="s">
        <v>189</v>
      </c>
      <c r="B73" t="s">
        <v>195</v>
      </c>
      <c r="C73" t="s">
        <v>190</v>
      </c>
      <c r="D73" t="s">
        <v>196</v>
      </c>
      <c r="E73" t="s">
        <v>222</v>
      </c>
      <c r="F73" t="s">
        <v>223</v>
      </c>
      <c r="G73" t="s">
        <v>224</v>
      </c>
    </row>
    <row r="74" spans="1:8">
      <c r="A74" t="s">
        <v>197</v>
      </c>
      <c r="B74">
        <v>2800</v>
      </c>
      <c r="C74" t="s">
        <v>198</v>
      </c>
      <c r="D74">
        <v>2800</v>
      </c>
      <c r="E74" s="1">
        <v>0.42949999999999999</v>
      </c>
      <c r="F74" s="1">
        <v>0</v>
      </c>
      <c r="G74" s="1">
        <v>0.57050000000000001</v>
      </c>
    </row>
    <row r="75" spans="1:8">
      <c r="A75" t="s">
        <v>204</v>
      </c>
      <c r="B75">
        <v>253</v>
      </c>
      <c r="C75" t="s">
        <v>205</v>
      </c>
      <c r="D75">
        <v>2800</v>
      </c>
      <c r="E75" s="1">
        <v>0.39019999999999999</v>
      </c>
      <c r="G75" s="1">
        <v>0.60980000000000001</v>
      </c>
    </row>
    <row r="76" spans="1:8">
      <c r="A76" t="s">
        <v>204</v>
      </c>
      <c r="B76">
        <v>219</v>
      </c>
      <c r="C76" t="s">
        <v>206</v>
      </c>
      <c r="D76">
        <v>2800</v>
      </c>
      <c r="E76" s="1">
        <v>0.41710000000000003</v>
      </c>
      <c r="G76" s="1">
        <v>0.58289999999999997</v>
      </c>
    </row>
    <row r="77" spans="1:8">
      <c r="A77" t="s">
        <v>204</v>
      </c>
      <c r="B77">
        <v>376</v>
      </c>
      <c r="C77" t="s">
        <v>207</v>
      </c>
      <c r="D77">
        <v>2800</v>
      </c>
      <c r="E77" s="1">
        <v>0.46229999999999999</v>
      </c>
      <c r="G77" s="1">
        <v>0.53769999999999996</v>
      </c>
    </row>
    <row r="78" spans="1:8">
      <c r="A78" t="s">
        <v>204</v>
      </c>
      <c r="B78">
        <v>200</v>
      </c>
      <c r="C78" t="s">
        <v>208</v>
      </c>
      <c r="D78">
        <v>2800</v>
      </c>
      <c r="E78" s="1">
        <v>0.43</v>
      </c>
      <c r="G78" s="1">
        <v>0.56999999999999995</v>
      </c>
    </row>
    <row r="79" spans="1:8">
      <c r="A79" t="s">
        <v>199</v>
      </c>
      <c r="B79">
        <v>182</v>
      </c>
      <c r="C79" t="s">
        <v>200</v>
      </c>
      <c r="D79">
        <v>2800</v>
      </c>
      <c r="E79" s="1">
        <v>0.371</v>
      </c>
      <c r="G79" s="1">
        <v>0.629</v>
      </c>
    </row>
    <row r="80" spans="1:8">
      <c r="A80" t="s">
        <v>199</v>
      </c>
      <c r="B80">
        <v>274</v>
      </c>
      <c r="C80" t="s">
        <v>201</v>
      </c>
      <c r="D80">
        <v>2800</v>
      </c>
      <c r="E80" s="1">
        <v>0.41239999999999999</v>
      </c>
      <c r="G80" s="1">
        <v>0.58760000000000001</v>
      </c>
    </row>
    <row r="81" spans="1:12">
      <c r="A81" t="s">
        <v>199</v>
      </c>
      <c r="B81">
        <v>298</v>
      </c>
      <c r="C81" t="s">
        <v>202</v>
      </c>
      <c r="D81">
        <v>2800</v>
      </c>
      <c r="E81" s="1">
        <v>0.48220000000000002</v>
      </c>
      <c r="G81" s="1">
        <v>0.51780000000000004</v>
      </c>
    </row>
    <row r="82" spans="1:12">
      <c r="A82" t="s">
        <v>199</v>
      </c>
      <c r="B82">
        <v>243</v>
      </c>
      <c r="C82" t="s">
        <v>203</v>
      </c>
      <c r="D82">
        <v>2800</v>
      </c>
      <c r="E82" s="1">
        <v>0.4647</v>
      </c>
      <c r="G82" s="1">
        <v>0.5353</v>
      </c>
    </row>
    <row r="83" spans="1:12">
      <c r="A83" t="s">
        <v>209</v>
      </c>
      <c r="B83">
        <v>208</v>
      </c>
      <c r="C83" t="s">
        <v>210</v>
      </c>
      <c r="D83">
        <v>2800</v>
      </c>
      <c r="E83" s="1">
        <v>0.39939999999999998</v>
      </c>
      <c r="F83" s="1">
        <v>3.0999999999999999E-3</v>
      </c>
      <c r="G83" s="1">
        <v>0.59760000000000002</v>
      </c>
    </row>
    <row r="84" spans="1:12">
      <c r="A84" t="s">
        <v>209</v>
      </c>
      <c r="B84">
        <v>289</v>
      </c>
      <c r="C84" t="s">
        <v>211</v>
      </c>
      <c r="D84">
        <v>2800</v>
      </c>
      <c r="E84" s="1">
        <v>0.41470000000000001</v>
      </c>
      <c r="G84" s="1">
        <v>0.58530000000000004</v>
      </c>
    </row>
    <row r="85" spans="1:12">
      <c r="A85" t="s">
        <v>209</v>
      </c>
      <c r="B85">
        <v>258</v>
      </c>
      <c r="C85" t="s">
        <v>212</v>
      </c>
      <c r="D85">
        <v>2800</v>
      </c>
      <c r="E85" s="1">
        <v>0.41649999999999998</v>
      </c>
      <c r="G85" s="1">
        <v>0.58350000000000002</v>
      </c>
    </row>
    <row r="87" spans="1:12">
      <c r="A87" t="s">
        <v>225</v>
      </c>
    </row>
    <row r="88" spans="1:12">
      <c r="A88" t="s">
        <v>189</v>
      </c>
      <c r="B88" t="s">
        <v>195</v>
      </c>
      <c r="C88" t="s">
        <v>190</v>
      </c>
      <c r="D88" t="s">
        <v>196</v>
      </c>
      <c r="E88" t="s">
        <v>226</v>
      </c>
      <c r="F88" t="s">
        <v>227</v>
      </c>
      <c r="G88" t="s">
        <v>228</v>
      </c>
      <c r="H88" t="s">
        <v>229</v>
      </c>
      <c r="I88" t="s">
        <v>230</v>
      </c>
      <c r="J88" t="s">
        <v>231</v>
      </c>
      <c r="K88" t="s">
        <v>232</v>
      </c>
      <c r="L88" t="s">
        <v>233</v>
      </c>
    </row>
    <row r="89" spans="1:12">
      <c r="A89" t="s">
        <v>197</v>
      </c>
      <c r="B89">
        <v>1384</v>
      </c>
      <c r="C89" t="s">
        <v>198</v>
      </c>
      <c r="D89">
        <v>1384</v>
      </c>
      <c r="E89" s="1">
        <v>3.3500000000000002E-2</v>
      </c>
      <c r="F89" s="1">
        <v>0.1724</v>
      </c>
      <c r="G89" s="1">
        <v>1.4E-3</v>
      </c>
      <c r="H89" s="1">
        <v>2.7000000000000001E-3</v>
      </c>
      <c r="I89" s="1">
        <v>7.9000000000000008E-3</v>
      </c>
      <c r="J89" s="1">
        <v>3.3999999999999998E-3</v>
      </c>
      <c r="K89" s="1">
        <v>0.44519999999999998</v>
      </c>
      <c r="L89" s="1">
        <v>0.33350000000000002</v>
      </c>
    </row>
    <row r="90" spans="1:12">
      <c r="A90" t="s">
        <v>204</v>
      </c>
      <c r="B90">
        <v>128</v>
      </c>
      <c r="C90" t="s">
        <v>205</v>
      </c>
      <c r="D90">
        <v>1384</v>
      </c>
      <c r="E90" s="1">
        <v>2.63E-2</v>
      </c>
      <c r="F90" s="1">
        <v>0.1158</v>
      </c>
      <c r="H90" s="1">
        <v>9.7999999999999997E-3</v>
      </c>
      <c r="K90" s="1">
        <v>0.40160000000000001</v>
      </c>
      <c r="L90" s="1">
        <v>0.44640000000000002</v>
      </c>
    </row>
    <row r="91" spans="1:12">
      <c r="A91" t="s">
        <v>204</v>
      </c>
      <c r="B91">
        <v>93</v>
      </c>
      <c r="C91" t="s">
        <v>206</v>
      </c>
      <c r="D91">
        <v>1384</v>
      </c>
      <c r="E91" s="1">
        <v>6.8000000000000005E-2</v>
      </c>
      <c r="F91" s="1">
        <v>0.20219999999999999</v>
      </c>
      <c r="J91" s="1">
        <v>1.2500000000000001E-2</v>
      </c>
      <c r="K91" s="1">
        <v>0.24859999999999999</v>
      </c>
      <c r="L91" s="1">
        <v>0.46870000000000001</v>
      </c>
    </row>
    <row r="92" spans="1:12">
      <c r="A92" t="s">
        <v>204</v>
      </c>
      <c r="B92">
        <v>190</v>
      </c>
      <c r="C92" t="s">
        <v>207</v>
      </c>
      <c r="D92">
        <v>1384</v>
      </c>
      <c r="E92" s="1">
        <v>4.3099999999999999E-2</v>
      </c>
      <c r="F92" s="1">
        <v>0.1613</v>
      </c>
      <c r="G92" s="1">
        <v>1.6000000000000001E-3</v>
      </c>
      <c r="I92" s="1">
        <v>3.1199999999999999E-2</v>
      </c>
      <c r="J92" s="1">
        <v>7.1000000000000004E-3</v>
      </c>
      <c r="K92" s="1">
        <v>0.46389999999999998</v>
      </c>
      <c r="L92" s="1">
        <v>0.29170000000000001</v>
      </c>
    </row>
    <row r="93" spans="1:12">
      <c r="A93" t="s">
        <v>204</v>
      </c>
      <c r="B93">
        <v>101</v>
      </c>
      <c r="C93" t="s">
        <v>208</v>
      </c>
      <c r="D93">
        <v>1384</v>
      </c>
      <c r="E93" s="1">
        <v>7.9200000000000007E-2</v>
      </c>
      <c r="F93" s="1">
        <v>0.23760000000000001</v>
      </c>
      <c r="J93" s="1">
        <v>9.9000000000000008E-3</v>
      </c>
      <c r="K93" s="1">
        <v>0.26729999999999998</v>
      </c>
      <c r="L93" s="1">
        <v>0.40589999999999998</v>
      </c>
    </row>
    <row r="94" spans="1:12">
      <c r="A94" t="s">
        <v>199</v>
      </c>
      <c r="B94">
        <v>109</v>
      </c>
      <c r="C94" t="s">
        <v>200</v>
      </c>
      <c r="D94">
        <v>1384</v>
      </c>
      <c r="E94" s="1">
        <v>5.0599999999999999E-2</v>
      </c>
      <c r="F94" s="1">
        <v>0.1147</v>
      </c>
      <c r="J94" s="1">
        <v>1.9E-3</v>
      </c>
      <c r="K94" s="1">
        <v>0.2429</v>
      </c>
      <c r="L94" s="1">
        <v>0.58989999999999998</v>
      </c>
    </row>
    <row r="95" spans="1:12">
      <c r="A95" t="s">
        <v>199</v>
      </c>
      <c r="B95">
        <v>139</v>
      </c>
      <c r="C95" t="s">
        <v>201</v>
      </c>
      <c r="D95">
        <v>1384</v>
      </c>
      <c r="E95" s="1">
        <v>7.1999999999999998E-3</v>
      </c>
      <c r="F95" s="1">
        <v>0.13669999999999999</v>
      </c>
      <c r="K95" s="1">
        <v>0.67630000000000001</v>
      </c>
      <c r="L95" s="1">
        <v>0.1799</v>
      </c>
    </row>
    <row r="96" spans="1:12">
      <c r="A96" t="s">
        <v>199</v>
      </c>
      <c r="B96">
        <v>157</v>
      </c>
      <c r="C96" t="s">
        <v>202</v>
      </c>
      <c r="D96">
        <v>1384</v>
      </c>
      <c r="E96" s="1">
        <v>2.1999999999999999E-2</v>
      </c>
      <c r="F96" s="1">
        <v>0.29020000000000001</v>
      </c>
      <c r="I96" s="1">
        <v>8.6E-3</v>
      </c>
      <c r="K96" s="1">
        <v>0.41959999999999997</v>
      </c>
      <c r="L96" s="1">
        <v>0.2596</v>
      </c>
    </row>
    <row r="97" spans="1:13">
      <c r="A97" t="s">
        <v>199</v>
      </c>
      <c r="B97">
        <v>109</v>
      </c>
      <c r="C97" t="s">
        <v>203</v>
      </c>
      <c r="D97">
        <v>1384</v>
      </c>
      <c r="E97" s="1">
        <v>6.4500000000000002E-2</v>
      </c>
      <c r="F97" s="1">
        <v>0.20030000000000001</v>
      </c>
      <c r="G97" s="1">
        <v>1.9599999999999999E-2</v>
      </c>
      <c r="H97" s="1">
        <v>6.0000000000000001E-3</v>
      </c>
      <c r="J97" s="1">
        <v>2.5000000000000001E-2</v>
      </c>
      <c r="K97" s="1">
        <v>0.2636</v>
      </c>
      <c r="L97" s="1">
        <v>0.4209</v>
      </c>
    </row>
    <row r="98" spans="1:13">
      <c r="A98" t="s">
        <v>209</v>
      </c>
      <c r="B98">
        <v>101</v>
      </c>
      <c r="C98" t="s">
        <v>210</v>
      </c>
      <c r="D98">
        <v>1384</v>
      </c>
      <c r="E98" s="1">
        <v>3.9100000000000003E-2</v>
      </c>
      <c r="F98" s="1">
        <v>0.29249999999999998</v>
      </c>
      <c r="G98" s="1">
        <v>1.2999999999999999E-2</v>
      </c>
      <c r="J98" s="1">
        <v>3.9100000000000003E-2</v>
      </c>
      <c r="K98" s="1">
        <v>0.31059999999999999</v>
      </c>
      <c r="L98" s="1">
        <v>0.30559999999999998</v>
      </c>
    </row>
    <row r="99" spans="1:13">
      <c r="A99" t="s">
        <v>209</v>
      </c>
      <c r="B99">
        <v>138</v>
      </c>
      <c r="C99" t="s">
        <v>211</v>
      </c>
      <c r="D99">
        <v>1384</v>
      </c>
      <c r="E99" s="1">
        <v>6.4500000000000002E-2</v>
      </c>
      <c r="F99" s="1">
        <v>0.1512</v>
      </c>
      <c r="G99" s="1">
        <v>8.6E-3</v>
      </c>
      <c r="I99" s="1">
        <v>8.6E-3</v>
      </c>
      <c r="J99" s="1">
        <v>8.6E-3</v>
      </c>
      <c r="K99" s="1">
        <v>0.3377</v>
      </c>
      <c r="L99" s="1">
        <v>0.42080000000000001</v>
      </c>
    </row>
    <row r="100" spans="1:13">
      <c r="A100" t="s">
        <v>209</v>
      </c>
      <c r="B100">
        <v>119</v>
      </c>
      <c r="C100" t="s">
        <v>212</v>
      </c>
      <c r="D100">
        <v>1384</v>
      </c>
      <c r="E100" s="1">
        <v>3.8300000000000001E-2</v>
      </c>
      <c r="F100" s="1">
        <v>0.1487</v>
      </c>
      <c r="H100" s="1">
        <v>5.1999999999999998E-3</v>
      </c>
      <c r="I100" s="1">
        <v>0.01</v>
      </c>
      <c r="K100" s="1">
        <v>0.41089999999999999</v>
      </c>
      <c r="L100" s="1">
        <v>0.38690000000000002</v>
      </c>
    </row>
    <row r="102" spans="1:13">
      <c r="A102" t="s">
        <v>234</v>
      </c>
    </row>
    <row r="103" spans="1:13">
      <c r="A103" t="s">
        <v>214</v>
      </c>
      <c r="B103" t="s">
        <v>189</v>
      </c>
      <c r="C103" t="s">
        <v>195</v>
      </c>
      <c r="D103" t="s">
        <v>190</v>
      </c>
      <c r="E103" t="s">
        <v>196</v>
      </c>
      <c r="F103" t="s">
        <v>226</v>
      </c>
      <c r="G103" t="s">
        <v>227</v>
      </c>
      <c r="H103" t="s">
        <v>228</v>
      </c>
      <c r="I103" t="s">
        <v>229</v>
      </c>
      <c r="J103" t="s">
        <v>230</v>
      </c>
      <c r="K103" t="s">
        <v>231</v>
      </c>
      <c r="L103" t="s">
        <v>232</v>
      </c>
      <c r="M103" t="s">
        <v>233</v>
      </c>
    </row>
    <row r="104" spans="1:13">
      <c r="A104" t="s">
        <v>198</v>
      </c>
      <c r="B104" t="s">
        <v>197</v>
      </c>
      <c r="C104">
        <v>1384</v>
      </c>
      <c r="D104" t="s">
        <v>198</v>
      </c>
      <c r="E104">
        <v>1384</v>
      </c>
      <c r="F104" s="1">
        <v>3.3500000000000002E-2</v>
      </c>
      <c r="G104" s="1">
        <v>0.1724</v>
      </c>
      <c r="H104" s="1">
        <v>1.4E-3</v>
      </c>
      <c r="I104" s="1">
        <v>2.7000000000000001E-3</v>
      </c>
      <c r="J104" s="1">
        <v>7.9000000000000008E-3</v>
      </c>
      <c r="K104" s="1">
        <v>3.3999999999999998E-3</v>
      </c>
      <c r="L104" s="1">
        <v>0.44519999999999998</v>
      </c>
      <c r="M104" s="1">
        <v>0.33350000000000002</v>
      </c>
    </row>
    <row r="105" spans="1:13">
      <c r="A105" t="s">
        <v>235</v>
      </c>
      <c r="B105" t="s">
        <v>204</v>
      </c>
      <c r="C105">
        <v>85</v>
      </c>
      <c r="D105" t="s">
        <v>208</v>
      </c>
      <c r="E105">
        <v>1384</v>
      </c>
      <c r="F105" s="1">
        <v>9.4100000000000003E-2</v>
      </c>
      <c r="G105" s="1">
        <v>0.23530000000000001</v>
      </c>
      <c r="K105" s="1">
        <v>1.18E-2</v>
      </c>
      <c r="L105" s="1">
        <v>0.30590000000000001</v>
      </c>
      <c r="M105" s="1">
        <v>0.35289999999999999</v>
      </c>
    </row>
    <row r="106" spans="1:13">
      <c r="A106" t="s">
        <v>236</v>
      </c>
      <c r="B106" t="s">
        <v>204</v>
      </c>
      <c r="C106">
        <v>48</v>
      </c>
      <c r="D106" t="s">
        <v>205</v>
      </c>
      <c r="E106">
        <v>1384</v>
      </c>
      <c r="F106" s="1">
        <v>0.13120000000000001</v>
      </c>
      <c r="G106" s="1">
        <v>9.2899999999999996E-2</v>
      </c>
      <c r="L106" s="1">
        <v>0.35930000000000001</v>
      </c>
      <c r="M106" s="1">
        <v>0.41649999999999998</v>
      </c>
    </row>
    <row r="107" spans="1:13">
      <c r="A107" t="s">
        <v>235</v>
      </c>
      <c r="B107" t="s">
        <v>204</v>
      </c>
      <c r="C107">
        <v>78</v>
      </c>
      <c r="D107" t="s">
        <v>205</v>
      </c>
      <c r="E107">
        <v>1384</v>
      </c>
      <c r="G107" s="1">
        <v>0.1198</v>
      </c>
      <c r="I107" s="1">
        <v>1.24E-2</v>
      </c>
      <c r="L107" s="1">
        <v>0.41399999999999998</v>
      </c>
      <c r="M107" s="1">
        <v>0.45379999999999998</v>
      </c>
    </row>
    <row r="108" spans="1:13" s="26" customFormat="1">
      <c r="A108" s="26" t="s">
        <v>236</v>
      </c>
      <c r="B108" s="26" t="s">
        <v>204</v>
      </c>
      <c r="C108" s="26">
        <v>25</v>
      </c>
      <c r="D108" s="26" t="s">
        <v>206</v>
      </c>
      <c r="E108" s="26">
        <v>1384</v>
      </c>
      <c r="F108" s="27">
        <v>0.1366</v>
      </c>
      <c r="G108" s="27">
        <v>0.1943</v>
      </c>
      <c r="L108" s="27">
        <v>0.2303</v>
      </c>
      <c r="M108" s="27">
        <v>0.43890000000000001</v>
      </c>
    </row>
    <row r="109" spans="1:13">
      <c r="A109" t="s">
        <v>235</v>
      </c>
      <c r="B109" t="s">
        <v>204</v>
      </c>
      <c r="C109">
        <v>62</v>
      </c>
      <c r="D109" t="s">
        <v>206</v>
      </c>
      <c r="E109">
        <v>1384</v>
      </c>
      <c r="F109" s="1">
        <v>3.61E-2</v>
      </c>
      <c r="G109" s="1">
        <v>0.20880000000000001</v>
      </c>
      <c r="K109" s="1">
        <v>1.7999999999999999E-2</v>
      </c>
      <c r="L109" s="1">
        <v>0.26290000000000002</v>
      </c>
      <c r="M109" s="1">
        <v>0.4743</v>
      </c>
    </row>
    <row r="110" spans="1:13">
      <c r="A110" t="s">
        <v>236</v>
      </c>
      <c r="B110" t="s">
        <v>204</v>
      </c>
      <c r="C110">
        <v>115</v>
      </c>
      <c r="D110" t="s">
        <v>207</v>
      </c>
      <c r="E110">
        <v>1384</v>
      </c>
      <c r="F110" s="1">
        <v>0.03</v>
      </c>
      <c r="G110" s="1">
        <v>0.15479999999999999</v>
      </c>
      <c r="H110" s="1">
        <v>4.3E-3</v>
      </c>
      <c r="K110" s="1">
        <v>1.46E-2</v>
      </c>
      <c r="L110" s="1">
        <v>0.43369999999999997</v>
      </c>
      <c r="M110" s="1">
        <v>0.36270000000000002</v>
      </c>
    </row>
    <row r="111" spans="1:13">
      <c r="A111" t="s">
        <v>235</v>
      </c>
      <c r="B111" t="s">
        <v>204</v>
      </c>
      <c r="C111">
        <v>66</v>
      </c>
      <c r="D111" t="s">
        <v>207</v>
      </c>
      <c r="E111">
        <v>1384</v>
      </c>
      <c r="F111" s="1">
        <v>5.2299999999999999E-2</v>
      </c>
      <c r="G111" s="1">
        <v>0.1615</v>
      </c>
      <c r="J111" s="1">
        <v>5.1200000000000002E-2</v>
      </c>
      <c r="L111" s="1">
        <v>0.4889</v>
      </c>
      <c r="M111" s="1">
        <v>0.2462</v>
      </c>
    </row>
    <row r="112" spans="1:13" s="26" customFormat="1">
      <c r="A112" s="26" t="s">
        <v>236</v>
      </c>
      <c r="B112" s="26" t="s">
        <v>204</v>
      </c>
      <c r="C112" s="26">
        <v>16</v>
      </c>
      <c r="D112" s="26" t="s">
        <v>208</v>
      </c>
      <c r="E112" s="26">
        <v>1384</v>
      </c>
      <c r="G112" s="27">
        <v>0.25</v>
      </c>
      <c r="L112" s="27">
        <v>6.25E-2</v>
      </c>
      <c r="M112" s="27">
        <v>0.6875</v>
      </c>
    </row>
    <row r="113" spans="1:20">
      <c r="A113" t="s">
        <v>235</v>
      </c>
      <c r="B113" t="s">
        <v>199</v>
      </c>
      <c r="C113">
        <v>60</v>
      </c>
      <c r="D113" t="s">
        <v>203</v>
      </c>
      <c r="E113">
        <v>1384</v>
      </c>
      <c r="F113" s="1">
        <v>0.1043</v>
      </c>
      <c r="G113" s="1">
        <v>0.18179999999999999</v>
      </c>
      <c r="H113" s="1">
        <v>3.1699999999999999E-2</v>
      </c>
      <c r="I113" s="1">
        <v>9.7000000000000003E-3</v>
      </c>
      <c r="K113" s="1">
        <v>8.8000000000000005E-3</v>
      </c>
      <c r="L113" s="1">
        <v>0.30459999999999998</v>
      </c>
      <c r="M113" s="1">
        <v>0.35909999999999997</v>
      </c>
    </row>
    <row r="114" spans="1:20">
      <c r="A114" t="s">
        <v>236</v>
      </c>
      <c r="B114" t="s">
        <v>199</v>
      </c>
      <c r="C114">
        <v>48</v>
      </c>
      <c r="D114" t="s">
        <v>203</v>
      </c>
      <c r="E114">
        <v>1384</v>
      </c>
      <c r="G114" s="1">
        <v>0.2429</v>
      </c>
      <c r="K114" s="1">
        <v>5.4300000000000001E-2</v>
      </c>
      <c r="L114" s="1">
        <v>0.15340000000000001</v>
      </c>
      <c r="M114" s="1">
        <v>0.54949999999999999</v>
      </c>
    </row>
    <row r="115" spans="1:20">
      <c r="A115" t="s">
        <v>235</v>
      </c>
      <c r="B115" t="s">
        <v>199</v>
      </c>
      <c r="C115">
        <v>94</v>
      </c>
      <c r="D115" t="s">
        <v>202</v>
      </c>
      <c r="E115">
        <v>1384</v>
      </c>
      <c r="F115" s="1">
        <v>3.9600000000000003E-2</v>
      </c>
      <c r="G115" s="1">
        <v>0.21659999999999999</v>
      </c>
      <c r="J115" s="1">
        <v>1.54E-2</v>
      </c>
      <c r="L115" s="1">
        <v>0.48649999999999999</v>
      </c>
      <c r="M115" s="1">
        <v>0.2419</v>
      </c>
    </row>
    <row r="116" spans="1:20">
      <c r="A116" t="s">
        <v>236</v>
      </c>
      <c r="B116" t="s">
        <v>199</v>
      </c>
      <c r="C116">
        <v>38</v>
      </c>
      <c r="D116" t="s">
        <v>200</v>
      </c>
      <c r="E116">
        <v>1384</v>
      </c>
      <c r="F116" s="1">
        <v>4.1099999999999998E-2</v>
      </c>
      <c r="G116" s="1">
        <v>0.19850000000000001</v>
      </c>
      <c r="L116" s="1">
        <v>0.25309999999999999</v>
      </c>
      <c r="M116" s="1">
        <v>0.50729999999999997</v>
      </c>
    </row>
    <row r="117" spans="1:20">
      <c r="A117" t="s">
        <v>235</v>
      </c>
      <c r="B117" t="s">
        <v>199</v>
      </c>
      <c r="C117">
        <v>67</v>
      </c>
      <c r="D117" t="s">
        <v>200</v>
      </c>
      <c r="E117">
        <v>1384</v>
      </c>
      <c r="F117" s="1">
        <v>5.9799999999999999E-2</v>
      </c>
      <c r="G117" s="1">
        <v>3.6900000000000002E-2</v>
      </c>
      <c r="K117" s="1">
        <v>3.7000000000000002E-3</v>
      </c>
      <c r="L117" s="1">
        <v>0.2316</v>
      </c>
      <c r="M117" s="1">
        <v>0.66800000000000004</v>
      </c>
    </row>
    <row r="118" spans="1:20">
      <c r="A118" t="s">
        <v>236</v>
      </c>
      <c r="B118" t="s">
        <v>199</v>
      </c>
      <c r="C118">
        <v>61</v>
      </c>
      <c r="D118" t="s">
        <v>202</v>
      </c>
      <c r="E118">
        <v>1384</v>
      </c>
      <c r="G118" s="1">
        <v>0.39789999999999998</v>
      </c>
      <c r="L118" s="1">
        <v>0.30890000000000001</v>
      </c>
      <c r="M118" s="1">
        <v>0.29330000000000001</v>
      </c>
    </row>
    <row r="119" spans="1:20">
      <c r="A119" t="s">
        <v>235</v>
      </c>
      <c r="B119" t="s">
        <v>199</v>
      </c>
      <c r="C119">
        <v>139</v>
      </c>
      <c r="D119" t="s">
        <v>201</v>
      </c>
      <c r="E119">
        <v>1384</v>
      </c>
      <c r="F119" s="1">
        <v>7.1999999999999998E-3</v>
      </c>
      <c r="G119" s="1">
        <v>0.13669999999999999</v>
      </c>
      <c r="L119" s="1">
        <v>0.67630000000000001</v>
      </c>
      <c r="M119" s="1">
        <v>0.1799</v>
      </c>
    </row>
    <row r="120" spans="1:20">
      <c r="A120" t="s">
        <v>236</v>
      </c>
      <c r="B120" t="s">
        <v>209</v>
      </c>
      <c r="C120">
        <v>53</v>
      </c>
      <c r="D120" t="s">
        <v>211</v>
      </c>
      <c r="E120">
        <v>1384</v>
      </c>
      <c r="F120" s="1">
        <v>9.3700000000000006E-2</v>
      </c>
      <c r="G120" s="1">
        <v>0.21729999999999999</v>
      </c>
      <c r="H120" s="1">
        <v>2.53E-2</v>
      </c>
      <c r="L120" s="1">
        <v>0.27089999999999997</v>
      </c>
      <c r="M120" s="1">
        <v>0.39279999999999998</v>
      </c>
    </row>
    <row r="121" spans="1:20">
      <c r="A121" t="s">
        <v>235</v>
      </c>
      <c r="B121" t="s">
        <v>209</v>
      </c>
      <c r="C121">
        <v>83</v>
      </c>
      <c r="D121" t="s">
        <v>211</v>
      </c>
      <c r="E121">
        <v>1384</v>
      </c>
      <c r="F121" s="1">
        <v>5.1299999999999998E-2</v>
      </c>
      <c r="G121" s="1">
        <v>0.12139999999999999</v>
      </c>
      <c r="J121" s="1">
        <v>1.34E-2</v>
      </c>
      <c r="K121" s="1">
        <v>1.34E-2</v>
      </c>
      <c r="L121" s="1">
        <v>0.35060000000000002</v>
      </c>
      <c r="M121" s="1">
        <v>0.45</v>
      </c>
    </row>
    <row r="122" spans="1:20">
      <c r="A122" t="s">
        <v>235</v>
      </c>
      <c r="B122" t="s">
        <v>209</v>
      </c>
      <c r="C122">
        <v>92</v>
      </c>
      <c r="D122" t="s">
        <v>212</v>
      </c>
      <c r="E122">
        <v>1384</v>
      </c>
      <c r="F122" s="1">
        <v>4.48E-2</v>
      </c>
      <c r="G122" s="1">
        <v>0.158</v>
      </c>
      <c r="J122" s="1">
        <v>1.17E-2</v>
      </c>
      <c r="L122" s="1">
        <v>0.4012</v>
      </c>
      <c r="M122" s="1">
        <v>0.38419999999999999</v>
      </c>
    </row>
    <row r="123" spans="1:20" s="26" customFormat="1">
      <c r="A123" s="26" t="s">
        <v>236</v>
      </c>
      <c r="B123" s="26" t="s">
        <v>209</v>
      </c>
      <c r="C123" s="26">
        <v>27</v>
      </c>
      <c r="D123" s="26" t="s">
        <v>212</v>
      </c>
      <c r="E123" s="26">
        <v>1384</v>
      </c>
      <c r="G123" s="27">
        <v>9.3600000000000003E-2</v>
      </c>
      <c r="I123" s="27">
        <v>3.5799999999999998E-2</v>
      </c>
      <c r="L123" s="27">
        <v>0.4677</v>
      </c>
      <c r="M123" s="27">
        <v>0.40289999999999998</v>
      </c>
    </row>
    <row r="124" spans="1:20">
      <c r="A124" t="s">
        <v>236</v>
      </c>
      <c r="B124" t="s">
        <v>209</v>
      </c>
      <c r="C124">
        <v>53</v>
      </c>
      <c r="D124" t="s">
        <v>210</v>
      </c>
      <c r="E124">
        <v>1384</v>
      </c>
      <c r="F124" s="1">
        <v>6.1699999999999998E-2</v>
      </c>
      <c r="G124" s="1">
        <v>0.43269999999999997</v>
      </c>
      <c r="K124" s="1">
        <v>3.0800000000000001E-2</v>
      </c>
      <c r="L124" s="1">
        <v>0.12</v>
      </c>
      <c r="M124" s="1">
        <v>0.3548</v>
      </c>
    </row>
    <row r="125" spans="1:20">
      <c r="A125" t="s">
        <v>235</v>
      </c>
      <c r="B125" t="s">
        <v>209</v>
      </c>
      <c r="C125">
        <v>42</v>
      </c>
      <c r="D125" t="s">
        <v>210</v>
      </c>
      <c r="E125">
        <v>1384</v>
      </c>
      <c r="F125" s="1">
        <v>2.4400000000000002E-2</v>
      </c>
      <c r="G125" s="1">
        <v>0.14649999999999999</v>
      </c>
      <c r="H125" s="1">
        <v>2.4400000000000002E-2</v>
      </c>
      <c r="K125" s="1">
        <v>4.8800000000000003E-2</v>
      </c>
      <c r="L125" s="1">
        <v>0.48709999999999998</v>
      </c>
      <c r="M125" s="1">
        <v>0.26869999999999999</v>
      </c>
    </row>
    <row r="127" spans="1:20">
      <c r="A127" t="s">
        <v>237</v>
      </c>
    </row>
    <row r="128" spans="1:20">
      <c r="A128" t="s">
        <v>189</v>
      </c>
      <c r="B128" t="s">
        <v>195</v>
      </c>
      <c r="C128" t="s">
        <v>190</v>
      </c>
      <c r="D128" t="s">
        <v>196</v>
      </c>
      <c r="E128" t="s">
        <v>238</v>
      </c>
      <c r="F128" t="s">
        <v>228</v>
      </c>
      <c r="G128" t="s">
        <v>239</v>
      </c>
      <c r="H128" t="s">
        <v>240</v>
      </c>
      <c r="I128" t="s">
        <v>241</v>
      </c>
      <c r="J128" t="s">
        <v>242</v>
      </c>
      <c r="K128" t="s">
        <v>243</v>
      </c>
      <c r="L128" t="s">
        <v>244</v>
      </c>
      <c r="M128" t="s">
        <v>223</v>
      </c>
      <c r="N128" t="s">
        <v>245</v>
      </c>
      <c r="O128" t="s">
        <v>246</v>
      </c>
      <c r="P128" t="s">
        <v>247</v>
      </c>
      <c r="Q128" t="s">
        <v>248</v>
      </c>
      <c r="R128" t="s">
        <v>249</v>
      </c>
      <c r="S128" t="s">
        <v>250</v>
      </c>
      <c r="T128" t="s">
        <v>251</v>
      </c>
    </row>
    <row r="129" spans="1:21">
      <c r="A129" t="s">
        <v>197</v>
      </c>
      <c r="B129">
        <v>2114</v>
      </c>
      <c r="C129" t="s">
        <v>198</v>
      </c>
      <c r="D129">
        <v>2114</v>
      </c>
      <c r="E129" s="1">
        <v>2.2800000000000001E-2</v>
      </c>
      <c r="F129" s="1">
        <v>1E-4</v>
      </c>
      <c r="G129" s="1">
        <v>4.7E-2</v>
      </c>
      <c r="H129" s="1">
        <v>6.7999999999999996E-3</v>
      </c>
      <c r="I129" s="1">
        <v>1.8499999999999999E-2</v>
      </c>
      <c r="J129" s="1">
        <v>1.12E-2</v>
      </c>
      <c r="K129" s="1">
        <v>0.31590000000000001</v>
      </c>
      <c r="L129" s="1">
        <v>3.9399999999999998E-2</v>
      </c>
      <c r="M129" s="1">
        <v>2.9999999999999997E-4</v>
      </c>
      <c r="N129" s="1">
        <v>0.18779999999999999</v>
      </c>
      <c r="O129" s="1">
        <v>2.7400000000000001E-2</v>
      </c>
      <c r="P129" s="1">
        <v>3.0200000000000001E-2</v>
      </c>
      <c r="Q129" s="1">
        <v>7.2999999999999995E-2</v>
      </c>
      <c r="R129" s="1">
        <v>3.6400000000000002E-2</v>
      </c>
      <c r="S129" s="1">
        <v>8.2000000000000003E-2</v>
      </c>
      <c r="T129" s="1">
        <v>0.1012</v>
      </c>
    </row>
    <row r="130" spans="1:21">
      <c r="A130" t="s">
        <v>204</v>
      </c>
      <c r="B130">
        <v>206</v>
      </c>
      <c r="C130" t="s">
        <v>205</v>
      </c>
      <c r="D130">
        <v>2114</v>
      </c>
      <c r="E130" s="1">
        <v>3.2500000000000001E-2</v>
      </c>
      <c r="G130" s="1">
        <v>8.1900000000000001E-2</v>
      </c>
      <c r="H130" s="1">
        <v>5.5999999999999999E-3</v>
      </c>
      <c r="I130" s="1">
        <v>1.0800000000000001E-2</v>
      </c>
      <c r="K130" s="1">
        <v>0.34129999999999999</v>
      </c>
      <c r="L130" s="1">
        <v>3.0200000000000001E-2</v>
      </c>
      <c r="N130" s="1">
        <v>0.22500000000000001</v>
      </c>
      <c r="P130" s="1">
        <v>4.7800000000000002E-2</v>
      </c>
      <c r="Q130" s="1">
        <v>5.3900000000000003E-2</v>
      </c>
      <c r="R130" s="1">
        <v>2.5399999999999999E-2</v>
      </c>
      <c r="S130" s="1">
        <v>5.0299999999999997E-2</v>
      </c>
      <c r="T130" s="1">
        <v>9.5500000000000002E-2</v>
      </c>
    </row>
    <row r="131" spans="1:21">
      <c r="A131" t="s">
        <v>204</v>
      </c>
      <c r="B131">
        <v>148</v>
      </c>
      <c r="C131" t="s">
        <v>206</v>
      </c>
      <c r="D131">
        <v>2114</v>
      </c>
      <c r="E131" s="1">
        <v>1.34E-2</v>
      </c>
      <c r="F131" s="1">
        <v>7.7999999999999996E-3</v>
      </c>
      <c r="G131" s="1">
        <v>3.8899999999999997E-2</v>
      </c>
      <c r="I131" s="1">
        <v>5.5999999999999999E-3</v>
      </c>
      <c r="K131" s="1">
        <v>0.3029</v>
      </c>
      <c r="L131" s="1">
        <v>4.6800000000000001E-2</v>
      </c>
      <c r="N131" s="1">
        <v>0.1348</v>
      </c>
      <c r="O131" s="1">
        <v>7.7999999999999996E-3</v>
      </c>
      <c r="P131" s="1">
        <v>2.8899999999999999E-2</v>
      </c>
      <c r="Q131" s="1">
        <v>8.7999999999999995E-2</v>
      </c>
      <c r="R131" s="1">
        <v>5.79E-2</v>
      </c>
      <c r="S131" s="1">
        <v>9.0200000000000002E-2</v>
      </c>
      <c r="T131" s="1">
        <v>0.17710000000000001</v>
      </c>
    </row>
    <row r="132" spans="1:21">
      <c r="A132" t="s">
        <v>204</v>
      </c>
      <c r="B132">
        <v>281</v>
      </c>
      <c r="C132" t="s">
        <v>207</v>
      </c>
      <c r="D132">
        <v>2114</v>
      </c>
      <c r="E132" s="1">
        <v>2.7E-2</v>
      </c>
      <c r="G132" s="1">
        <v>2.7E-2</v>
      </c>
      <c r="H132" s="1">
        <v>6.9999999999999999E-4</v>
      </c>
      <c r="J132" s="1">
        <v>6.6E-3</v>
      </c>
      <c r="K132" s="1">
        <v>0.20569999999999999</v>
      </c>
      <c r="L132" s="1">
        <v>8.5599999999999996E-2</v>
      </c>
      <c r="N132" s="1">
        <v>0.1966</v>
      </c>
      <c r="O132" s="1">
        <v>7.0199999999999999E-2</v>
      </c>
      <c r="P132" s="1">
        <v>4.5100000000000001E-2</v>
      </c>
      <c r="Q132" s="1">
        <v>4.8000000000000001E-2</v>
      </c>
      <c r="R132" s="1">
        <v>0.1003</v>
      </c>
      <c r="S132" s="1">
        <v>6.0999999999999999E-2</v>
      </c>
      <c r="T132" s="1">
        <v>0.126</v>
      </c>
    </row>
    <row r="133" spans="1:21">
      <c r="A133" t="s">
        <v>204</v>
      </c>
      <c r="B133">
        <v>153</v>
      </c>
      <c r="C133" t="s">
        <v>208</v>
      </c>
      <c r="D133">
        <v>2114</v>
      </c>
      <c r="E133" s="1">
        <v>2.6100000000000002E-2</v>
      </c>
      <c r="G133" s="1">
        <v>3.9199999999999999E-2</v>
      </c>
      <c r="H133" s="1">
        <v>1.9599999999999999E-2</v>
      </c>
      <c r="I133" s="1">
        <v>6.4999999999999997E-3</v>
      </c>
      <c r="K133" s="1">
        <v>0.25490000000000002</v>
      </c>
      <c r="L133" s="1">
        <v>3.9199999999999999E-2</v>
      </c>
      <c r="N133" s="1">
        <v>0.2026</v>
      </c>
      <c r="O133" s="1">
        <v>1.3100000000000001E-2</v>
      </c>
      <c r="P133" s="1">
        <v>1.9599999999999999E-2</v>
      </c>
      <c r="Q133" s="1">
        <v>7.8399999999999997E-2</v>
      </c>
      <c r="R133" s="1">
        <v>3.27E-2</v>
      </c>
      <c r="S133" s="1">
        <v>0.1111</v>
      </c>
      <c r="T133" s="1">
        <v>0.15690000000000001</v>
      </c>
    </row>
    <row r="134" spans="1:21">
      <c r="A134" t="s">
        <v>199</v>
      </c>
      <c r="B134">
        <v>147</v>
      </c>
      <c r="C134" t="s">
        <v>200</v>
      </c>
      <c r="D134">
        <v>2114</v>
      </c>
      <c r="E134" s="1">
        <v>9.69E-2</v>
      </c>
      <c r="G134" s="1">
        <v>2.3999999999999998E-3</v>
      </c>
      <c r="I134" s="1">
        <v>8.0000000000000004E-4</v>
      </c>
      <c r="K134" s="1">
        <v>0.16980000000000001</v>
      </c>
      <c r="L134" s="1">
        <v>6.7699999999999996E-2</v>
      </c>
      <c r="N134" s="1">
        <v>0.28639999999999999</v>
      </c>
      <c r="O134" s="1">
        <v>8.0699999999999994E-2</v>
      </c>
      <c r="P134" s="1">
        <v>3.2000000000000002E-3</v>
      </c>
      <c r="Q134" s="1">
        <v>0.11890000000000001</v>
      </c>
      <c r="R134" s="1">
        <v>2.3999999999999998E-3</v>
      </c>
      <c r="S134" s="1">
        <v>9.9199999999999997E-2</v>
      </c>
      <c r="T134" s="1">
        <v>7.1499999999999994E-2</v>
      </c>
    </row>
    <row r="135" spans="1:21">
      <c r="A135" t="s">
        <v>199</v>
      </c>
      <c r="B135">
        <v>198</v>
      </c>
      <c r="C135" t="s">
        <v>201</v>
      </c>
      <c r="D135">
        <v>2114</v>
      </c>
      <c r="E135" s="1">
        <v>1.01E-2</v>
      </c>
      <c r="G135" s="1">
        <v>4.0399999999999998E-2</v>
      </c>
      <c r="I135" s="1">
        <v>3.5400000000000001E-2</v>
      </c>
      <c r="J135" s="1">
        <v>2.53E-2</v>
      </c>
      <c r="K135" s="1">
        <v>0.42420000000000002</v>
      </c>
      <c r="L135" s="1">
        <v>1.52E-2</v>
      </c>
      <c r="N135" s="1">
        <v>0.1111</v>
      </c>
      <c r="O135" s="1">
        <v>2.53E-2</v>
      </c>
      <c r="P135" s="1">
        <v>2.53E-2</v>
      </c>
      <c r="Q135" s="1">
        <v>8.5900000000000004E-2</v>
      </c>
      <c r="R135" s="1">
        <v>2.0199999999999999E-2</v>
      </c>
      <c r="S135" s="1">
        <v>8.5900000000000004E-2</v>
      </c>
      <c r="T135" s="1">
        <v>9.6000000000000002E-2</v>
      </c>
    </row>
    <row r="136" spans="1:21">
      <c r="A136" t="s">
        <v>199</v>
      </c>
      <c r="B136">
        <v>240</v>
      </c>
      <c r="C136" t="s">
        <v>202</v>
      </c>
      <c r="D136">
        <v>2114</v>
      </c>
      <c r="E136" s="1">
        <v>8.8999999999999999E-3</v>
      </c>
      <c r="G136" s="1">
        <v>4.3400000000000001E-2</v>
      </c>
      <c r="H136" s="1">
        <v>1.0999999999999999E-2</v>
      </c>
      <c r="I136" s="1">
        <v>2.9700000000000001E-2</v>
      </c>
      <c r="J136" s="1">
        <v>1.4500000000000001E-2</v>
      </c>
      <c r="K136" s="1">
        <v>0.35460000000000003</v>
      </c>
      <c r="L136" s="1">
        <v>1.35E-2</v>
      </c>
      <c r="N136" s="1">
        <v>0.22550000000000001</v>
      </c>
      <c r="O136" s="1">
        <v>4.6800000000000001E-2</v>
      </c>
      <c r="P136" s="1">
        <v>2.2800000000000001E-2</v>
      </c>
      <c r="Q136" s="1">
        <v>6.3399999999999998E-2</v>
      </c>
      <c r="R136" s="1">
        <v>3.3799999999999997E-2</v>
      </c>
      <c r="S136" s="1">
        <v>7.0599999999999996E-2</v>
      </c>
      <c r="T136" s="1">
        <v>6.1600000000000002E-2</v>
      </c>
    </row>
    <row r="137" spans="1:21">
      <c r="A137" t="s">
        <v>199</v>
      </c>
      <c r="B137">
        <v>173</v>
      </c>
      <c r="C137" t="s">
        <v>203</v>
      </c>
      <c r="D137">
        <v>2114</v>
      </c>
      <c r="E137" s="1">
        <v>3.3399999999999999E-2</v>
      </c>
      <c r="G137" s="1">
        <v>3.5000000000000001E-3</v>
      </c>
      <c r="H137" s="1">
        <v>7.1000000000000004E-3</v>
      </c>
      <c r="I137" s="1">
        <v>7.4999999999999997E-3</v>
      </c>
      <c r="J137" s="1">
        <v>2.5600000000000001E-2</v>
      </c>
      <c r="K137" s="1">
        <v>0.32029999999999997</v>
      </c>
      <c r="L137" s="1">
        <v>7.2499999999999995E-2</v>
      </c>
      <c r="M137" s="1">
        <v>8.9999999999999993E-3</v>
      </c>
      <c r="N137" s="1">
        <v>0.157</v>
      </c>
      <c r="O137" s="1">
        <v>7.7999999999999996E-3</v>
      </c>
      <c r="P137" s="1">
        <v>1.2E-2</v>
      </c>
      <c r="Q137" s="1">
        <v>6.54E-2</v>
      </c>
      <c r="R137" s="1">
        <v>3.8999999999999998E-3</v>
      </c>
      <c r="S137" s="1">
        <v>0.15579999999999999</v>
      </c>
      <c r="T137" s="1">
        <v>0.1191</v>
      </c>
    </row>
    <row r="138" spans="1:21">
      <c r="A138" t="s">
        <v>209</v>
      </c>
      <c r="B138">
        <v>159</v>
      </c>
      <c r="C138" t="s">
        <v>210</v>
      </c>
      <c r="D138">
        <v>2114</v>
      </c>
      <c r="E138" s="1">
        <v>1.67E-2</v>
      </c>
      <c r="G138" s="1">
        <v>2.4500000000000001E-2</v>
      </c>
      <c r="H138" s="1">
        <v>8.3000000000000001E-3</v>
      </c>
      <c r="I138" s="1">
        <v>3.8999999999999998E-3</v>
      </c>
      <c r="J138" s="1">
        <v>1.18E-2</v>
      </c>
      <c r="K138" s="1">
        <v>0.22969999999999999</v>
      </c>
      <c r="L138" s="1">
        <v>1.23E-2</v>
      </c>
      <c r="N138" s="1">
        <v>0.1709</v>
      </c>
      <c r="O138" s="1">
        <v>4.9599999999999998E-2</v>
      </c>
      <c r="P138" s="1">
        <v>2.4500000000000001E-2</v>
      </c>
      <c r="Q138" s="1">
        <v>0.1026</v>
      </c>
      <c r="R138" s="1">
        <v>5.3499999999999999E-2</v>
      </c>
      <c r="S138" s="1">
        <v>0.19339999999999999</v>
      </c>
      <c r="T138" s="1">
        <v>9.8199999999999996E-2</v>
      </c>
    </row>
    <row r="139" spans="1:21">
      <c r="A139" t="s">
        <v>209</v>
      </c>
      <c r="B139">
        <v>216</v>
      </c>
      <c r="C139" t="s">
        <v>211</v>
      </c>
      <c r="D139">
        <v>2114</v>
      </c>
      <c r="E139" s="1">
        <v>4.0899999999999999E-2</v>
      </c>
      <c r="G139" s="1">
        <v>3.4599999999999999E-2</v>
      </c>
      <c r="H139" s="1">
        <v>1.09E-2</v>
      </c>
      <c r="I139" s="1">
        <v>2.18E-2</v>
      </c>
      <c r="J139" s="1">
        <v>9.2999999999999992E-3</v>
      </c>
      <c r="K139" s="1">
        <v>0.24479999999999999</v>
      </c>
      <c r="L139" s="1">
        <v>3.9100000000000003E-2</v>
      </c>
      <c r="N139" s="1">
        <v>0.1711</v>
      </c>
      <c r="O139" s="1">
        <v>1.2800000000000001E-2</v>
      </c>
      <c r="P139" s="1">
        <v>5.4399999999999997E-2</v>
      </c>
      <c r="Q139" s="1">
        <v>0.1037</v>
      </c>
      <c r="R139" s="1">
        <v>2.8500000000000001E-2</v>
      </c>
      <c r="S139" s="1">
        <v>0.1133</v>
      </c>
      <c r="T139" s="1">
        <v>0.1149</v>
      </c>
    </row>
    <row r="140" spans="1:21">
      <c r="A140" t="s">
        <v>209</v>
      </c>
      <c r="B140">
        <v>193</v>
      </c>
      <c r="C140" t="s">
        <v>212</v>
      </c>
      <c r="D140">
        <v>2114</v>
      </c>
      <c r="E140" s="1">
        <v>1.34E-2</v>
      </c>
      <c r="G140" s="1">
        <v>6.0699999999999997E-2</v>
      </c>
      <c r="H140" s="1">
        <v>1.4800000000000001E-2</v>
      </c>
      <c r="I140" s="1">
        <v>2.6700000000000002E-2</v>
      </c>
      <c r="J140" s="1">
        <v>1.5599999999999999E-2</v>
      </c>
      <c r="K140" s="1">
        <v>0.27910000000000001</v>
      </c>
      <c r="L140" s="1">
        <v>5.8500000000000003E-2</v>
      </c>
      <c r="N140" s="1">
        <v>0.16950000000000001</v>
      </c>
      <c r="O140" s="1">
        <v>6.1999999999999998E-3</v>
      </c>
      <c r="P140" s="1">
        <v>6.1000000000000004E-3</v>
      </c>
      <c r="Q140" s="1">
        <v>0.1062</v>
      </c>
      <c r="R140" s="1">
        <v>2.46E-2</v>
      </c>
      <c r="S140" s="1">
        <v>0.1142</v>
      </c>
      <c r="T140" s="1">
        <v>0.1045</v>
      </c>
    </row>
    <row r="142" spans="1:21">
      <c r="A142" t="s">
        <v>252</v>
      </c>
    </row>
    <row r="143" spans="1:21">
      <c r="A143" t="s">
        <v>214</v>
      </c>
      <c r="B143" t="s">
        <v>189</v>
      </c>
      <c r="C143" t="s">
        <v>195</v>
      </c>
      <c r="D143" t="s">
        <v>190</v>
      </c>
      <c r="E143" t="s">
        <v>196</v>
      </c>
      <c r="F143" t="s">
        <v>238</v>
      </c>
      <c r="G143" t="s">
        <v>228</v>
      </c>
      <c r="H143" t="s">
        <v>239</v>
      </c>
      <c r="I143" t="s">
        <v>240</v>
      </c>
      <c r="J143" t="s">
        <v>241</v>
      </c>
      <c r="K143" t="s">
        <v>242</v>
      </c>
      <c r="L143" t="s">
        <v>243</v>
      </c>
      <c r="M143" t="s">
        <v>244</v>
      </c>
      <c r="N143" t="s">
        <v>223</v>
      </c>
      <c r="O143" t="s">
        <v>245</v>
      </c>
      <c r="P143" t="s">
        <v>246</v>
      </c>
      <c r="Q143" t="s">
        <v>247</v>
      </c>
      <c r="R143" t="s">
        <v>248</v>
      </c>
      <c r="S143" t="s">
        <v>249</v>
      </c>
      <c r="T143" t="s">
        <v>250</v>
      </c>
      <c r="U143" t="s">
        <v>251</v>
      </c>
    </row>
    <row r="144" spans="1:21">
      <c r="A144" t="s">
        <v>198</v>
      </c>
      <c r="B144" t="s">
        <v>197</v>
      </c>
      <c r="C144">
        <v>2114</v>
      </c>
      <c r="D144" t="s">
        <v>198</v>
      </c>
      <c r="E144">
        <v>2114</v>
      </c>
      <c r="F144" s="1">
        <v>2.2800000000000001E-2</v>
      </c>
      <c r="G144" s="1">
        <v>1E-4</v>
      </c>
      <c r="H144" s="1">
        <v>4.7E-2</v>
      </c>
      <c r="I144" s="1">
        <v>6.7999999999999996E-3</v>
      </c>
      <c r="J144" s="1">
        <v>1.8499999999999999E-2</v>
      </c>
      <c r="K144" s="1">
        <v>1.12E-2</v>
      </c>
      <c r="L144" s="1">
        <v>0.31590000000000001</v>
      </c>
      <c r="M144" s="1">
        <v>3.9399999999999998E-2</v>
      </c>
      <c r="N144" s="1">
        <v>2.9999999999999997E-4</v>
      </c>
      <c r="O144" s="1">
        <v>0.18779999999999999</v>
      </c>
      <c r="P144" s="1">
        <v>2.7400000000000001E-2</v>
      </c>
      <c r="Q144" s="1">
        <v>3.0200000000000001E-2</v>
      </c>
      <c r="R144" s="1">
        <v>7.2999999999999995E-2</v>
      </c>
      <c r="S144" s="1">
        <v>3.6400000000000002E-2</v>
      </c>
      <c r="T144" s="1">
        <v>8.2000000000000003E-2</v>
      </c>
      <c r="U144" s="1">
        <v>0.1012</v>
      </c>
    </row>
    <row r="145" spans="1:21">
      <c r="A145" t="s">
        <v>253</v>
      </c>
      <c r="B145" t="s">
        <v>204</v>
      </c>
      <c r="C145">
        <v>34</v>
      </c>
      <c r="D145" t="s">
        <v>208</v>
      </c>
      <c r="E145">
        <v>2114</v>
      </c>
      <c r="L145" s="1">
        <v>8.8200000000000001E-2</v>
      </c>
      <c r="O145" s="1">
        <v>0.88239999999999996</v>
      </c>
      <c r="T145" s="1">
        <v>2.9399999999999999E-2</v>
      </c>
    </row>
    <row r="146" spans="1:21">
      <c r="A146" t="s">
        <v>254</v>
      </c>
      <c r="B146" t="s">
        <v>204</v>
      </c>
      <c r="C146">
        <v>82</v>
      </c>
      <c r="D146" t="s">
        <v>207</v>
      </c>
      <c r="E146">
        <v>2114</v>
      </c>
      <c r="F146" s="1">
        <v>8.7499999999999994E-2</v>
      </c>
      <c r="H146" s="1">
        <v>8.3500000000000005E-2</v>
      </c>
      <c r="I146" s="1">
        <v>2.3999999999999998E-3</v>
      </c>
      <c r="K146" s="1">
        <v>5.7000000000000002E-3</v>
      </c>
      <c r="L146" s="1">
        <v>0.32619999999999999</v>
      </c>
      <c r="M146" s="1">
        <v>1.7000000000000001E-2</v>
      </c>
      <c r="P146" s="1">
        <v>8.3500000000000005E-2</v>
      </c>
      <c r="S146" s="1">
        <v>7.1800000000000003E-2</v>
      </c>
      <c r="T146" s="1">
        <v>4.2799999999999998E-2</v>
      </c>
      <c r="U146" s="1">
        <v>0.27960000000000002</v>
      </c>
    </row>
    <row r="147" spans="1:21" s="26" customFormat="1">
      <c r="A147" s="26" t="s">
        <v>255</v>
      </c>
      <c r="B147" s="26" t="s">
        <v>204</v>
      </c>
      <c r="C147" s="26">
        <v>17</v>
      </c>
      <c r="D147" s="26" t="s">
        <v>207</v>
      </c>
      <c r="E147" s="26">
        <v>2114</v>
      </c>
      <c r="R147" s="27">
        <v>1</v>
      </c>
    </row>
    <row r="148" spans="1:21">
      <c r="A148" t="s">
        <v>256</v>
      </c>
      <c r="B148" t="s">
        <v>204</v>
      </c>
      <c r="C148">
        <v>72</v>
      </c>
      <c r="D148" t="s">
        <v>207</v>
      </c>
      <c r="E148">
        <v>2114</v>
      </c>
      <c r="H148" s="1">
        <v>2.0999999999999999E-3</v>
      </c>
      <c r="L148" s="1">
        <v>0.35410000000000003</v>
      </c>
      <c r="M148" s="1">
        <v>0.1426</v>
      </c>
      <c r="O148" s="1">
        <v>0.1148</v>
      </c>
      <c r="P148" s="1">
        <v>0.21279999999999999</v>
      </c>
      <c r="S148" s="1">
        <v>4.6899999999999997E-2</v>
      </c>
      <c r="T148" s="1">
        <v>9.3799999999999994E-2</v>
      </c>
      <c r="U148" s="1">
        <v>3.27E-2</v>
      </c>
    </row>
    <row r="149" spans="1:21">
      <c r="A149" t="s">
        <v>253</v>
      </c>
      <c r="B149" t="s">
        <v>204</v>
      </c>
      <c r="C149">
        <v>76</v>
      </c>
      <c r="D149" t="s">
        <v>207</v>
      </c>
      <c r="E149">
        <v>2114</v>
      </c>
      <c r="K149" s="1">
        <v>9.4000000000000004E-3</v>
      </c>
      <c r="L149" s="1">
        <v>2.06E-2</v>
      </c>
      <c r="M149" s="1">
        <v>0.18970000000000001</v>
      </c>
      <c r="O149" s="1">
        <v>0.67910000000000004</v>
      </c>
      <c r="T149" s="1">
        <v>9.4000000000000004E-3</v>
      </c>
      <c r="U149" s="1">
        <v>9.1700000000000004E-2</v>
      </c>
    </row>
    <row r="150" spans="1:21">
      <c r="A150" t="s">
        <v>257</v>
      </c>
      <c r="B150" t="s">
        <v>204</v>
      </c>
      <c r="C150">
        <v>34</v>
      </c>
      <c r="D150" t="s">
        <v>207</v>
      </c>
      <c r="E150">
        <v>2114</v>
      </c>
      <c r="H150" s="1">
        <v>3.5000000000000001E-3</v>
      </c>
      <c r="K150" s="1">
        <v>1.17E-2</v>
      </c>
      <c r="L150" s="1">
        <v>0.12429999999999999</v>
      </c>
      <c r="M150" s="1">
        <v>1.15E-2</v>
      </c>
      <c r="Q150" s="1">
        <v>0.21729999999999999</v>
      </c>
      <c r="R150" s="1">
        <v>0.1323</v>
      </c>
      <c r="S150" s="1">
        <v>0.3291</v>
      </c>
      <c r="T150" s="1">
        <v>0.1245</v>
      </c>
      <c r="U150" s="1">
        <v>4.5600000000000002E-2</v>
      </c>
    </row>
    <row r="151" spans="1:21" s="26" customFormat="1">
      <c r="A151" s="26" t="s">
        <v>255</v>
      </c>
      <c r="B151" s="26" t="s">
        <v>204</v>
      </c>
      <c r="C151" s="26">
        <v>8</v>
      </c>
      <c r="D151" s="26" t="s">
        <v>206</v>
      </c>
      <c r="E151" s="26">
        <v>2114</v>
      </c>
      <c r="G151" s="27">
        <v>0.12959999999999999</v>
      </c>
      <c r="Q151" s="27">
        <v>0.12959999999999999</v>
      </c>
      <c r="R151" s="27">
        <v>0.74080000000000001</v>
      </c>
    </row>
    <row r="152" spans="1:21" s="26" customFormat="1">
      <c r="A152" s="26" t="s">
        <v>253</v>
      </c>
      <c r="B152" s="26" t="s">
        <v>204</v>
      </c>
      <c r="C152" s="26">
        <v>22</v>
      </c>
      <c r="D152" s="26" t="s">
        <v>206</v>
      </c>
      <c r="E152" s="26">
        <v>2114</v>
      </c>
      <c r="L152" s="27">
        <v>7.9500000000000001E-2</v>
      </c>
      <c r="M152" s="27">
        <v>7.9500000000000001E-2</v>
      </c>
      <c r="O152" s="27">
        <v>0.78559999999999997</v>
      </c>
      <c r="S152" s="27">
        <v>5.5500000000000001E-2</v>
      </c>
    </row>
    <row r="153" spans="1:21">
      <c r="A153" t="s">
        <v>254</v>
      </c>
      <c r="B153" t="s">
        <v>204</v>
      </c>
      <c r="C153">
        <v>69</v>
      </c>
      <c r="D153" t="s">
        <v>206</v>
      </c>
      <c r="E153">
        <v>2114</v>
      </c>
      <c r="F153" s="1">
        <v>1.67E-2</v>
      </c>
      <c r="H153" s="1">
        <v>6.6799999999999998E-2</v>
      </c>
      <c r="J153" s="1">
        <v>1.2E-2</v>
      </c>
      <c r="L153" s="1">
        <v>0.46050000000000002</v>
      </c>
      <c r="M153" s="1">
        <v>4.0599999999999997E-2</v>
      </c>
      <c r="S153" s="1">
        <v>1.67E-2</v>
      </c>
      <c r="T153" s="1">
        <v>0.11459999999999999</v>
      </c>
      <c r="U153" s="1">
        <v>0.2722</v>
      </c>
    </row>
    <row r="154" spans="1:21" s="26" customFormat="1">
      <c r="A154" s="26" t="s">
        <v>257</v>
      </c>
      <c r="B154" s="26" t="s">
        <v>204</v>
      </c>
      <c r="C154" s="26">
        <v>26</v>
      </c>
      <c r="D154" s="26" t="s">
        <v>206</v>
      </c>
      <c r="E154" s="26">
        <v>2114</v>
      </c>
      <c r="L154" s="27">
        <v>0.24990000000000001</v>
      </c>
      <c r="P154" s="27">
        <v>4.3700000000000003E-2</v>
      </c>
      <c r="Q154" s="27">
        <v>0.1187</v>
      </c>
      <c r="R154" s="27">
        <v>0.24390000000000001</v>
      </c>
      <c r="S154" s="27">
        <v>0.15</v>
      </c>
      <c r="U154" s="27">
        <v>0.19370000000000001</v>
      </c>
    </row>
    <row r="155" spans="1:21" s="26" customFormat="1">
      <c r="A155" s="26" t="s">
        <v>257</v>
      </c>
      <c r="B155" s="26" t="s">
        <v>204</v>
      </c>
      <c r="C155" s="26">
        <v>28</v>
      </c>
      <c r="D155" s="26" t="s">
        <v>205</v>
      </c>
      <c r="E155" s="26">
        <v>2114</v>
      </c>
      <c r="H155" s="27">
        <v>0.2026</v>
      </c>
      <c r="L155" s="27">
        <v>0.31590000000000001</v>
      </c>
      <c r="M155" s="27">
        <v>2.98E-2</v>
      </c>
      <c r="Q155" s="27">
        <v>0.2228</v>
      </c>
      <c r="R155" s="27">
        <v>9.7500000000000003E-2</v>
      </c>
      <c r="S155" s="27">
        <v>7.0000000000000001E-3</v>
      </c>
      <c r="U155" s="27">
        <v>0.1245</v>
      </c>
    </row>
    <row r="156" spans="1:21">
      <c r="A156" t="s">
        <v>254</v>
      </c>
      <c r="B156" t="s">
        <v>204</v>
      </c>
      <c r="C156">
        <v>77</v>
      </c>
      <c r="D156" t="s">
        <v>205</v>
      </c>
      <c r="E156">
        <v>2114</v>
      </c>
      <c r="F156" s="1">
        <v>4.4999999999999997E-3</v>
      </c>
      <c r="H156" s="1">
        <v>8.8300000000000003E-2</v>
      </c>
      <c r="I156" s="1">
        <v>1.7100000000000001E-2</v>
      </c>
      <c r="J156" s="1">
        <v>3.5000000000000001E-3</v>
      </c>
      <c r="L156" s="1">
        <v>0.62019999999999997</v>
      </c>
      <c r="M156" s="1">
        <v>4.9799999999999997E-2</v>
      </c>
      <c r="S156" s="1">
        <v>4.4999999999999997E-3</v>
      </c>
      <c r="T156" s="1">
        <v>7.3999999999999996E-2</v>
      </c>
      <c r="U156" s="1">
        <v>0.13819999999999999</v>
      </c>
    </row>
    <row r="157" spans="1:21">
      <c r="A157" t="s">
        <v>256</v>
      </c>
      <c r="B157" t="s">
        <v>204</v>
      </c>
      <c r="C157">
        <v>48</v>
      </c>
      <c r="D157" t="s">
        <v>205</v>
      </c>
      <c r="E157">
        <v>2114</v>
      </c>
      <c r="F157" s="1">
        <v>9.6600000000000005E-2</v>
      </c>
      <c r="H157" s="1">
        <v>3.5799999999999998E-2</v>
      </c>
      <c r="J157" s="1">
        <v>3.78E-2</v>
      </c>
      <c r="L157" s="1">
        <v>0.27610000000000001</v>
      </c>
      <c r="M157" s="1">
        <v>3.0099999999999998E-2</v>
      </c>
      <c r="O157" s="1">
        <v>0.24479999999999999</v>
      </c>
      <c r="S157" s="1">
        <v>8.7499999999999994E-2</v>
      </c>
      <c r="T157" s="1">
        <v>0.1021</v>
      </c>
      <c r="U157" s="1">
        <v>8.9200000000000002E-2</v>
      </c>
    </row>
    <row r="158" spans="1:21" s="26" customFormat="1">
      <c r="A158" s="26" t="s">
        <v>255</v>
      </c>
      <c r="B158" s="26" t="s">
        <v>204</v>
      </c>
      <c r="C158" s="26">
        <v>10</v>
      </c>
      <c r="D158" s="26" t="s">
        <v>208</v>
      </c>
      <c r="E158" s="26">
        <v>2114</v>
      </c>
      <c r="Q158" s="27">
        <v>0.1</v>
      </c>
      <c r="R158" s="27">
        <v>0.9</v>
      </c>
    </row>
    <row r="159" spans="1:21" s="26" customFormat="1">
      <c r="A159" s="26" t="s">
        <v>255</v>
      </c>
      <c r="B159" s="26" t="s">
        <v>204</v>
      </c>
      <c r="C159" s="26">
        <v>13</v>
      </c>
      <c r="D159" s="26" t="s">
        <v>205</v>
      </c>
      <c r="E159" s="26">
        <v>2114</v>
      </c>
      <c r="Q159" s="27">
        <v>3.2599999999999997E-2</v>
      </c>
      <c r="R159" s="27">
        <v>0.96740000000000004</v>
      </c>
    </row>
    <row r="160" spans="1:21">
      <c r="A160" t="s">
        <v>253</v>
      </c>
      <c r="B160" t="s">
        <v>204</v>
      </c>
      <c r="C160">
        <v>40</v>
      </c>
      <c r="D160" t="s">
        <v>205</v>
      </c>
      <c r="E160">
        <v>2114</v>
      </c>
      <c r="F160" s="1">
        <v>3.5900000000000001E-2</v>
      </c>
      <c r="H160" s="1">
        <v>8.5000000000000006E-3</v>
      </c>
      <c r="L160" s="1">
        <v>1.2999999999999999E-2</v>
      </c>
      <c r="O160" s="1">
        <v>0.93410000000000004</v>
      </c>
      <c r="U160" s="1">
        <v>8.5000000000000006E-3</v>
      </c>
    </row>
    <row r="161" spans="1:21">
      <c r="A161" t="s">
        <v>256</v>
      </c>
      <c r="B161" t="s">
        <v>204</v>
      </c>
      <c r="C161">
        <v>41</v>
      </c>
      <c r="D161" t="s">
        <v>208</v>
      </c>
      <c r="E161">
        <v>2114</v>
      </c>
      <c r="F161" s="1">
        <v>2.4400000000000002E-2</v>
      </c>
      <c r="H161" s="1">
        <v>7.3200000000000001E-2</v>
      </c>
      <c r="J161" s="1">
        <v>2.4400000000000002E-2</v>
      </c>
      <c r="L161" s="1">
        <v>0.41460000000000002</v>
      </c>
      <c r="M161" s="1">
        <v>0.122</v>
      </c>
      <c r="O161" s="1">
        <v>2.4400000000000002E-2</v>
      </c>
      <c r="S161" s="1">
        <v>2.4400000000000002E-2</v>
      </c>
      <c r="T161" s="1">
        <v>0.17069999999999999</v>
      </c>
      <c r="U161" s="1">
        <v>0.122</v>
      </c>
    </row>
    <row r="162" spans="1:21">
      <c r="A162" t="s">
        <v>254</v>
      </c>
      <c r="B162" t="s">
        <v>204</v>
      </c>
      <c r="C162">
        <v>40</v>
      </c>
      <c r="D162" t="s">
        <v>208</v>
      </c>
      <c r="E162">
        <v>2114</v>
      </c>
      <c r="F162" s="1">
        <v>0.05</v>
      </c>
      <c r="H162" s="1">
        <v>0.05</v>
      </c>
      <c r="I162" s="1">
        <v>2.5000000000000001E-2</v>
      </c>
      <c r="L162" s="1">
        <v>0.32500000000000001</v>
      </c>
      <c r="P162" s="1">
        <v>2.5000000000000001E-2</v>
      </c>
      <c r="S162" s="1">
        <v>0.05</v>
      </c>
      <c r="T162" s="1">
        <v>0.17499999999999999</v>
      </c>
      <c r="U162" s="1">
        <v>0.3</v>
      </c>
    </row>
    <row r="163" spans="1:21" s="26" customFormat="1">
      <c r="A163" s="26" t="s">
        <v>257</v>
      </c>
      <c r="B163" s="26" t="s">
        <v>204</v>
      </c>
      <c r="C163" s="26">
        <v>28</v>
      </c>
      <c r="D163" s="26" t="s">
        <v>208</v>
      </c>
      <c r="E163" s="26">
        <v>2114</v>
      </c>
      <c r="F163" s="27">
        <v>3.5700000000000003E-2</v>
      </c>
      <c r="H163" s="27">
        <v>3.5700000000000003E-2</v>
      </c>
      <c r="I163" s="27">
        <v>7.1400000000000005E-2</v>
      </c>
      <c r="L163" s="27">
        <v>0.21429999999999999</v>
      </c>
      <c r="M163" s="27">
        <v>3.5700000000000003E-2</v>
      </c>
      <c r="P163" s="27">
        <v>3.5700000000000003E-2</v>
      </c>
      <c r="Q163" s="27">
        <v>7.1400000000000005E-2</v>
      </c>
      <c r="R163" s="27">
        <v>0.1071</v>
      </c>
      <c r="S163" s="27">
        <v>7.1400000000000005E-2</v>
      </c>
      <c r="T163" s="27">
        <v>7.1400000000000005E-2</v>
      </c>
      <c r="U163" s="27">
        <v>0.25</v>
      </c>
    </row>
    <row r="164" spans="1:21" s="26" customFormat="1">
      <c r="A164" s="26" t="s">
        <v>256</v>
      </c>
      <c r="B164" s="26" t="s">
        <v>204</v>
      </c>
      <c r="C164" s="26">
        <v>23</v>
      </c>
      <c r="D164" s="26" t="s">
        <v>206</v>
      </c>
      <c r="E164" s="26">
        <v>2114</v>
      </c>
      <c r="F164" s="27">
        <v>3.5999999999999997E-2</v>
      </c>
      <c r="H164" s="27">
        <v>5.0299999999999997E-2</v>
      </c>
      <c r="L164" s="27">
        <v>0.2087</v>
      </c>
      <c r="M164" s="27">
        <v>0.1081</v>
      </c>
      <c r="O164" s="27">
        <v>0.15840000000000001</v>
      </c>
      <c r="S164" s="27">
        <v>0.10059999999999999</v>
      </c>
      <c r="T164" s="27">
        <v>0.23730000000000001</v>
      </c>
      <c r="U164" s="27">
        <v>0.10059999999999999</v>
      </c>
    </row>
    <row r="165" spans="1:21">
      <c r="A165" t="s">
        <v>257</v>
      </c>
      <c r="B165" t="s">
        <v>199</v>
      </c>
      <c r="C165">
        <v>43</v>
      </c>
      <c r="D165" t="s">
        <v>202</v>
      </c>
      <c r="E165">
        <v>2114</v>
      </c>
      <c r="H165" s="1">
        <v>5.8999999999999997E-2</v>
      </c>
      <c r="J165" s="1">
        <v>8.1799999999999998E-2</v>
      </c>
      <c r="L165" s="1">
        <v>0.31709999999999999</v>
      </c>
      <c r="M165" s="1">
        <v>2.63E-2</v>
      </c>
      <c r="P165" s="1">
        <v>0.1079</v>
      </c>
      <c r="Q165" s="1">
        <v>4.7500000000000001E-2</v>
      </c>
      <c r="R165" s="1">
        <v>6.7799999999999999E-2</v>
      </c>
      <c r="S165" s="1">
        <v>1.95E-2</v>
      </c>
      <c r="T165" s="1">
        <v>0.1174</v>
      </c>
      <c r="U165" s="1">
        <v>0.15570000000000001</v>
      </c>
    </row>
    <row r="166" spans="1:21">
      <c r="A166" t="s">
        <v>256</v>
      </c>
      <c r="B166" t="s">
        <v>199</v>
      </c>
      <c r="C166">
        <v>51</v>
      </c>
      <c r="D166" t="s">
        <v>202</v>
      </c>
      <c r="E166">
        <v>2114</v>
      </c>
      <c r="F166" s="1">
        <v>1.7600000000000001E-2</v>
      </c>
      <c r="H166" s="1">
        <v>5.3400000000000003E-2</v>
      </c>
      <c r="I166" s="1">
        <v>2.81E-2</v>
      </c>
      <c r="J166" s="1">
        <v>5.5100000000000003E-2</v>
      </c>
      <c r="K166" s="1">
        <v>4.6199999999999998E-2</v>
      </c>
      <c r="L166" s="1">
        <v>0.52380000000000004</v>
      </c>
      <c r="O166" s="1">
        <v>3.6799999999999999E-2</v>
      </c>
      <c r="P166" s="1">
        <v>1.7500000000000002E-2</v>
      </c>
      <c r="S166" s="1">
        <v>5.5599999999999997E-2</v>
      </c>
      <c r="T166" s="1">
        <v>0.1371</v>
      </c>
      <c r="U166" s="1">
        <v>2.87E-2</v>
      </c>
    </row>
    <row r="167" spans="1:21">
      <c r="A167" t="s">
        <v>253</v>
      </c>
      <c r="B167" t="s">
        <v>199</v>
      </c>
      <c r="C167">
        <v>38</v>
      </c>
      <c r="D167" t="s">
        <v>203</v>
      </c>
      <c r="E167">
        <v>2114</v>
      </c>
      <c r="F167" s="1">
        <v>6.3200000000000006E-2</v>
      </c>
      <c r="K167" s="1">
        <v>6.3200000000000006E-2</v>
      </c>
      <c r="L167" s="1">
        <v>8.5599999999999996E-2</v>
      </c>
      <c r="M167" s="1">
        <v>8.0699999999999994E-2</v>
      </c>
      <c r="O167" s="1">
        <v>0.66749999999999998</v>
      </c>
      <c r="T167" s="1">
        <v>1.7500000000000002E-2</v>
      </c>
      <c r="U167" s="1">
        <v>2.24E-2</v>
      </c>
    </row>
    <row r="168" spans="1:21" s="26" customFormat="1">
      <c r="A168" s="26" t="s">
        <v>255</v>
      </c>
      <c r="B168" s="26" t="s">
        <v>199</v>
      </c>
      <c r="C168" s="26">
        <v>7</v>
      </c>
      <c r="D168" s="26" t="s">
        <v>203</v>
      </c>
      <c r="E168" s="26">
        <v>2114</v>
      </c>
      <c r="Q168" s="27">
        <v>0.18360000000000001</v>
      </c>
      <c r="R168" s="27">
        <v>0.81640000000000001</v>
      </c>
    </row>
    <row r="169" spans="1:21">
      <c r="A169" t="s">
        <v>256</v>
      </c>
      <c r="B169" t="s">
        <v>199</v>
      </c>
      <c r="C169">
        <v>38</v>
      </c>
      <c r="D169" t="s">
        <v>203</v>
      </c>
      <c r="E169">
        <v>2114</v>
      </c>
      <c r="F169" s="1">
        <v>5.6599999999999998E-2</v>
      </c>
      <c r="I169" s="1">
        <v>1.5599999999999999E-2</v>
      </c>
      <c r="K169" s="1">
        <v>5.6599999999999998E-2</v>
      </c>
      <c r="L169" s="1">
        <v>0.36099999999999999</v>
      </c>
      <c r="M169" s="1">
        <v>0.1139</v>
      </c>
      <c r="O169" s="1">
        <v>9.74E-2</v>
      </c>
      <c r="P169" s="1">
        <v>1.7399999999999999E-2</v>
      </c>
      <c r="S169" s="1">
        <v>1.7399999999999999E-2</v>
      </c>
      <c r="T169" s="1">
        <v>0.18429999999999999</v>
      </c>
      <c r="U169" s="1">
        <v>0.08</v>
      </c>
    </row>
    <row r="170" spans="1:21" s="26" customFormat="1">
      <c r="A170" s="26" t="s">
        <v>257</v>
      </c>
      <c r="B170" s="26" t="s">
        <v>199</v>
      </c>
      <c r="C170" s="26">
        <v>26</v>
      </c>
      <c r="D170" s="26" t="s">
        <v>203</v>
      </c>
      <c r="E170" s="26">
        <v>2114</v>
      </c>
      <c r="F170" s="27">
        <v>6.4699999999999994E-2</v>
      </c>
      <c r="L170" s="27">
        <v>0.3826</v>
      </c>
      <c r="M170" s="27">
        <v>4.0500000000000001E-2</v>
      </c>
      <c r="N170" s="27">
        <v>7.46E-2</v>
      </c>
      <c r="P170" s="27">
        <v>3.2399999999999998E-2</v>
      </c>
      <c r="R170" s="27">
        <v>0.2011</v>
      </c>
      <c r="T170" s="27">
        <v>0.10199999999999999</v>
      </c>
      <c r="U170" s="27">
        <v>0.10199999999999999</v>
      </c>
    </row>
    <row r="171" spans="1:21" s="26" customFormat="1">
      <c r="A171" s="26" t="s">
        <v>255</v>
      </c>
      <c r="B171" s="26" t="s">
        <v>199</v>
      </c>
      <c r="C171" s="26">
        <v>15</v>
      </c>
      <c r="D171" s="26" t="s">
        <v>202</v>
      </c>
      <c r="E171" s="26">
        <v>2114</v>
      </c>
      <c r="Q171" s="27">
        <v>0.2145</v>
      </c>
      <c r="R171" s="27">
        <v>0.78549999999999998</v>
      </c>
    </row>
    <row r="172" spans="1:21">
      <c r="A172" t="s">
        <v>254</v>
      </c>
      <c r="B172" t="s">
        <v>199</v>
      </c>
      <c r="C172">
        <v>64</v>
      </c>
      <c r="D172" t="s">
        <v>203</v>
      </c>
      <c r="E172">
        <v>2114</v>
      </c>
      <c r="H172" s="1">
        <v>8.6999999999999994E-3</v>
      </c>
      <c r="I172" s="1">
        <v>8.6999999999999994E-3</v>
      </c>
      <c r="J172" s="1">
        <v>1.84E-2</v>
      </c>
      <c r="L172" s="1">
        <v>0.43269999999999997</v>
      </c>
      <c r="M172" s="1">
        <v>6.3200000000000006E-2</v>
      </c>
      <c r="Q172" s="1">
        <v>8.6999999999999994E-3</v>
      </c>
      <c r="R172" s="1">
        <v>8.6999999999999994E-3</v>
      </c>
      <c r="T172" s="1">
        <v>0.2429</v>
      </c>
      <c r="U172" s="1">
        <v>0.2079</v>
      </c>
    </row>
    <row r="173" spans="1:21">
      <c r="A173" t="s">
        <v>253</v>
      </c>
      <c r="B173" t="s">
        <v>199</v>
      </c>
      <c r="C173">
        <v>60</v>
      </c>
      <c r="D173" t="s">
        <v>202</v>
      </c>
      <c r="E173">
        <v>2114</v>
      </c>
      <c r="L173" s="1">
        <v>6.6799999999999998E-2</v>
      </c>
      <c r="M173" s="1">
        <v>1.4999999999999999E-2</v>
      </c>
      <c r="O173" s="1">
        <v>0.89790000000000003</v>
      </c>
      <c r="P173" s="1">
        <v>2.0299999999999999E-2</v>
      </c>
    </row>
    <row r="174" spans="1:21">
      <c r="A174" t="s">
        <v>256</v>
      </c>
      <c r="B174" t="s">
        <v>199</v>
      </c>
      <c r="C174">
        <v>38</v>
      </c>
      <c r="D174" t="s">
        <v>200</v>
      </c>
      <c r="E174">
        <v>2114</v>
      </c>
      <c r="F174" s="1">
        <v>0.30330000000000001</v>
      </c>
      <c r="H174" s="1">
        <v>6.1999999999999998E-3</v>
      </c>
      <c r="L174" s="1">
        <v>0.1162</v>
      </c>
      <c r="O174" s="1">
        <v>6.2100000000000002E-2</v>
      </c>
      <c r="S174" s="1">
        <v>6.1999999999999998E-3</v>
      </c>
      <c r="T174" s="1">
        <v>0.21809999999999999</v>
      </c>
      <c r="U174" s="1">
        <v>0.28789999999999999</v>
      </c>
    </row>
    <row r="175" spans="1:21">
      <c r="A175" t="s">
        <v>257</v>
      </c>
      <c r="B175" t="s">
        <v>199</v>
      </c>
      <c r="C175">
        <v>30</v>
      </c>
      <c r="D175" t="s">
        <v>201</v>
      </c>
      <c r="E175">
        <v>2114</v>
      </c>
      <c r="L175" s="1">
        <v>0.36670000000000003</v>
      </c>
      <c r="P175" s="1">
        <v>3.3300000000000003E-2</v>
      </c>
      <c r="Q175" s="1">
        <v>0.1</v>
      </c>
      <c r="R175" s="1">
        <v>0.2</v>
      </c>
      <c r="S175" s="1">
        <v>3.3300000000000003E-2</v>
      </c>
      <c r="T175" s="1">
        <v>6.6699999999999995E-2</v>
      </c>
      <c r="U175" s="1">
        <v>0.2</v>
      </c>
    </row>
    <row r="176" spans="1:21" s="26" customFormat="1">
      <c r="A176" s="26" t="s">
        <v>255</v>
      </c>
      <c r="B176" s="26" t="s">
        <v>199</v>
      </c>
      <c r="C176" s="26">
        <v>12</v>
      </c>
      <c r="D176" s="26" t="s">
        <v>200</v>
      </c>
      <c r="E176" s="26">
        <v>2114</v>
      </c>
      <c r="Q176" s="27">
        <v>1.95E-2</v>
      </c>
      <c r="R176" s="27">
        <v>0.98050000000000004</v>
      </c>
    </row>
    <row r="177" spans="1:21">
      <c r="A177" t="s">
        <v>254</v>
      </c>
      <c r="B177" t="s">
        <v>199</v>
      </c>
      <c r="C177">
        <v>44</v>
      </c>
      <c r="D177" t="s">
        <v>200</v>
      </c>
      <c r="E177">
        <v>2114</v>
      </c>
      <c r="F177" s="1">
        <v>6.93E-2</v>
      </c>
      <c r="H177" s="1">
        <v>4.5999999999999999E-3</v>
      </c>
      <c r="J177" s="1">
        <v>2.3E-3</v>
      </c>
      <c r="L177" s="1">
        <v>0.44469999999999998</v>
      </c>
      <c r="M177" s="1">
        <v>0.1033</v>
      </c>
      <c r="P177" s="1">
        <v>6.7000000000000004E-2</v>
      </c>
      <c r="S177" s="1">
        <v>4.5999999999999999E-3</v>
      </c>
      <c r="T177" s="1">
        <v>0.20610000000000001</v>
      </c>
      <c r="U177" s="1">
        <v>9.8199999999999996E-2</v>
      </c>
    </row>
    <row r="178" spans="1:21">
      <c r="A178" t="s">
        <v>253</v>
      </c>
      <c r="B178" t="s">
        <v>199</v>
      </c>
      <c r="C178">
        <v>47</v>
      </c>
      <c r="D178" t="s">
        <v>200</v>
      </c>
      <c r="E178">
        <v>2114</v>
      </c>
      <c r="M178" s="1">
        <v>0.1028</v>
      </c>
      <c r="O178" s="1">
        <v>0.8972</v>
      </c>
    </row>
    <row r="179" spans="1:21" s="26" customFormat="1">
      <c r="A179" s="26" t="s">
        <v>257</v>
      </c>
      <c r="B179" s="26" t="s">
        <v>199</v>
      </c>
      <c r="C179" s="26">
        <v>6</v>
      </c>
      <c r="D179" s="26" t="s">
        <v>200</v>
      </c>
      <c r="E179" s="26">
        <v>2114</v>
      </c>
      <c r="F179" s="27">
        <v>0.3639</v>
      </c>
      <c r="L179" s="27">
        <v>8.3999999999999995E-3</v>
      </c>
      <c r="P179" s="27">
        <v>0.6109</v>
      </c>
      <c r="Q179" s="27">
        <v>8.3999999999999995E-3</v>
      </c>
      <c r="U179" s="27">
        <v>8.3999999999999995E-3</v>
      </c>
    </row>
    <row r="180" spans="1:21">
      <c r="A180" t="s">
        <v>254</v>
      </c>
      <c r="B180" t="s">
        <v>199</v>
      </c>
      <c r="C180">
        <v>71</v>
      </c>
      <c r="D180" t="s">
        <v>202</v>
      </c>
      <c r="E180">
        <v>2114</v>
      </c>
      <c r="F180" s="1">
        <v>1.77E-2</v>
      </c>
      <c r="H180" s="1">
        <v>7.0699999999999999E-2</v>
      </c>
      <c r="I180" s="1">
        <v>1.77E-2</v>
      </c>
      <c r="J180" s="1">
        <v>1.18E-2</v>
      </c>
      <c r="K180" s="1">
        <v>1.77E-2</v>
      </c>
      <c r="L180" s="1">
        <v>0.57069999999999999</v>
      </c>
      <c r="M180" s="1">
        <v>1.5900000000000001E-2</v>
      </c>
      <c r="P180" s="1">
        <v>5.8700000000000002E-2</v>
      </c>
      <c r="S180" s="1">
        <v>6.2300000000000001E-2</v>
      </c>
      <c r="T180" s="1">
        <v>7.0400000000000004E-2</v>
      </c>
      <c r="U180" s="1">
        <v>8.6400000000000005E-2</v>
      </c>
    </row>
    <row r="181" spans="1:21">
      <c r="A181" t="s">
        <v>254</v>
      </c>
      <c r="B181" t="s">
        <v>199</v>
      </c>
      <c r="C181">
        <v>86</v>
      </c>
      <c r="D181" t="s">
        <v>201</v>
      </c>
      <c r="E181">
        <v>2114</v>
      </c>
      <c r="F181" s="1">
        <v>1.1599999999999999E-2</v>
      </c>
      <c r="H181" s="1">
        <v>6.9800000000000001E-2</v>
      </c>
      <c r="J181" s="1">
        <v>3.49E-2</v>
      </c>
      <c r="K181" s="1">
        <v>3.49E-2</v>
      </c>
      <c r="L181" s="1">
        <v>0.56979999999999997</v>
      </c>
      <c r="M181" s="1">
        <v>1.1599999999999999E-2</v>
      </c>
      <c r="P181" s="1">
        <v>4.65E-2</v>
      </c>
      <c r="S181" s="1">
        <v>1.1599999999999999E-2</v>
      </c>
      <c r="T181" s="1">
        <v>8.14E-2</v>
      </c>
      <c r="U181" s="1">
        <v>0.12790000000000001</v>
      </c>
    </row>
    <row r="182" spans="1:21" s="26" customFormat="1">
      <c r="A182" s="26" t="s">
        <v>255</v>
      </c>
      <c r="B182" s="26" t="s">
        <v>199</v>
      </c>
      <c r="C182" s="26">
        <v>13</v>
      </c>
      <c r="D182" s="26" t="s">
        <v>201</v>
      </c>
      <c r="E182" s="26">
        <v>2114</v>
      </c>
      <c r="Q182" s="27">
        <v>0.15379999999999999</v>
      </c>
      <c r="R182" s="27">
        <v>0.84619999999999995</v>
      </c>
    </row>
    <row r="183" spans="1:21">
      <c r="A183" t="s">
        <v>253</v>
      </c>
      <c r="B183" t="s">
        <v>199</v>
      </c>
      <c r="C183">
        <v>33</v>
      </c>
      <c r="D183" t="s">
        <v>201</v>
      </c>
      <c r="E183">
        <v>2114</v>
      </c>
      <c r="K183" s="1">
        <v>3.0300000000000001E-2</v>
      </c>
      <c r="L183" s="1">
        <v>9.0899999999999995E-2</v>
      </c>
      <c r="O183" s="1">
        <v>0.63639999999999997</v>
      </c>
      <c r="S183" s="1">
        <v>3.0300000000000001E-2</v>
      </c>
      <c r="T183" s="1">
        <v>0.18179999999999999</v>
      </c>
      <c r="U183" s="1">
        <v>3.0300000000000001E-2</v>
      </c>
    </row>
    <row r="184" spans="1:21">
      <c r="A184" t="s">
        <v>256</v>
      </c>
      <c r="B184" t="s">
        <v>199</v>
      </c>
      <c r="C184">
        <v>36</v>
      </c>
      <c r="D184" t="s">
        <v>201</v>
      </c>
      <c r="E184">
        <v>2114</v>
      </c>
      <c r="F184" s="1">
        <v>2.7799999999999998E-2</v>
      </c>
      <c r="H184" s="1">
        <v>5.5599999999999997E-2</v>
      </c>
      <c r="J184" s="1">
        <v>0.1111</v>
      </c>
      <c r="K184" s="1">
        <v>2.7799999999999998E-2</v>
      </c>
      <c r="L184" s="1">
        <v>0.58330000000000004</v>
      </c>
      <c r="M184" s="1">
        <v>5.5599999999999997E-2</v>
      </c>
      <c r="O184" s="1">
        <v>2.7799999999999998E-2</v>
      </c>
      <c r="S184" s="1">
        <v>2.7799999999999998E-2</v>
      </c>
      <c r="T184" s="1">
        <v>5.5599999999999997E-2</v>
      </c>
      <c r="U184" s="1">
        <v>2.7799999999999998E-2</v>
      </c>
    </row>
    <row r="185" spans="1:21">
      <c r="A185" t="s">
        <v>257</v>
      </c>
      <c r="B185" t="s">
        <v>209</v>
      </c>
      <c r="C185">
        <v>33</v>
      </c>
      <c r="D185" t="s">
        <v>211</v>
      </c>
      <c r="E185">
        <v>2114</v>
      </c>
      <c r="F185" s="1">
        <v>1.29E-2</v>
      </c>
      <c r="H185" s="1">
        <v>8.5900000000000004E-2</v>
      </c>
      <c r="L185" s="1">
        <v>0.25900000000000001</v>
      </c>
      <c r="M185" s="1">
        <v>3.6499999999999998E-2</v>
      </c>
      <c r="Q185" s="1">
        <v>7.3099999999999998E-2</v>
      </c>
      <c r="R185" s="1">
        <v>0.1288</v>
      </c>
      <c r="S185" s="1">
        <v>1.29E-2</v>
      </c>
      <c r="T185" s="1">
        <v>0.11600000000000001</v>
      </c>
      <c r="U185" s="1">
        <v>0.27500000000000002</v>
      </c>
    </row>
    <row r="186" spans="1:21">
      <c r="A186" t="s">
        <v>256</v>
      </c>
      <c r="B186" t="s">
        <v>209</v>
      </c>
      <c r="C186">
        <v>47</v>
      </c>
      <c r="D186" t="s">
        <v>211</v>
      </c>
      <c r="E186">
        <v>2114</v>
      </c>
      <c r="F186" s="1">
        <v>3.9E-2</v>
      </c>
      <c r="H186" s="1">
        <v>8.9999999999999993E-3</v>
      </c>
      <c r="I186" s="1">
        <v>2.5600000000000001E-2</v>
      </c>
      <c r="K186" s="1">
        <v>3.4599999999999999E-2</v>
      </c>
      <c r="L186" s="1">
        <v>0.4012</v>
      </c>
      <c r="M186" s="1">
        <v>7.6799999999999993E-2</v>
      </c>
      <c r="O186" s="1">
        <v>5.1200000000000002E-2</v>
      </c>
      <c r="Q186" s="1">
        <v>3.2399999999999998E-2</v>
      </c>
      <c r="S186" s="1">
        <v>6.0199999999999997E-2</v>
      </c>
      <c r="T186" s="1">
        <v>0.17080000000000001</v>
      </c>
      <c r="U186" s="1">
        <v>9.9199999999999997E-2</v>
      </c>
    </row>
    <row r="187" spans="1:21">
      <c r="A187" t="s">
        <v>256</v>
      </c>
      <c r="B187" t="s">
        <v>209</v>
      </c>
      <c r="C187">
        <v>45</v>
      </c>
      <c r="D187" t="s">
        <v>210</v>
      </c>
      <c r="E187">
        <v>2114</v>
      </c>
      <c r="H187" s="1">
        <v>2.9899999999999999E-2</v>
      </c>
      <c r="J187" s="1">
        <v>1.41E-2</v>
      </c>
      <c r="K187" s="1">
        <v>1.41E-2</v>
      </c>
      <c r="L187" s="1">
        <v>0.3211</v>
      </c>
      <c r="P187" s="1">
        <v>0.1181</v>
      </c>
      <c r="Q187" s="1">
        <v>2.9899999999999999E-2</v>
      </c>
      <c r="R187" s="1">
        <v>2.9899999999999999E-2</v>
      </c>
      <c r="S187" s="1">
        <v>4.41E-2</v>
      </c>
      <c r="T187" s="1">
        <v>0.34029999999999999</v>
      </c>
      <c r="U187" s="1">
        <v>5.8200000000000002E-2</v>
      </c>
    </row>
    <row r="188" spans="1:21" s="26" customFormat="1">
      <c r="A188" s="26" t="s">
        <v>257</v>
      </c>
      <c r="B188" s="26" t="s">
        <v>209</v>
      </c>
      <c r="C188" s="26">
        <v>12</v>
      </c>
      <c r="D188" s="26" t="s">
        <v>210</v>
      </c>
      <c r="E188" s="26">
        <v>2114</v>
      </c>
      <c r="H188" s="27">
        <v>0.12859999999999999</v>
      </c>
      <c r="K188" s="27">
        <v>6.0699999999999997E-2</v>
      </c>
      <c r="L188" s="27">
        <v>0.18210000000000001</v>
      </c>
      <c r="Q188" s="27">
        <v>0.12139999999999999</v>
      </c>
      <c r="R188" s="27">
        <v>0.44640000000000002</v>
      </c>
      <c r="T188" s="27">
        <v>6.0699999999999997E-2</v>
      </c>
    </row>
    <row r="189" spans="1:21" s="26" customFormat="1">
      <c r="A189" s="26" t="s">
        <v>255</v>
      </c>
      <c r="B189" s="26" t="s">
        <v>209</v>
      </c>
      <c r="C189" s="26">
        <v>14</v>
      </c>
      <c r="D189" s="26" t="s">
        <v>210</v>
      </c>
      <c r="E189" s="26">
        <v>2114</v>
      </c>
      <c r="Q189" s="27">
        <v>9.7000000000000003E-2</v>
      </c>
      <c r="R189" s="27">
        <v>0.7601</v>
      </c>
      <c r="T189" s="27">
        <v>0.1429</v>
      </c>
    </row>
    <row r="190" spans="1:21">
      <c r="A190" t="s">
        <v>253</v>
      </c>
      <c r="B190" t="s">
        <v>209</v>
      </c>
      <c r="C190">
        <v>41</v>
      </c>
      <c r="D190" t="s">
        <v>210</v>
      </c>
      <c r="E190">
        <v>2114</v>
      </c>
      <c r="F190" s="1">
        <v>3.4000000000000002E-2</v>
      </c>
      <c r="L190" s="1">
        <v>6.8099999999999994E-2</v>
      </c>
      <c r="M190" s="1">
        <v>1.61E-2</v>
      </c>
      <c r="O190" s="1">
        <v>0.69750000000000001</v>
      </c>
      <c r="P190" s="1">
        <v>3.4000000000000002E-2</v>
      </c>
      <c r="T190" s="1">
        <v>0.13420000000000001</v>
      </c>
      <c r="U190" s="1">
        <v>1.61E-2</v>
      </c>
    </row>
    <row r="191" spans="1:21">
      <c r="A191" t="s">
        <v>254</v>
      </c>
      <c r="B191" t="s">
        <v>209</v>
      </c>
      <c r="C191">
        <v>47</v>
      </c>
      <c r="D191" t="s">
        <v>210</v>
      </c>
      <c r="E191">
        <v>2114</v>
      </c>
      <c r="F191" s="1">
        <v>2.5600000000000001E-2</v>
      </c>
      <c r="H191" s="1">
        <v>2.4199999999999999E-2</v>
      </c>
      <c r="I191" s="1">
        <v>2.5600000000000001E-2</v>
      </c>
      <c r="K191" s="1">
        <v>1.21E-2</v>
      </c>
      <c r="L191" s="1">
        <v>0.34329999999999999</v>
      </c>
      <c r="M191" s="1">
        <v>2.5600000000000001E-2</v>
      </c>
      <c r="P191" s="1">
        <v>2.5600000000000001E-2</v>
      </c>
      <c r="S191" s="1">
        <v>0.1265</v>
      </c>
      <c r="T191" s="1">
        <v>0.15210000000000001</v>
      </c>
      <c r="U191" s="1">
        <v>0.23949999999999999</v>
      </c>
    </row>
    <row r="192" spans="1:21">
      <c r="A192" t="s">
        <v>253</v>
      </c>
      <c r="B192" t="s">
        <v>209</v>
      </c>
      <c r="C192">
        <v>42</v>
      </c>
      <c r="D192" t="s">
        <v>212</v>
      </c>
      <c r="E192">
        <v>2114</v>
      </c>
      <c r="K192" s="1">
        <v>2.41E-2</v>
      </c>
      <c r="L192" s="1">
        <v>8.2199999999999995E-2</v>
      </c>
      <c r="M192" s="1">
        <v>8.7099999999999997E-2</v>
      </c>
      <c r="O192" s="1">
        <v>0.74860000000000004</v>
      </c>
      <c r="T192" s="1">
        <v>5.8099999999999999E-2</v>
      </c>
    </row>
    <row r="193" spans="1:21">
      <c r="A193" t="s">
        <v>254</v>
      </c>
      <c r="B193" t="s">
        <v>209</v>
      </c>
      <c r="C193">
        <v>69</v>
      </c>
      <c r="D193" t="s">
        <v>211</v>
      </c>
      <c r="E193">
        <v>2114</v>
      </c>
      <c r="F193" s="1">
        <v>7.7600000000000002E-2</v>
      </c>
      <c r="H193" s="1">
        <v>4.7399999999999998E-2</v>
      </c>
      <c r="I193" s="1">
        <v>1.6799999999999999E-2</v>
      </c>
      <c r="J193" s="1">
        <v>6.7199999999999996E-2</v>
      </c>
      <c r="K193" s="1">
        <v>5.8999999999999999E-3</v>
      </c>
      <c r="L193" s="1">
        <v>0.28510000000000002</v>
      </c>
      <c r="M193" s="1">
        <v>3.6499999999999998E-2</v>
      </c>
      <c r="P193" s="1">
        <v>3.95E-2</v>
      </c>
      <c r="Q193" s="1">
        <v>3.5099999999999999E-2</v>
      </c>
      <c r="R193" s="1">
        <v>4.2500000000000003E-2</v>
      </c>
      <c r="S193" s="1">
        <v>3.6499999999999998E-2</v>
      </c>
      <c r="T193" s="1">
        <v>0.1779</v>
      </c>
      <c r="U193" s="1">
        <v>0.13189999999999999</v>
      </c>
    </row>
    <row r="194" spans="1:21" s="26" customFormat="1">
      <c r="A194" s="26" t="s">
        <v>255</v>
      </c>
      <c r="B194" s="26" t="s">
        <v>209</v>
      </c>
      <c r="C194" s="26">
        <v>15</v>
      </c>
      <c r="D194" s="26" t="s">
        <v>212</v>
      </c>
      <c r="E194" s="26">
        <v>2114</v>
      </c>
      <c r="R194" s="27">
        <v>0.95889999999999997</v>
      </c>
      <c r="U194" s="27">
        <v>4.1099999999999998E-2</v>
      </c>
    </row>
    <row r="195" spans="1:21">
      <c r="A195" t="s">
        <v>257</v>
      </c>
      <c r="B195" t="s">
        <v>209</v>
      </c>
      <c r="C195">
        <v>31</v>
      </c>
      <c r="D195" t="s">
        <v>212</v>
      </c>
      <c r="E195">
        <v>2114</v>
      </c>
      <c r="H195" s="1">
        <v>6.1100000000000002E-2</v>
      </c>
      <c r="J195" s="1">
        <v>6.1100000000000002E-2</v>
      </c>
      <c r="K195" s="1">
        <v>2.12E-2</v>
      </c>
      <c r="L195" s="1">
        <v>0.17030000000000001</v>
      </c>
      <c r="M195" s="1">
        <v>2.0899999999999998E-2</v>
      </c>
      <c r="P195" s="1">
        <v>3.3399999999999999E-2</v>
      </c>
      <c r="Q195" s="1">
        <v>4.0300000000000002E-2</v>
      </c>
      <c r="R195" s="1">
        <v>0.1681</v>
      </c>
      <c r="S195" s="1">
        <v>4.0300000000000002E-2</v>
      </c>
      <c r="T195" s="1">
        <v>2.7900000000000001E-2</v>
      </c>
      <c r="U195" s="1">
        <v>0.35539999999999999</v>
      </c>
    </row>
    <row r="196" spans="1:21">
      <c r="A196" t="s">
        <v>256</v>
      </c>
      <c r="B196" t="s">
        <v>209</v>
      </c>
      <c r="C196">
        <v>41</v>
      </c>
      <c r="D196" t="s">
        <v>212</v>
      </c>
      <c r="E196">
        <v>2114</v>
      </c>
      <c r="F196" s="1">
        <v>5.1000000000000004E-3</v>
      </c>
      <c r="H196" s="1">
        <v>9.2399999999999996E-2</v>
      </c>
      <c r="I196" s="1">
        <v>4.0899999999999999E-2</v>
      </c>
      <c r="J196" s="1">
        <v>5.3199999999999997E-2</v>
      </c>
      <c r="K196" s="1">
        <v>2.9100000000000001E-2</v>
      </c>
      <c r="L196" s="1">
        <v>0.41120000000000001</v>
      </c>
      <c r="M196" s="1">
        <v>0.1164</v>
      </c>
      <c r="O196" s="1">
        <v>5.2699999999999997E-2</v>
      </c>
      <c r="R196" s="1">
        <v>2.9100000000000001E-2</v>
      </c>
      <c r="T196" s="1">
        <v>0.16969999999999999</v>
      </c>
    </row>
    <row r="197" spans="1:21">
      <c r="A197" t="s">
        <v>253</v>
      </c>
      <c r="B197" t="s">
        <v>209</v>
      </c>
      <c r="C197">
        <v>49</v>
      </c>
      <c r="D197" t="s">
        <v>211</v>
      </c>
      <c r="E197">
        <v>2114</v>
      </c>
      <c r="F197" s="1">
        <v>2.5100000000000001E-2</v>
      </c>
      <c r="H197" s="1">
        <v>2.06E-2</v>
      </c>
      <c r="L197" s="1">
        <v>0.12959999999999999</v>
      </c>
      <c r="M197" s="1">
        <v>2.5100000000000001E-2</v>
      </c>
      <c r="O197" s="1">
        <v>0.73640000000000005</v>
      </c>
      <c r="S197" s="1">
        <v>8.8000000000000005E-3</v>
      </c>
      <c r="T197" s="1">
        <v>8.8000000000000005E-3</v>
      </c>
      <c r="U197" s="1">
        <v>4.5699999999999998E-2</v>
      </c>
    </row>
    <row r="198" spans="1:21" s="26" customFormat="1">
      <c r="A198" s="26" t="s">
        <v>255</v>
      </c>
      <c r="B198" s="26" t="s">
        <v>209</v>
      </c>
      <c r="C198" s="26">
        <v>18</v>
      </c>
      <c r="D198" s="26" t="s">
        <v>211</v>
      </c>
      <c r="E198" s="26">
        <v>2114</v>
      </c>
      <c r="Q198" s="27">
        <v>0.26250000000000001</v>
      </c>
      <c r="R198" s="27">
        <v>0.73750000000000004</v>
      </c>
    </row>
    <row r="199" spans="1:21">
      <c r="A199" t="s">
        <v>254</v>
      </c>
      <c r="B199" t="s">
        <v>209</v>
      </c>
      <c r="C199">
        <v>64</v>
      </c>
      <c r="D199" t="s">
        <v>212</v>
      </c>
      <c r="E199">
        <v>2114</v>
      </c>
      <c r="F199" s="1">
        <v>3.5400000000000001E-2</v>
      </c>
      <c r="H199" s="1">
        <v>9.1700000000000004E-2</v>
      </c>
      <c r="I199" s="1">
        <v>1.77E-2</v>
      </c>
      <c r="J199" s="1">
        <v>1.77E-2</v>
      </c>
      <c r="K199" s="1">
        <v>3.0999999999999999E-3</v>
      </c>
      <c r="L199" s="1">
        <v>0.42909999999999998</v>
      </c>
      <c r="M199" s="1">
        <v>3.5400000000000001E-2</v>
      </c>
      <c r="P199" s="1">
        <v>3.0999999999999999E-3</v>
      </c>
      <c r="S199" s="1">
        <v>5.3100000000000001E-2</v>
      </c>
      <c r="T199" s="1">
        <v>0.17810000000000001</v>
      </c>
      <c r="U199" s="1">
        <v>0.13550000000000001</v>
      </c>
    </row>
    <row r="201" spans="1:21">
      <c r="A201" t="s">
        <v>258</v>
      </c>
    </row>
    <row r="202" spans="1:21">
      <c r="A202" t="s">
        <v>214</v>
      </c>
      <c r="B202" t="s">
        <v>189</v>
      </c>
      <c r="C202" t="s">
        <v>195</v>
      </c>
      <c r="D202" t="s">
        <v>190</v>
      </c>
      <c r="E202" t="s">
        <v>196</v>
      </c>
      <c r="F202" t="s">
        <v>238</v>
      </c>
      <c r="G202" t="s">
        <v>228</v>
      </c>
      <c r="H202" t="s">
        <v>239</v>
      </c>
      <c r="I202" t="s">
        <v>240</v>
      </c>
      <c r="J202" t="s">
        <v>241</v>
      </c>
      <c r="K202" t="s">
        <v>242</v>
      </c>
      <c r="L202" t="s">
        <v>243</v>
      </c>
      <c r="M202" t="s">
        <v>244</v>
      </c>
      <c r="N202" t="s">
        <v>223</v>
      </c>
      <c r="O202" t="s">
        <v>245</v>
      </c>
      <c r="P202" t="s">
        <v>246</v>
      </c>
      <c r="Q202" t="s">
        <v>247</v>
      </c>
      <c r="R202" t="s">
        <v>248</v>
      </c>
      <c r="S202" t="s">
        <v>249</v>
      </c>
      <c r="T202" t="s">
        <v>250</v>
      </c>
      <c r="U202" t="s">
        <v>251</v>
      </c>
    </row>
    <row r="203" spans="1:21">
      <c r="A203" t="s">
        <v>198</v>
      </c>
      <c r="B203" t="s">
        <v>197</v>
      </c>
      <c r="C203">
        <v>2114</v>
      </c>
      <c r="D203" t="s">
        <v>198</v>
      </c>
      <c r="E203">
        <v>2114</v>
      </c>
      <c r="F203" s="1">
        <v>2.2800000000000001E-2</v>
      </c>
      <c r="G203" s="1">
        <v>1E-4</v>
      </c>
      <c r="H203" s="1">
        <v>4.7E-2</v>
      </c>
      <c r="I203" s="1">
        <v>6.7999999999999996E-3</v>
      </c>
      <c r="J203" s="1">
        <v>1.8499999999999999E-2</v>
      </c>
      <c r="K203" s="1">
        <v>1.12E-2</v>
      </c>
      <c r="L203" s="1">
        <v>0.31590000000000001</v>
      </c>
      <c r="M203" s="1">
        <v>3.9399999999999998E-2</v>
      </c>
      <c r="N203" s="1">
        <v>2.9999999999999997E-4</v>
      </c>
      <c r="O203" s="1">
        <v>0.18779999999999999</v>
      </c>
      <c r="P203" s="1">
        <v>2.7400000000000001E-2</v>
      </c>
      <c r="Q203" s="1">
        <v>3.0200000000000001E-2</v>
      </c>
      <c r="R203" s="1">
        <v>7.2999999999999995E-2</v>
      </c>
      <c r="S203" s="1">
        <v>3.6400000000000002E-2</v>
      </c>
      <c r="T203" s="1">
        <v>8.2000000000000003E-2</v>
      </c>
      <c r="U203" s="1">
        <v>0.1012</v>
      </c>
    </row>
    <row r="204" spans="1:21">
      <c r="A204" t="s">
        <v>259</v>
      </c>
      <c r="B204" t="s">
        <v>204</v>
      </c>
      <c r="C204">
        <v>96</v>
      </c>
      <c r="D204" t="s">
        <v>208</v>
      </c>
      <c r="E204">
        <v>2114</v>
      </c>
      <c r="F204" s="1">
        <v>4.1700000000000001E-2</v>
      </c>
      <c r="H204" s="1">
        <v>4.1700000000000001E-2</v>
      </c>
      <c r="I204" s="1">
        <v>1.04E-2</v>
      </c>
      <c r="L204" s="1">
        <v>0.17710000000000001</v>
      </c>
      <c r="M204" s="1">
        <v>5.21E-2</v>
      </c>
      <c r="O204" s="1">
        <v>0.22919999999999999</v>
      </c>
      <c r="Q204" s="1">
        <v>1.04E-2</v>
      </c>
      <c r="R204" s="1">
        <v>5.21E-2</v>
      </c>
      <c r="S204" s="1">
        <v>2.0799999999999999E-2</v>
      </c>
      <c r="T204" s="1">
        <v>0.14580000000000001</v>
      </c>
      <c r="U204" s="1">
        <v>0.21879999999999999</v>
      </c>
    </row>
    <row r="205" spans="1:21">
      <c r="A205" t="s">
        <v>260</v>
      </c>
      <c r="B205" t="s">
        <v>204</v>
      </c>
      <c r="C205">
        <v>83</v>
      </c>
      <c r="D205" t="s">
        <v>205</v>
      </c>
      <c r="E205">
        <v>2114</v>
      </c>
      <c r="F205" s="1">
        <v>2.3800000000000002E-2</v>
      </c>
      <c r="H205" s="1">
        <v>0.17219999999999999</v>
      </c>
      <c r="I205" s="1">
        <v>1.44E-2</v>
      </c>
      <c r="J205" s="1">
        <v>2.81E-2</v>
      </c>
      <c r="L205" s="1">
        <v>0.38450000000000001</v>
      </c>
      <c r="M205" s="1">
        <v>7.6E-3</v>
      </c>
      <c r="O205" s="1">
        <v>0.19939999999999999</v>
      </c>
      <c r="Q205" s="1">
        <v>1.7399999999999999E-2</v>
      </c>
      <c r="R205" s="1">
        <v>4.02E-2</v>
      </c>
      <c r="S205" s="1">
        <v>5.4399999999999997E-2</v>
      </c>
      <c r="T205" s="1">
        <v>1.6400000000000001E-2</v>
      </c>
      <c r="U205" s="1">
        <v>4.1599999999999998E-2</v>
      </c>
    </row>
    <row r="206" spans="1:21">
      <c r="A206" t="s">
        <v>259</v>
      </c>
      <c r="B206" t="s">
        <v>204</v>
      </c>
      <c r="C206">
        <v>123</v>
      </c>
      <c r="D206" t="s">
        <v>205</v>
      </c>
      <c r="E206">
        <v>2114</v>
      </c>
      <c r="F206" s="1">
        <v>3.7900000000000003E-2</v>
      </c>
      <c r="H206" s="1">
        <v>2.53E-2</v>
      </c>
      <c r="L206" s="1">
        <v>0.31430000000000002</v>
      </c>
      <c r="M206" s="1">
        <v>4.4299999999999999E-2</v>
      </c>
      <c r="O206" s="1">
        <v>0.24099999999999999</v>
      </c>
      <c r="Q206" s="1">
        <v>6.6900000000000001E-2</v>
      </c>
      <c r="R206" s="1">
        <v>6.25E-2</v>
      </c>
      <c r="S206" s="1">
        <v>7.1999999999999998E-3</v>
      </c>
      <c r="T206" s="1">
        <v>7.1499999999999994E-2</v>
      </c>
      <c r="U206" s="1">
        <v>0.1293</v>
      </c>
    </row>
    <row r="207" spans="1:21">
      <c r="A207" t="s">
        <v>260</v>
      </c>
      <c r="B207" t="s">
        <v>204</v>
      </c>
      <c r="C207">
        <v>54</v>
      </c>
      <c r="D207" t="s">
        <v>206</v>
      </c>
      <c r="E207">
        <v>2114</v>
      </c>
      <c r="G207" s="1">
        <v>2.12E-2</v>
      </c>
      <c r="H207" s="1">
        <v>6.3600000000000004E-2</v>
      </c>
      <c r="J207" s="1">
        <v>1.52E-2</v>
      </c>
      <c r="L207" s="1">
        <v>0.47570000000000001</v>
      </c>
      <c r="M207" s="1">
        <v>3.0300000000000001E-2</v>
      </c>
      <c r="O207" s="1">
        <v>0.12429999999999999</v>
      </c>
      <c r="Q207" s="1">
        <v>1.52E-2</v>
      </c>
      <c r="R207" s="1">
        <v>0.1091</v>
      </c>
      <c r="S207" s="1">
        <v>6.3600000000000004E-2</v>
      </c>
      <c r="T207" s="1">
        <v>6.6699999999999995E-2</v>
      </c>
      <c r="U207" s="1">
        <v>1.52E-2</v>
      </c>
    </row>
    <row r="208" spans="1:21">
      <c r="A208" t="s">
        <v>259</v>
      </c>
      <c r="B208" t="s">
        <v>204</v>
      </c>
      <c r="C208">
        <v>94</v>
      </c>
      <c r="D208" t="s">
        <v>206</v>
      </c>
      <c r="E208">
        <v>2114</v>
      </c>
      <c r="F208" s="1">
        <v>2.1100000000000001E-2</v>
      </c>
      <c r="H208" s="1">
        <v>2.46E-2</v>
      </c>
      <c r="L208" s="1">
        <v>0.20250000000000001</v>
      </c>
      <c r="M208" s="1">
        <v>5.6399999999999999E-2</v>
      </c>
      <c r="O208" s="1">
        <v>0.1409</v>
      </c>
      <c r="P208" s="1">
        <v>1.23E-2</v>
      </c>
      <c r="Q208" s="1">
        <v>3.6900000000000002E-2</v>
      </c>
      <c r="R208" s="1">
        <v>7.5700000000000003E-2</v>
      </c>
      <c r="S208" s="1">
        <v>5.4600000000000003E-2</v>
      </c>
      <c r="T208" s="1">
        <v>0.1038</v>
      </c>
      <c r="U208" s="1">
        <v>0.2712</v>
      </c>
    </row>
    <row r="209" spans="1:21">
      <c r="A209" t="s">
        <v>260</v>
      </c>
      <c r="B209" t="s">
        <v>204</v>
      </c>
      <c r="C209">
        <v>98</v>
      </c>
      <c r="D209" t="s">
        <v>207</v>
      </c>
      <c r="E209">
        <v>2114</v>
      </c>
      <c r="F209" s="1">
        <v>4.4000000000000003E-3</v>
      </c>
      <c r="H209" s="1">
        <v>5.3800000000000001E-2</v>
      </c>
      <c r="I209" s="1">
        <v>1.6999999999999999E-3</v>
      </c>
      <c r="K209" s="1">
        <v>2.8999999999999998E-3</v>
      </c>
      <c r="L209" s="1">
        <v>0.28199999999999997</v>
      </c>
      <c r="M209" s="1">
        <v>7.8899999999999998E-2</v>
      </c>
      <c r="O209" s="1">
        <v>0.1457</v>
      </c>
      <c r="P209" s="1">
        <v>5.21E-2</v>
      </c>
      <c r="Q209" s="1">
        <v>5.21E-2</v>
      </c>
      <c r="R209" s="1">
        <v>3.1399999999999997E-2</v>
      </c>
      <c r="S209" s="1">
        <v>0.1608</v>
      </c>
      <c r="T209" s="1">
        <v>7.9399999999999998E-2</v>
      </c>
      <c r="U209" s="1">
        <v>5.4899999999999997E-2</v>
      </c>
    </row>
    <row r="210" spans="1:21">
      <c r="A210" t="s">
        <v>259</v>
      </c>
      <c r="B210" t="s">
        <v>204</v>
      </c>
      <c r="C210">
        <v>183</v>
      </c>
      <c r="D210" t="s">
        <v>207</v>
      </c>
      <c r="E210">
        <v>2114</v>
      </c>
      <c r="F210" s="1">
        <v>4.3799999999999999E-2</v>
      </c>
      <c r="H210" s="1">
        <v>7.1000000000000004E-3</v>
      </c>
      <c r="K210" s="1">
        <v>9.2999999999999992E-3</v>
      </c>
      <c r="L210" s="1">
        <v>0.14910000000000001</v>
      </c>
      <c r="M210" s="1">
        <v>9.0700000000000003E-2</v>
      </c>
      <c r="O210" s="1">
        <v>0.23449999999999999</v>
      </c>
      <c r="P210" s="1">
        <v>8.3599999999999994E-2</v>
      </c>
      <c r="Q210" s="1">
        <v>0.04</v>
      </c>
      <c r="R210" s="1">
        <v>6.0299999999999999E-2</v>
      </c>
      <c r="S210" s="1">
        <v>5.5399999999999998E-2</v>
      </c>
      <c r="T210" s="1">
        <v>4.7399999999999998E-2</v>
      </c>
      <c r="U210" s="1">
        <v>0.1789</v>
      </c>
    </row>
    <row r="211" spans="1:21">
      <c r="A211" t="s">
        <v>260</v>
      </c>
      <c r="B211" t="s">
        <v>204</v>
      </c>
      <c r="C211">
        <v>57</v>
      </c>
      <c r="D211" t="s">
        <v>208</v>
      </c>
      <c r="E211">
        <v>2114</v>
      </c>
      <c r="H211" s="1">
        <v>3.5099999999999999E-2</v>
      </c>
      <c r="I211" s="1">
        <v>3.5099999999999999E-2</v>
      </c>
      <c r="J211" s="1">
        <v>1.7500000000000002E-2</v>
      </c>
      <c r="L211" s="1">
        <v>0.38600000000000001</v>
      </c>
      <c r="M211" s="1">
        <v>1.7500000000000002E-2</v>
      </c>
      <c r="O211" s="1">
        <v>0.15790000000000001</v>
      </c>
      <c r="P211" s="1">
        <v>3.5099999999999999E-2</v>
      </c>
      <c r="Q211" s="1">
        <v>3.5099999999999999E-2</v>
      </c>
      <c r="R211" s="1">
        <v>0.12280000000000001</v>
      </c>
      <c r="S211" s="1">
        <v>5.2600000000000001E-2</v>
      </c>
      <c r="T211" s="1">
        <v>5.2600000000000001E-2</v>
      </c>
      <c r="U211" s="1">
        <v>5.2600000000000001E-2</v>
      </c>
    </row>
    <row r="212" spans="1:21">
      <c r="A212" t="s">
        <v>259</v>
      </c>
      <c r="B212" t="s">
        <v>199</v>
      </c>
      <c r="C212">
        <v>105</v>
      </c>
      <c r="D212" t="s">
        <v>203</v>
      </c>
      <c r="E212">
        <v>2114</v>
      </c>
      <c r="F212" s="1">
        <v>6.7000000000000002E-3</v>
      </c>
      <c r="K212" s="1">
        <v>2.1700000000000001E-2</v>
      </c>
      <c r="L212" s="1">
        <v>0.29099999999999998</v>
      </c>
      <c r="M212" s="1">
        <v>7.1499999999999994E-2</v>
      </c>
      <c r="N212" s="1">
        <v>1.54E-2</v>
      </c>
      <c r="O212" s="1">
        <v>0.18229999999999999</v>
      </c>
      <c r="R212" s="1">
        <v>4.1399999999999999E-2</v>
      </c>
      <c r="S212" s="1">
        <v>6.7000000000000002E-3</v>
      </c>
      <c r="T212" s="1">
        <v>0.19800000000000001</v>
      </c>
      <c r="U212" s="1">
        <v>0.1653</v>
      </c>
    </row>
    <row r="213" spans="1:21">
      <c r="A213" t="s">
        <v>260</v>
      </c>
      <c r="B213" t="s">
        <v>199</v>
      </c>
      <c r="C213">
        <v>68</v>
      </c>
      <c r="D213" t="s">
        <v>203</v>
      </c>
      <c r="E213">
        <v>2114</v>
      </c>
      <c r="F213" s="1">
        <v>7.1599999999999997E-2</v>
      </c>
      <c r="H213" s="1">
        <v>8.6E-3</v>
      </c>
      <c r="I213" s="1">
        <v>1.72E-2</v>
      </c>
      <c r="J213" s="1">
        <v>1.8100000000000002E-2</v>
      </c>
      <c r="K213" s="1">
        <v>3.1E-2</v>
      </c>
      <c r="L213" s="1">
        <v>0.36230000000000001</v>
      </c>
      <c r="M213" s="1">
        <v>7.3999999999999996E-2</v>
      </c>
      <c r="O213" s="1">
        <v>0.1207</v>
      </c>
      <c r="P213" s="1">
        <v>1.9099999999999999E-2</v>
      </c>
      <c r="Q213" s="1">
        <v>2.9100000000000001E-2</v>
      </c>
      <c r="R213" s="1">
        <v>9.98E-2</v>
      </c>
      <c r="T213" s="1">
        <v>9.5500000000000002E-2</v>
      </c>
      <c r="U213" s="1">
        <v>5.2999999999999999E-2</v>
      </c>
    </row>
    <row r="214" spans="1:21">
      <c r="A214" t="s">
        <v>259</v>
      </c>
      <c r="B214" t="s">
        <v>199</v>
      </c>
      <c r="C214">
        <v>135</v>
      </c>
      <c r="D214" t="s">
        <v>202</v>
      </c>
      <c r="E214">
        <v>2114</v>
      </c>
      <c r="F214" s="1">
        <v>6.1999999999999998E-3</v>
      </c>
      <c r="H214" s="1">
        <v>2.6200000000000001E-2</v>
      </c>
      <c r="K214" s="1">
        <v>1.2999999999999999E-2</v>
      </c>
      <c r="L214" s="1">
        <v>0.37080000000000002</v>
      </c>
      <c r="M214" s="1">
        <v>1.55E-2</v>
      </c>
      <c r="O214" s="1">
        <v>0.28960000000000002</v>
      </c>
      <c r="P214" s="1">
        <v>5.8999999999999997E-2</v>
      </c>
      <c r="R214" s="1">
        <v>4.5699999999999998E-2</v>
      </c>
      <c r="S214" s="1">
        <v>1.2800000000000001E-2</v>
      </c>
      <c r="T214" s="1">
        <v>4.9599999999999998E-2</v>
      </c>
      <c r="U214" s="1">
        <v>0.1115</v>
      </c>
    </row>
    <row r="215" spans="1:21">
      <c r="A215" t="s">
        <v>260</v>
      </c>
      <c r="B215" t="s">
        <v>199</v>
      </c>
      <c r="C215">
        <v>105</v>
      </c>
      <c r="D215" t="s">
        <v>202</v>
      </c>
      <c r="E215">
        <v>2114</v>
      </c>
      <c r="F215" s="1">
        <v>1.2200000000000001E-2</v>
      </c>
      <c r="H215" s="1">
        <v>6.4500000000000002E-2</v>
      </c>
      <c r="I215" s="1">
        <v>2.4500000000000001E-2</v>
      </c>
      <c r="J215" s="1">
        <v>6.6400000000000001E-2</v>
      </c>
      <c r="K215" s="1">
        <v>1.6299999999999999E-2</v>
      </c>
      <c r="L215" s="1">
        <v>0.3347</v>
      </c>
      <c r="M215" s="1">
        <v>1.0999999999999999E-2</v>
      </c>
      <c r="O215" s="1">
        <v>0.14649999999999999</v>
      </c>
      <c r="P215" s="1">
        <v>3.1699999999999999E-2</v>
      </c>
      <c r="Q215" s="1">
        <v>5.0799999999999998E-2</v>
      </c>
      <c r="R215" s="1">
        <v>8.5199999999999998E-2</v>
      </c>
      <c r="S215" s="1">
        <v>5.9700000000000003E-2</v>
      </c>
      <c r="T215" s="1">
        <v>9.64E-2</v>
      </c>
    </row>
    <row r="216" spans="1:21">
      <c r="A216" t="s">
        <v>260</v>
      </c>
      <c r="B216" t="s">
        <v>199</v>
      </c>
      <c r="C216">
        <v>57</v>
      </c>
      <c r="D216" t="s">
        <v>200</v>
      </c>
      <c r="E216">
        <v>2114</v>
      </c>
      <c r="F216" s="1">
        <v>0.22919999999999999</v>
      </c>
      <c r="H216" s="1">
        <v>5.0000000000000001E-3</v>
      </c>
      <c r="J216" s="1">
        <v>2.5000000000000001E-3</v>
      </c>
      <c r="L216" s="1">
        <v>0.19289999999999999</v>
      </c>
      <c r="M216" s="1">
        <v>0.1128</v>
      </c>
      <c r="O216" s="1">
        <v>0.33300000000000002</v>
      </c>
      <c r="P216" s="1">
        <v>7.3200000000000001E-2</v>
      </c>
      <c r="Q216" s="1">
        <v>9.9000000000000008E-3</v>
      </c>
      <c r="R216" s="1">
        <v>7.4999999999999997E-3</v>
      </c>
      <c r="S216" s="1">
        <v>2.5000000000000001E-3</v>
      </c>
      <c r="T216" s="1">
        <v>3.1600000000000003E-2</v>
      </c>
    </row>
    <row r="217" spans="1:21">
      <c r="A217" t="s">
        <v>259</v>
      </c>
      <c r="B217" t="s">
        <v>199</v>
      </c>
      <c r="C217">
        <v>90</v>
      </c>
      <c r="D217" t="s">
        <v>200</v>
      </c>
      <c r="E217">
        <v>2114</v>
      </c>
      <c r="F217" s="1">
        <v>3.5200000000000002E-2</v>
      </c>
      <c r="H217" s="1">
        <v>1.1999999999999999E-3</v>
      </c>
      <c r="L217" s="1">
        <v>0.15909999999999999</v>
      </c>
      <c r="M217" s="1">
        <v>4.6800000000000001E-2</v>
      </c>
      <c r="O217" s="1">
        <v>0.26469999999999999</v>
      </c>
      <c r="P217" s="1">
        <v>8.43E-2</v>
      </c>
      <c r="R217" s="1">
        <v>0.1709</v>
      </c>
      <c r="S217" s="1">
        <v>2.3E-3</v>
      </c>
      <c r="T217" s="1">
        <v>0.13070000000000001</v>
      </c>
      <c r="U217" s="1">
        <v>0.1048</v>
      </c>
    </row>
    <row r="218" spans="1:21">
      <c r="A218" t="s">
        <v>259</v>
      </c>
      <c r="B218" t="s">
        <v>199</v>
      </c>
      <c r="C218">
        <v>125</v>
      </c>
      <c r="D218" t="s">
        <v>201</v>
      </c>
      <c r="E218">
        <v>2114</v>
      </c>
      <c r="H218" s="1">
        <v>2.4E-2</v>
      </c>
      <c r="J218" s="1">
        <v>8.0000000000000002E-3</v>
      </c>
      <c r="K218" s="1">
        <v>2.4E-2</v>
      </c>
      <c r="L218" s="1">
        <v>0.41599999999999998</v>
      </c>
      <c r="M218" s="1">
        <v>2.4E-2</v>
      </c>
      <c r="O218" s="1">
        <v>0.13600000000000001</v>
      </c>
      <c r="P218" s="1">
        <v>2.4E-2</v>
      </c>
      <c r="Q218" s="1">
        <v>1.6E-2</v>
      </c>
      <c r="R218" s="1">
        <v>7.1999999999999995E-2</v>
      </c>
      <c r="S218" s="1">
        <v>2.4E-2</v>
      </c>
      <c r="T218" s="1">
        <v>0.08</v>
      </c>
      <c r="U218" s="1">
        <v>0.152</v>
      </c>
    </row>
    <row r="219" spans="1:21">
      <c r="A219" t="s">
        <v>260</v>
      </c>
      <c r="B219" t="s">
        <v>199</v>
      </c>
      <c r="C219">
        <v>73</v>
      </c>
      <c r="D219" t="s">
        <v>201</v>
      </c>
      <c r="E219">
        <v>2114</v>
      </c>
      <c r="F219" s="1">
        <v>2.7400000000000001E-2</v>
      </c>
      <c r="H219" s="1">
        <v>6.8500000000000005E-2</v>
      </c>
      <c r="J219" s="1">
        <v>8.2199999999999995E-2</v>
      </c>
      <c r="K219" s="1">
        <v>2.7400000000000001E-2</v>
      </c>
      <c r="L219" s="1">
        <v>0.43840000000000001</v>
      </c>
      <c r="O219" s="1">
        <v>6.8500000000000005E-2</v>
      </c>
      <c r="P219" s="1">
        <v>2.7400000000000001E-2</v>
      </c>
      <c r="Q219" s="1">
        <v>4.1099999999999998E-2</v>
      </c>
      <c r="R219" s="1">
        <v>0.1096</v>
      </c>
      <c r="S219" s="1">
        <v>1.37E-2</v>
      </c>
      <c r="T219" s="1">
        <v>9.5899999999999999E-2</v>
      </c>
    </row>
    <row r="220" spans="1:21">
      <c r="A220" t="s">
        <v>260</v>
      </c>
      <c r="B220" t="s">
        <v>209</v>
      </c>
      <c r="C220">
        <v>60</v>
      </c>
      <c r="D220" t="s">
        <v>210</v>
      </c>
      <c r="E220">
        <v>2114</v>
      </c>
      <c r="F220" s="1">
        <v>2.2599999999999999E-2</v>
      </c>
      <c r="H220" s="1">
        <v>4.3999999999999997E-2</v>
      </c>
      <c r="I220" s="1">
        <v>2.2599999999999999E-2</v>
      </c>
      <c r="J220" s="1">
        <v>1.0699999999999999E-2</v>
      </c>
      <c r="K220" s="1">
        <v>1.0699999999999999E-2</v>
      </c>
      <c r="L220" s="1">
        <v>0.32390000000000002</v>
      </c>
      <c r="M220" s="1">
        <v>3.3300000000000003E-2</v>
      </c>
      <c r="O220" s="1">
        <v>0.16539999999999999</v>
      </c>
      <c r="P220" s="1">
        <v>3.3300000000000003E-2</v>
      </c>
      <c r="R220" s="1">
        <v>9.8699999999999996E-2</v>
      </c>
      <c r="S220" s="1">
        <v>0.1119</v>
      </c>
      <c r="T220" s="1">
        <v>0.1013</v>
      </c>
      <c r="U220" s="1">
        <v>2.1399999999999999E-2</v>
      </c>
    </row>
    <row r="221" spans="1:21">
      <c r="A221" t="s">
        <v>260</v>
      </c>
      <c r="B221" t="s">
        <v>209</v>
      </c>
      <c r="C221">
        <v>84</v>
      </c>
      <c r="D221" t="s">
        <v>211</v>
      </c>
      <c r="E221">
        <v>2114</v>
      </c>
      <c r="F221" s="1">
        <v>5.6399999999999999E-2</v>
      </c>
      <c r="H221" s="1">
        <v>6.4899999999999999E-2</v>
      </c>
      <c r="I221" s="1">
        <v>2.76E-2</v>
      </c>
      <c r="J221" s="1">
        <v>5.5199999999999999E-2</v>
      </c>
      <c r="K221" s="1">
        <v>1.38E-2</v>
      </c>
      <c r="L221" s="1">
        <v>0.2316</v>
      </c>
      <c r="M221" s="1">
        <v>4.6199999999999998E-2</v>
      </c>
      <c r="O221" s="1">
        <v>0.1492</v>
      </c>
      <c r="P221" s="1">
        <v>1.8599999999999998E-2</v>
      </c>
      <c r="Q221" s="1">
        <v>7.7499999999999999E-2</v>
      </c>
      <c r="R221" s="1">
        <v>0.18129999999999999</v>
      </c>
      <c r="S221" s="1">
        <v>3.0700000000000002E-2</v>
      </c>
      <c r="T221" s="1">
        <v>4.2099999999999999E-2</v>
      </c>
      <c r="U221" s="1">
        <v>4.8999999999999998E-3</v>
      </c>
    </row>
    <row r="222" spans="1:21">
      <c r="A222" t="s">
        <v>259</v>
      </c>
      <c r="B222" t="s">
        <v>209</v>
      </c>
      <c r="C222">
        <v>132</v>
      </c>
      <c r="D222" t="s">
        <v>211</v>
      </c>
      <c r="E222">
        <v>2114</v>
      </c>
      <c r="F222" s="1">
        <v>3.0700000000000002E-2</v>
      </c>
      <c r="H222" s="1">
        <v>1.4800000000000001E-2</v>
      </c>
      <c r="K222" s="1">
        <v>6.3E-3</v>
      </c>
      <c r="L222" s="1">
        <v>0.25340000000000001</v>
      </c>
      <c r="M222" s="1">
        <v>3.4500000000000003E-2</v>
      </c>
      <c r="O222" s="1">
        <v>0.18540000000000001</v>
      </c>
      <c r="P222" s="1">
        <v>8.9999999999999993E-3</v>
      </c>
      <c r="Q222" s="1">
        <v>3.9199999999999999E-2</v>
      </c>
      <c r="R222" s="1">
        <v>5.2999999999999999E-2</v>
      </c>
      <c r="S222" s="1">
        <v>2.7E-2</v>
      </c>
      <c r="T222" s="1">
        <v>0.1598</v>
      </c>
      <c r="U222" s="1">
        <v>0.18679999999999999</v>
      </c>
    </row>
    <row r="223" spans="1:21">
      <c r="A223" t="s">
        <v>259</v>
      </c>
      <c r="B223" t="s">
        <v>209</v>
      </c>
      <c r="C223">
        <v>120</v>
      </c>
      <c r="D223" t="s">
        <v>212</v>
      </c>
      <c r="E223">
        <v>2114</v>
      </c>
      <c r="F223" s="1">
        <v>9.9000000000000008E-3</v>
      </c>
      <c r="H223" s="1">
        <v>4.1200000000000001E-2</v>
      </c>
      <c r="K223" s="1">
        <v>1.5100000000000001E-2</v>
      </c>
      <c r="L223" s="1">
        <v>0.31900000000000001</v>
      </c>
      <c r="M223" s="1">
        <v>3.9399999999999998E-2</v>
      </c>
      <c r="O223" s="1">
        <v>0.19259999999999999</v>
      </c>
      <c r="P223" s="1">
        <v>8.2000000000000007E-3</v>
      </c>
      <c r="Q223" s="1">
        <v>9.9000000000000008E-3</v>
      </c>
      <c r="R223" s="1">
        <v>6.0900000000000003E-2</v>
      </c>
      <c r="S223" s="1">
        <v>1.9699999999999999E-2</v>
      </c>
      <c r="T223" s="1">
        <v>0.1166</v>
      </c>
      <c r="U223" s="1">
        <v>0.1676</v>
      </c>
    </row>
    <row r="224" spans="1:21">
      <c r="A224" t="s">
        <v>260</v>
      </c>
      <c r="B224" t="s">
        <v>209</v>
      </c>
      <c r="C224">
        <v>73</v>
      </c>
      <c r="D224" t="s">
        <v>212</v>
      </c>
      <c r="E224">
        <v>2114</v>
      </c>
      <c r="F224" s="1">
        <v>1.9199999999999998E-2</v>
      </c>
      <c r="H224" s="1">
        <v>9.2899999999999996E-2</v>
      </c>
      <c r="I224" s="1">
        <v>3.9300000000000002E-2</v>
      </c>
      <c r="J224" s="1">
        <v>7.0999999999999994E-2</v>
      </c>
      <c r="K224" s="1">
        <v>1.6400000000000001E-2</v>
      </c>
      <c r="L224" s="1">
        <v>0.21310000000000001</v>
      </c>
      <c r="M224" s="1">
        <v>9.01E-2</v>
      </c>
      <c r="O224" s="1">
        <v>0.1313</v>
      </c>
      <c r="P224" s="1">
        <v>2.8999999999999998E-3</v>
      </c>
      <c r="R224" s="1">
        <v>0.18110000000000001</v>
      </c>
      <c r="S224" s="1">
        <v>3.2599999999999997E-2</v>
      </c>
      <c r="T224" s="1">
        <v>0.11020000000000001</v>
      </c>
    </row>
    <row r="225" spans="1:21" s="26" customFormat="1">
      <c r="A225" s="26" t="s">
        <v>223</v>
      </c>
      <c r="B225" s="26" t="s">
        <v>209</v>
      </c>
      <c r="C225" s="26">
        <v>1</v>
      </c>
      <c r="D225" s="26" t="s">
        <v>210</v>
      </c>
      <c r="E225" s="26">
        <v>2114</v>
      </c>
      <c r="T225" s="27">
        <v>1</v>
      </c>
    </row>
    <row r="226" spans="1:21">
      <c r="A226" t="s">
        <v>259</v>
      </c>
      <c r="B226" t="s">
        <v>209</v>
      </c>
      <c r="C226">
        <v>98</v>
      </c>
      <c r="D226" t="s">
        <v>210</v>
      </c>
      <c r="E226">
        <v>2114</v>
      </c>
      <c r="F226" s="1">
        <v>1.3299999999999999E-2</v>
      </c>
      <c r="H226" s="1">
        <v>1.3299999999999999E-2</v>
      </c>
      <c r="K226" s="1">
        <v>1.2500000000000001E-2</v>
      </c>
      <c r="L226" s="1">
        <v>0.17599999999999999</v>
      </c>
      <c r="O226" s="1">
        <v>0.17519999999999999</v>
      </c>
      <c r="P226" s="1">
        <v>5.9400000000000001E-2</v>
      </c>
      <c r="Q226" s="1">
        <v>3.9100000000000003E-2</v>
      </c>
      <c r="R226" s="1">
        <v>0.1055</v>
      </c>
      <c r="S226" s="1">
        <v>1.9599999999999999E-2</v>
      </c>
      <c r="T226" s="1">
        <v>0.24229999999999999</v>
      </c>
      <c r="U226" s="1">
        <v>0.1439</v>
      </c>
    </row>
    <row r="228" spans="1:21">
      <c r="A228" t="s">
        <v>261</v>
      </c>
    </row>
    <row r="229" spans="1:21">
      <c r="A229" t="s">
        <v>214</v>
      </c>
      <c r="B229" t="s">
        <v>189</v>
      </c>
      <c r="C229" t="s">
        <v>195</v>
      </c>
      <c r="D229" t="s">
        <v>190</v>
      </c>
      <c r="E229" t="s">
        <v>196</v>
      </c>
      <c r="F229" t="s">
        <v>238</v>
      </c>
      <c r="G229" t="s">
        <v>228</v>
      </c>
      <c r="H229" t="s">
        <v>239</v>
      </c>
      <c r="I229" t="s">
        <v>240</v>
      </c>
      <c r="J229" t="s">
        <v>241</v>
      </c>
      <c r="K229" t="s">
        <v>242</v>
      </c>
      <c r="L229" t="s">
        <v>243</v>
      </c>
      <c r="M229" t="s">
        <v>244</v>
      </c>
      <c r="N229" t="s">
        <v>223</v>
      </c>
      <c r="O229" t="s">
        <v>245</v>
      </c>
      <c r="P229" t="s">
        <v>246</v>
      </c>
      <c r="Q229" t="s">
        <v>247</v>
      </c>
      <c r="R229" t="s">
        <v>248</v>
      </c>
      <c r="S229" t="s">
        <v>249</v>
      </c>
      <c r="T229" t="s">
        <v>250</v>
      </c>
      <c r="U229" t="s">
        <v>251</v>
      </c>
    </row>
    <row r="230" spans="1:21">
      <c r="A230" t="s">
        <v>198</v>
      </c>
      <c r="B230" t="s">
        <v>197</v>
      </c>
      <c r="C230">
        <v>2114</v>
      </c>
      <c r="D230" t="s">
        <v>198</v>
      </c>
      <c r="E230">
        <v>2114</v>
      </c>
      <c r="F230" s="1">
        <v>2.2800000000000001E-2</v>
      </c>
      <c r="G230" s="1">
        <v>1E-4</v>
      </c>
      <c r="H230" s="1">
        <v>4.7E-2</v>
      </c>
      <c r="I230" s="1">
        <v>6.7999999999999996E-3</v>
      </c>
      <c r="J230" s="1">
        <v>1.8499999999999999E-2</v>
      </c>
      <c r="K230" s="1">
        <v>1.12E-2</v>
      </c>
      <c r="L230" s="1">
        <v>0.31590000000000001</v>
      </c>
      <c r="M230" s="1">
        <v>3.9399999999999998E-2</v>
      </c>
      <c r="N230" s="1">
        <v>2.9999999999999997E-4</v>
      </c>
      <c r="O230" s="1">
        <v>0.18779999999999999</v>
      </c>
      <c r="P230" s="1">
        <v>2.7400000000000001E-2</v>
      </c>
      <c r="Q230" s="1">
        <v>3.0200000000000001E-2</v>
      </c>
      <c r="R230" s="1">
        <v>7.2999999999999995E-2</v>
      </c>
      <c r="S230" s="1">
        <v>3.6400000000000002E-2</v>
      </c>
      <c r="T230" s="1">
        <v>8.2000000000000003E-2</v>
      </c>
      <c r="U230" s="1">
        <v>0.1012</v>
      </c>
    </row>
    <row r="231" spans="1:21" s="26" customFormat="1">
      <c r="A231" s="26" t="s">
        <v>236</v>
      </c>
      <c r="B231" s="26" t="s">
        <v>204</v>
      </c>
      <c r="C231" s="26">
        <v>26</v>
      </c>
      <c r="D231" s="26" t="s">
        <v>208</v>
      </c>
      <c r="E231" s="26">
        <v>2114</v>
      </c>
      <c r="L231" s="27">
        <v>3.85E-2</v>
      </c>
      <c r="M231" s="27">
        <v>3.85E-2</v>
      </c>
      <c r="O231" s="27">
        <v>0.30769999999999997</v>
      </c>
      <c r="R231" s="27">
        <v>0.1154</v>
      </c>
      <c r="S231" s="27">
        <v>7.6899999999999996E-2</v>
      </c>
      <c r="T231" s="27">
        <v>0.26919999999999999</v>
      </c>
      <c r="U231" s="27">
        <v>0.15379999999999999</v>
      </c>
    </row>
    <row r="232" spans="1:21">
      <c r="A232" t="s">
        <v>236</v>
      </c>
      <c r="B232" t="s">
        <v>204</v>
      </c>
      <c r="C232">
        <v>74</v>
      </c>
      <c r="D232" t="s">
        <v>205</v>
      </c>
      <c r="E232">
        <v>2114</v>
      </c>
      <c r="F232" s="1">
        <v>3.4799999999999998E-2</v>
      </c>
      <c r="H232" s="1">
        <v>1.4500000000000001E-2</v>
      </c>
      <c r="J232" s="1">
        <v>6.3E-3</v>
      </c>
      <c r="L232" s="1">
        <v>0.34889999999999999</v>
      </c>
      <c r="M232" s="1">
        <v>2.8199999999999999E-2</v>
      </c>
      <c r="O232" s="1">
        <v>0.16139999999999999</v>
      </c>
      <c r="Q232" s="1">
        <v>6.3E-3</v>
      </c>
      <c r="R232" s="1">
        <v>8.3299999999999999E-2</v>
      </c>
      <c r="S232" s="1">
        <v>2.1899999999999999E-2</v>
      </c>
      <c r="T232" s="1">
        <v>8.0500000000000002E-2</v>
      </c>
      <c r="U232" s="1">
        <v>0.21379999999999999</v>
      </c>
    </row>
    <row r="233" spans="1:21">
      <c r="A233" t="s">
        <v>235</v>
      </c>
      <c r="B233" t="s">
        <v>204</v>
      </c>
      <c r="C233">
        <v>129</v>
      </c>
      <c r="D233" t="s">
        <v>205</v>
      </c>
      <c r="E233">
        <v>2114</v>
      </c>
      <c r="F233" s="1">
        <v>3.2099999999999997E-2</v>
      </c>
      <c r="H233" s="1">
        <v>9.7000000000000003E-2</v>
      </c>
      <c r="I233" s="1">
        <v>6.7999999999999996E-3</v>
      </c>
      <c r="J233" s="1">
        <v>1.18E-2</v>
      </c>
      <c r="L233" s="1">
        <v>0.34110000000000001</v>
      </c>
      <c r="M233" s="1">
        <v>3.0700000000000002E-2</v>
      </c>
      <c r="O233" s="1">
        <v>0.23710000000000001</v>
      </c>
      <c r="Q233" s="1">
        <v>5.7099999999999998E-2</v>
      </c>
      <c r="R233" s="1">
        <v>4.6300000000000001E-2</v>
      </c>
      <c r="S233" s="1">
        <v>2.63E-2</v>
      </c>
      <c r="T233" s="1">
        <v>4.3900000000000002E-2</v>
      </c>
      <c r="U233" s="1">
        <v>7.0000000000000007E-2</v>
      </c>
    </row>
    <row r="234" spans="1:21">
      <c r="A234" t="s">
        <v>236</v>
      </c>
      <c r="B234" t="s">
        <v>204</v>
      </c>
      <c r="C234">
        <v>42</v>
      </c>
      <c r="D234" t="s">
        <v>206</v>
      </c>
      <c r="E234">
        <v>2114</v>
      </c>
      <c r="L234" s="1">
        <v>0.28499999999999998</v>
      </c>
      <c r="M234" s="1">
        <v>4.1399999999999999E-2</v>
      </c>
      <c r="O234" s="1">
        <v>0.1487</v>
      </c>
      <c r="Q234" s="1">
        <v>2.07E-2</v>
      </c>
      <c r="R234" s="1">
        <v>0.1116</v>
      </c>
      <c r="T234" s="1">
        <v>9.9099999999999994E-2</v>
      </c>
      <c r="U234" s="1">
        <v>0.29349999999999998</v>
      </c>
    </row>
    <row r="235" spans="1:21">
      <c r="A235" t="s">
        <v>235</v>
      </c>
      <c r="B235" t="s">
        <v>204</v>
      </c>
      <c r="C235">
        <v>99</v>
      </c>
      <c r="D235" t="s">
        <v>206</v>
      </c>
      <c r="E235">
        <v>2114</v>
      </c>
      <c r="F235" s="1">
        <v>1.95E-2</v>
      </c>
      <c r="G235" s="1">
        <v>1.1299999999999999E-2</v>
      </c>
      <c r="H235" s="1">
        <v>5.67E-2</v>
      </c>
      <c r="J235" s="1">
        <v>8.0999999999999996E-3</v>
      </c>
      <c r="L235" s="1">
        <v>0.32900000000000001</v>
      </c>
      <c r="M235" s="1">
        <v>5.1900000000000002E-2</v>
      </c>
      <c r="O235" s="1">
        <v>9.8900000000000002E-2</v>
      </c>
      <c r="P235" s="1">
        <v>1.1299999999999999E-2</v>
      </c>
      <c r="Q235" s="1">
        <v>3.4000000000000002E-2</v>
      </c>
      <c r="R235" s="1">
        <v>8.43E-2</v>
      </c>
      <c r="S235" s="1">
        <v>7.6100000000000001E-2</v>
      </c>
      <c r="T235" s="1">
        <v>9.2399999999999996E-2</v>
      </c>
      <c r="U235" s="1">
        <v>0.12640000000000001</v>
      </c>
    </row>
    <row r="236" spans="1:21">
      <c r="A236" t="s">
        <v>236</v>
      </c>
      <c r="B236" t="s">
        <v>204</v>
      </c>
      <c r="C236">
        <v>174</v>
      </c>
      <c r="D236" t="s">
        <v>207</v>
      </c>
      <c r="E236">
        <v>2114</v>
      </c>
      <c r="F236" s="1">
        <v>9.4000000000000004E-3</v>
      </c>
      <c r="H236" s="1">
        <v>6.6199999999999995E-2</v>
      </c>
      <c r="I236" s="1">
        <v>1.9E-3</v>
      </c>
      <c r="K236" s="1">
        <v>4.4000000000000003E-3</v>
      </c>
      <c r="L236" s="1">
        <v>0.2235</v>
      </c>
      <c r="M236" s="1">
        <v>3.3500000000000002E-2</v>
      </c>
      <c r="O236" s="1">
        <v>0.2392</v>
      </c>
      <c r="P236" s="1">
        <v>0.17499999999999999</v>
      </c>
      <c r="Q236" s="1">
        <v>1.9E-3</v>
      </c>
      <c r="R236" s="1">
        <v>4.1399999999999999E-2</v>
      </c>
      <c r="S236" s="1">
        <v>7.4099999999999999E-2</v>
      </c>
      <c r="T236" s="1">
        <v>6.9400000000000003E-2</v>
      </c>
      <c r="U236" s="1">
        <v>6.0100000000000001E-2</v>
      </c>
    </row>
    <row r="237" spans="1:21">
      <c r="A237" t="s">
        <v>235</v>
      </c>
      <c r="B237" t="s">
        <v>204</v>
      </c>
      <c r="C237">
        <v>95</v>
      </c>
      <c r="D237" t="s">
        <v>207</v>
      </c>
      <c r="E237">
        <v>2114</v>
      </c>
      <c r="F237" s="1">
        <v>3.95E-2</v>
      </c>
      <c r="H237" s="1">
        <v>1.5E-3</v>
      </c>
      <c r="K237" s="1">
        <v>8.2000000000000007E-3</v>
      </c>
      <c r="L237" s="1">
        <v>0.19289999999999999</v>
      </c>
      <c r="M237" s="1">
        <v>0.1205</v>
      </c>
      <c r="O237" s="1">
        <v>0.16919999999999999</v>
      </c>
      <c r="P237" s="1">
        <v>2.0999999999999999E-3</v>
      </c>
      <c r="Q237" s="1">
        <v>7.51E-2</v>
      </c>
      <c r="R237" s="1">
        <v>5.16E-2</v>
      </c>
      <c r="S237" s="1">
        <v>0.1203</v>
      </c>
      <c r="T237" s="1">
        <v>4.7899999999999998E-2</v>
      </c>
      <c r="U237" s="1">
        <v>0.17119999999999999</v>
      </c>
    </row>
    <row r="238" spans="1:21">
      <c r="A238" t="s">
        <v>235</v>
      </c>
      <c r="B238" t="s">
        <v>204</v>
      </c>
      <c r="C238">
        <v>127</v>
      </c>
      <c r="D238" t="s">
        <v>208</v>
      </c>
      <c r="E238">
        <v>2114</v>
      </c>
      <c r="F238" s="1">
        <v>3.15E-2</v>
      </c>
      <c r="H238" s="1">
        <v>4.7199999999999999E-2</v>
      </c>
      <c r="I238" s="1">
        <v>2.3599999999999999E-2</v>
      </c>
      <c r="J238" s="1">
        <v>7.9000000000000008E-3</v>
      </c>
      <c r="L238" s="1">
        <v>0.29920000000000002</v>
      </c>
      <c r="M238" s="1">
        <v>3.9399999999999998E-2</v>
      </c>
      <c r="O238" s="1">
        <v>0.18110000000000001</v>
      </c>
      <c r="P238" s="1">
        <v>1.5699999999999999E-2</v>
      </c>
      <c r="Q238" s="1">
        <v>2.3599999999999999E-2</v>
      </c>
      <c r="R238" s="1">
        <v>7.0900000000000005E-2</v>
      </c>
      <c r="S238" s="1">
        <v>2.3599999999999999E-2</v>
      </c>
      <c r="T238" s="1">
        <v>7.8700000000000006E-2</v>
      </c>
      <c r="U238" s="1">
        <v>0.1575</v>
      </c>
    </row>
    <row r="239" spans="1:21">
      <c r="A239" t="s">
        <v>236</v>
      </c>
      <c r="B239" t="s">
        <v>199</v>
      </c>
      <c r="C239">
        <v>78</v>
      </c>
      <c r="D239" t="s">
        <v>203</v>
      </c>
      <c r="E239">
        <v>2114</v>
      </c>
      <c r="F239" s="1">
        <v>2.23E-2</v>
      </c>
      <c r="I239" s="1">
        <v>0.01</v>
      </c>
      <c r="J239" s="1">
        <v>1.11E-2</v>
      </c>
      <c r="K239" s="1">
        <v>3.6299999999999999E-2</v>
      </c>
      <c r="L239" s="1">
        <v>0.2213</v>
      </c>
      <c r="M239" s="1">
        <v>7.4200000000000002E-2</v>
      </c>
      <c r="O239" s="1">
        <v>0.23150000000000001</v>
      </c>
      <c r="Q239" s="1">
        <v>2.4E-2</v>
      </c>
      <c r="R239" s="1">
        <v>6.5799999999999997E-2</v>
      </c>
      <c r="S239" s="1">
        <v>1.11E-2</v>
      </c>
      <c r="T239" s="1">
        <v>0.17899999999999999</v>
      </c>
      <c r="U239" s="1">
        <v>0.1133</v>
      </c>
    </row>
    <row r="240" spans="1:21">
      <c r="A240" t="s">
        <v>235</v>
      </c>
      <c r="B240" t="s">
        <v>199</v>
      </c>
      <c r="C240">
        <v>93</v>
      </c>
      <c r="D240" t="s">
        <v>203</v>
      </c>
      <c r="E240">
        <v>2114</v>
      </c>
      <c r="F240" s="1">
        <v>4.1099999999999998E-2</v>
      </c>
      <c r="H240" s="1">
        <v>5.7000000000000002E-3</v>
      </c>
      <c r="I240" s="1">
        <v>5.7000000000000002E-3</v>
      </c>
      <c r="J240" s="1">
        <v>5.7000000000000002E-3</v>
      </c>
      <c r="K240" s="1">
        <v>2.0500000000000001E-2</v>
      </c>
      <c r="L240" s="1">
        <v>0.36899999999999999</v>
      </c>
      <c r="M240" s="1">
        <v>5.3999999999999999E-2</v>
      </c>
      <c r="N240" s="1">
        <v>1.4500000000000001E-2</v>
      </c>
      <c r="O240" s="1">
        <v>0.1212</v>
      </c>
      <c r="P240" s="1">
        <v>1.26E-2</v>
      </c>
      <c r="Q240" s="1">
        <v>5.7000000000000002E-3</v>
      </c>
      <c r="R240" s="1">
        <v>6.7900000000000002E-2</v>
      </c>
      <c r="T240" s="1">
        <v>0.14910000000000001</v>
      </c>
      <c r="U240" s="1">
        <v>0.1273</v>
      </c>
    </row>
    <row r="241" spans="1:21">
      <c r="A241" t="s">
        <v>235</v>
      </c>
      <c r="B241" t="s">
        <v>199</v>
      </c>
      <c r="C241">
        <v>135</v>
      </c>
      <c r="D241" t="s">
        <v>202</v>
      </c>
      <c r="E241">
        <v>2114</v>
      </c>
      <c r="F241" s="1">
        <v>1.04E-2</v>
      </c>
      <c r="H241" s="1">
        <v>4.4999999999999998E-2</v>
      </c>
      <c r="I241" s="1">
        <v>1.04E-2</v>
      </c>
      <c r="J241" s="1">
        <v>3.6700000000000003E-2</v>
      </c>
      <c r="K241" s="1">
        <v>3.2000000000000002E-3</v>
      </c>
      <c r="L241" s="1">
        <v>0.34720000000000001</v>
      </c>
      <c r="M241" s="1">
        <v>1.8700000000000001E-2</v>
      </c>
      <c r="O241" s="1">
        <v>0.21829999999999999</v>
      </c>
      <c r="P241" s="1">
        <v>6.4000000000000001E-2</v>
      </c>
      <c r="Q241" s="1">
        <v>2.24E-2</v>
      </c>
      <c r="R241" s="1">
        <v>4.7399999999999998E-2</v>
      </c>
      <c r="S241" s="1">
        <v>2.9399999999999999E-2</v>
      </c>
      <c r="T241" s="1">
        <v>7.1300000000000002E-2</v>
      </c>
      <c r="U241" s="1">
        <v>7.5600000000000001E-2</v>
      </c>
    </row>
    <row r="242" spans="1:21">
      <c r="A242" t="s">
        <v>236</v>
      </c>
      <c r="B242" t="s">
        <v>199</v>
      </c>
      <c r="C242">
        <v>48</v>
      </c>
      <c r="D242" t="s">
        <v>200</v>
      </c>
      <c r="E242">
        <v>2114</v>
      </c>
      <c r="F242" s="1">
        <v>0.106</v>
      </c>
      <c r="L242" s="1">
        <v>2.1499999999999998E-2</v>
      </c>
      <c r="M242" s="1">
        <v>0.13980000000000001</v>
      </c>
      <c r="O242" s="1">
        <v>0.42880000000000001</v>
      </c>
      <c r="P242" s="1">
        <v>7.3200000000000001E-2</v>
      </c>
      <c r="R242" s="1">
        <v>7.6600000000000001E-2</v>
      </c>
      <c r="S242" s="1">
        <v>5.1000000000000004E-3</v>
      </c>
      <c r="T242" s="1">
        <v>5.4300000000000001E-2</v>
      </c>
      <c r="U242" s="1">
        <v>9.4700000000000006E-2</v>
      </c>
    </row>
    <row r="243" spans="1:21">
      <c r="A243" t="s">
        <v>235</v>
      </c>
      <c r="B243" t="s">
        <v>199</v>
      </c>
      <c r="C243">
        <v>93</v>
      </c>
      <c r="D243" t="s">
        <v>200</v>
      </c>
      <c r="E243">
        <v>2114</v>
      </c>
      <c r="F243" s="1">
        <v>8.9599999999999999E-2</v>
      </c>
      <c r="H243" s="1">
        <v>4.4999999999999997E-3</v>
      </c>
      <c r="J243" s="1">
        <v>1.5E-3</v>
      </c>
      <c r="L243" s="1">
        <v>0.2999</v>
      </c>
      <c r="M243" s="1">
        <v>3.0000000000000001E-3</v>
      </c>
      <c r="O243" s="1">
        <v>0.15989999999999999</v>
      </c>
      <c r="P243" s="1">
        <v>8.8099999999999998E-2</v>
      </c>
      <c r="Q243" s="1">
        <v>6.0000000000000001E-3</v>
      </c>
      <c r="R243" s="1">
        <v>0.1575</v>
      </c>
      <c r="T243" s="1">
        <v>0.14000000000000001</v>
      </c>
      <c r="U243" s="1">
        <v>5.0099999999999999E-2</v>
      </c>
    </row>
    <row r="244" spans="1:21">
      <c r="A244" t="s">
        <v>236</v>
      </c>
      <c r="B244" t="s">
        <v>199</v>
      </c>
      <c r="C244">
        <v>103</v>
      </c>
      <c r="D244" t="s">
        <v>202</v>
      </c>
      <c r="E244">
        <v>2114</v>
      </c>
      <c r="F244" s="1">
        <v>7.4000000000000003E-3</v>
      </c>
      <c r="H244" s="1">
        <v>4.2599999999999999E-2</v>
      </c>
      <c r="I244" s="1">
        <v>1.1900000000000001E-2</v>
      </c>
      <c r="J244" s="1">
        <v>2.2499999999999999E-2</v>
      </c>
      <c r="K244" s="1">
        <v>2.7699999999999999E-2</v>
      </c>
      <c r="L244" s="1">
        <v>0.3478</v>
      </c>
      <c r="M244" s="1">
        <v>7.9000000000000008E-3</v>
      </c>
      <c r="O244" s="1">
        <v>0.23910000000000001</v>
      </c>
      <c r="P244" s="1">
        <v>2.8199999999999999E-2</v>
      </c>
      <c r="Q244" s="1">
        <v>2.3699999999999999E-2</v>
      </c>
      <c r="R244" s="1">
        <v>8.3199999999999996E-2</v>
      </c>
      <c r="S244" s="1">
        <v>3.95E-2</v>
      </c>
      <c r="T244" s="1">
        <v>7.1400000000000005E-2</v>
      </c>
      <c r="U244" s="1">
        <v>4.7E-2</v>
      </c>
    </row>
    <row r="245" spans="1:21">
      <c r="A245" t="s">
        <v>235</v>
      </c>
      <c r="B245" t="s">
        <v>199</v>
      </c>
      <c r="C245">
        <v>198</v>
      </c>
      <c r="D245" t="s">
        <v>201</v>
      </c>
      <c r="E245">
        <v>2114</v>
      </c>
      <c r="F245" s="1">
        <v>1.01E-2</v>
      </c>
      <c r="H245" s="1">
        <v>4.0399999999999998E-2</v>
      </c>
      <c r="J245" s="1">
        <v>3.5400000000000001E-2</v>
      </c>
      <c r="K245" s="1">
        <v>2.53E-2</v>
      </c>
      <c r="L245" s="1">
        <v>0.42420000000000002</v>
      </c>
      <c r="M245" s="1">
        <v>1.52E-2</v>
      </c>
      <c r="O245" s="1">
        <v>0.1111</v>
      </c>
      <c r="P245" s="1">
        <v>2.53E-2</v>
      </c>
      <c r="Q245" s="1">
        <v>2.53E-2</v>
      </c>
      <c r="R245" s="1">
        <v>8.5900000000000004E-2</v>
      </c>
      <c r="S245" s="1">
        <v>2.0199999999999999E-2</v>
      </c>
      <c r="T245" s="1">
        <v>8.5900000000000004E-2</v>
      </c>
      <c r="U245" s="1">
        <v>9.6000000000000002E-2</v>
      </c>
    </row>
    <row r="246" spans="1:21">
      <c r="A246" t="s">
        <v>236</v>
      </c>
      <c r="B246" t="s">
        <v>209</v>
      </c>
      <c r="C246">
        <v>86</v>
      </c>
      <c r="D246" t="s">
        <v>211</v>
      </c>
      <c r="E246">
        <v>2114</v>
      </c>
      <c r="F246" s="1">
        <v>5.7200000000000001E-2</v>
      </c>
      <c r="H246" s="1">
        <v>2.0400000000000001E-2</v>
      </c>
      <c r="J246" s="1">
        <v>1.5100000000000001E-2</v>
      </c>
      <c r="K246" s="1">
        <v>5.3E-3</v>
      </c>
      <c r="L246" s="1">
        <v>0.20349999999999999</v>
      </c>
      <c r="M246" s="1">
        <v>4.5199999999999997E-2</v>
      </c>
      <c r="O246" s="1">
        <v>0.21890000000000001</v>
      </c>
      <c r="P246" s="1">
        <v>1.5100000000000001E-2</v>
      </c>
      <c r="Q246" s="1">
        <v>3.2800000000000003E-2</v>
      </c>
      <c r="R246" s="1">
        <v>0.10199999999999999</v>
      </c>
      <c r="S246" s="1">
        <v>4.3400000000000001E-2</v>
      </c>
      <c r="T246" s="1">
        <v>8.8999999999999996E-2</v>
      </c>
      <c r="U246" s="1">
        <v>0.15240000000000001</v>
      </c>
    </row>
    <row r="247" spans="1:21">
      <c r="A247" t="s">
        <v>235</v>
      </c>
      <c r="B247" t="s">
        <v>209</v>
      </c>
      <c r="C247">
        <v>128</v>
      </c>
      <c r="D247" t="s">
        <v>211</v>
      </c>
      <c r="E247">
        <v>2114</v>
      </c>
      <c r="F247" s="1">
        <v>3.2300000000000002E-2</v>
      </c>
      <c r="H247" s="1">
        <v>4.36E-2</v>
      </c>
      <c r="I247" s="1">
        <v>1.7500000000000002E-2</v>
      </c>
      <c r="J247" s="1">
        <v>2.6200000000000001E-2</v>
      </c>
      <c r="K247" s="1">
        <v>1.18E-2</v>
      </c>
      <c r="L247" s="1">
        <v>0.252</v>
      </c>
      <c r="M247" s="1">
        <v>3.6400000000000002E-2</v>
      </c>
      <c r="O247" s="1">
        <v>0.14729999999999999</v>
      </c>
      <c r="P247" s="1">
        <v>1.18E-2</v>
      </c>
      <c r="Q247" s="1">
        <v>6.8000000000000005E-2</v>
      </c>
      <c r="R247" s="1">
        <v>0.107</v>
      </c>
      <c r="S247" s="1">
        <v>2.0500000000000001E-2</v>
      </c>
      <c r="T247" s="1">
        <v>0.12989999999999999</v>
      </c>
      <c r="U247" s="1">
        <v>9.5699999999999993E-2</v>
      </c>
    </row>
    <row r="248" spans="1:21">
      <c r="A248" t="s">
        <v>235</v>
      </c>
      <c r="B248" t="s">
        <v>209</v>
      </c>
      <c r="C248">
        <v>150</v>
      </c>
      <c r="D248" t="s">
        <v>212</v>
      </c>
      <c r="E248">
        <v>2114</v>
      </c>
      <c r="F248" s="1">
        <v>7.1999999999999998E-3</v>
      </c>
      <c r="H248" s="1">
        <v>5.7200000000000001E-2</v>
      </c>
      <c r="I248" s="1">
        <v>1.43E-2</v>
      </c>
      <c r="J248" s="1">
        <v>2.1499999999999998E-2</v>
      </c>
      <c r="K248" s="1">
        <v>1.09E-2</v>
      </c>
      <c r="L248" s="1">
        <v>0.27979999999999999</v>
      </c>
      <c r="M248" s="1">
        <v>6.4399999999999999E-2</v>
      </c>
      <c r="O248" s="1">
        <v>0.1633</v>
      </c>
      <c r="P248" s="1">
        <v>5.8999999999999999E-3</v>
      </c>
      <c r="Q248" s="1">
        <v>7.1999999999999998E-3</v>
      </c>
      <c r="R248" s="1">
        <v>0.1173</v>
      </c>
      <c r="S248" s="1">
        <v>2.1499999999999998E-2</v>
      </c>
      <c r="T248" s="1">
        <v>0.11509999999999999</v>
      </c>
      <c r="U248" s="1">
        <v>0.1144</v>
      </c>
    </row>
    <row r="249" spans="1:21">
      <c r="A249" t="s">
        <v>236</v>
      </c>
      <c r="B249" t="s">
        <v>209</v>
      </c>
      <c r="C249">
        <v>43</v>
      </c>
      <c r="D249" t="s">
        <v>212</v>
      </c>
      <c r="E249">
        <v>2114</v>
      </c>
      <c r="F249" s="1">
        <v>5.1299999999999998E-2</v>
      </c>
      <c r="H249" s="1">
        <v>8.1699999999999995E-2</v>
      </c>
      <c r="I249" s="1">
        <v>1.77E-2</v>
      </c>
      <c r="J249" s="1">
        <v>5.8799999999999998E-2</v>
      </c>
      <c r="K249" s="1">
        <v>4.3799999999999999E-2</v>
      </c>
      <c r="L249" s="1">
        <v>0.27479999999999999</v>
      </c>
      <c r="M249" s="1">
        <v>2.2599999999999999E-2</v>
      </c>
      <c r="O249" s="1">
        <v>0.20780000000000001</v>
      </c>
      <c r="P249" s="1">
        <v>7.6E-3</v>
      </c>
      <c r="R249" s="1">
        <v>3.7900000000000003E-2</v>
      </c>
      <c r="S249" s="1">
        <v>4.36E-2</v>
      </c>
      <c r="T249" s="1">
        <v>0.1084</v>
      </c>
      <c r="U249" s="1">
        <v>4.3799999999999999E-2</v>
      </c>
    </row>
    <row r="250" spans="1:21">
      <c r="A250" t="s">
        <v>235</v>
      </c>
      <c r="B250" t="s">
        <v>209</v>
      </c>
      <c r="C250">
        <v>64</v>
      </c>
      <c r="D250" t="s">
        <v>210</v>
      </c>
      <c r="E250">
        <v>2114</v>
      </c>
      <c r="I250" s="1">
        <v>1.6299999999999999E-2</v>
      </c>
      <c r="K250" s="1">
        <v>7.7000000000000002E-3</v>
      </c>
      <c r="L250" s="1">
        <v>0.30869999999999997</v>
      </c>
      <c r="M250" s="1">
        <v>1.6299999999999999E-2</v>
      </c>
      <c r="O250" s="1">
        <v>0.15440000000000001</v>
      </c>
      <c r="P250" s="1">
        <v>8.1500000000000003E-2</v>
      </c>
      <c r="Q250" s="1">
        <v>2.4E-2</v>
      </c>
      <c r="R250" s="1">
        <v>9.7799999999999998E-2</v>
      </c>
      <c r="S250" s="1">
        <v>1.6299999999999999E-2</v>
      </c>
      <c r="T250" s="1">
        <v>0.21190000000000001</v>
      </c>
      <c r="U250" s="1">
        <v>6.5199999999999994E-2</v>
      </c>
    </row>
    <row r="251" spans="1:21">
      <c r="A251" t="s">
        <v>236</v>
      </c>
      <c r="B251" t="s">
        <v>209</v>
      </c>
      <c r="C251">
        <v>87</v>
      </c>
      <c r="D251" t="s">
        <v>210</v>
      </c>
      <c r="E251">
        <v>2114</v>
      </c>
      <c r="F251" s="1">
        <v>1.84E-2</v>
      </c>
      <c r="H251" s="1">
        <v>5.4199999999999998E-2</v>
      </c>
      <c r="J251" s="1">
        <v>8.6999999999999994E-3</v>
      </c>
      <c r="K251" s="1">
        <v>8.6999999999999994E-3</v>
      </c>
      <c r="L251" s="1">
        <v>0.12379999999999999</v>
      </c>
      <c r="M251" s="1">
        <v>8.6999999999999994E-3</v>
      </c>
      <c r="O251" s="1">
        <v>0.18579999999999999</v>
      </c>
      <c r="P251" s="1">
        <v>1.7399999999999999E-2</v>
      </c>
      <c r="Q251" s="1">
        <v>2.7099999999999999E-2</v>
      </c>
      <c r="R251" s="1">
        <v>0.1162</v>
      </c>
      <c r="S251" s="1">
        <v>9.98E-2</v>
      </c>
      <c r="T251" s="1">
        <v>0.18779999999999999</v>
      </c>
      <c r="U251" s="1">
        <v>0.14330000000000001</v>
      </c>
    </row>
    <row r="253" spans="1:21">
      <c r="A253" t="s">
        <v>262</v>
      </c>
    </row>
    <row r="254" spans="1:21">
      <c r="A254" t="s">
        <v>189</v>
      </c>
      <c r="B254" t="s">
        <v>195</v>
      </c>
      <c r="C254" t="s">
        <v>190</v>
      </c>
      <c r="D254" t="s">
        <v>196</v>
      </c>
      <c r="E254" t="s">
        <v>228</v>
      </c>
      <c r="F254" t="s">
        <v>263</v>
      </c>
      <c r="G254" t="s">
        <v>264</v>
      </c>
      <c r="H254" t="s">
        <v>265</v>
      </c>
    </row>
    <row r="255" spans="1:21">
      <c r="A255" t="s">
        <v>197</v>
      </c>
      <c r="B255">
        <v>1826</v>
      </c>
      <c r="C255" t="s">
        <v>198</v>
      </c>
      <c r="D255">
        <v>1826</v>
      </c>
      <c r="E255" s="1">
        <v>7.0000000000000001E-3</v>
      </c>
      <c r="F255" s="1">
        <v>0.85329999999999995</v>
      </c>
      <c r="G255" s="1">
        <v>0.1022</v>
      </c>
      <c r="H255" s="1">
        <v>3.7600000000000001E-2</v>
      </c>
    </row>
    <row r="256" spans="1:21">
      <c r="A256" t="s">
        <v>204</v>
      </c>
      <c r="B256">
        <v>180</v>
      </c>
      <c r="C256" t="s">
        <v>205</v>
      </c>
      <c r="D256">
        <v>1826</v>
      </c>
      <c r="F256" s="1">
        <v>0.95269999999999999</v>
      </c>
      <c r="G256" s="1">
        <v>4.0099999999999997E-2</v>
      </c>
      <c r="H256" s="1">
        <v>7.1999999999999998E-3</v>
      </c>
    </row>
    <row r="257" spans="1:9">
      <c r="A257" t="s">
        <v>204</v>
      </c>
      <c r="B257">
        <v>136</v>
      </c>
      <c r="C257" t="s">
        <v>206</v>
      </c>
      <c r="D257">
        <v>1826</v>
      </c>
      <c r="E257" s="1">
        <v>8.5000000000000006E-3</v>
      </c>
      <c r="F257" s="1">
        <v>0.876</v>
      </c>
      <c r="G257" s="1">
        <v>0.1009</v>
      </c>
      <c r="H257" s="1">
        <v>1.46E-2</v>
      </c>
    </row>
    <row r="258" spans="1:9">
      <c r="A258" t="s">
        <v>204</v>
      </c>
      <c r="B258">
        <v>246</v>
      </c>
      <c r="C258" t="s">
        <v>207</v>
      </c>
      <c r="D258">
        <v>1826</v>
      </c>
      <c r="E258" s="1">
        <v>4.1000000000000003E-3</v>
      </c>
      <c r="F258" s="1">
        <v>0.75129999999999997</v>
      </c>
      <c r="G258" s="1">
        <v>0.1598</v>
      </c>
      <c r="H258" s="1">
        <v>8.48E-2</v>
      </c>
    </row>
    <row r="259" spans="1:9">
      <c r="A259" t="s">
        <v>204</v>
      </c>
      <c r="B259">
        <v>131</v>
      </c>
      <c r="C259" t="s">
        <v>208</v>
      </c>
      <c r="D259">
        <v>1826</v>
      </c>
      <c r="F259" s="1">
        <v>0.83209999999999995</v>
      </c>
      <c r="G259" s="1">
        <v>0.1145</v>
      </c>
      <c r="H259" s="1">
        <v>5.3400000000000003E-2</v>
      </c>
    </row>
    <row r="260" spans="1:9">
      <c r="A260" t="s">
        <v>199</v>
      </c>
      <c r="B260">
        <v>123</v>
      </c>
      <c r="C260" t="s">
        <v>200</v>
      </c>
      <c r="D260">
        <v>1826</v>
      </c>
      <c r="E260" s="1">
        <v>1E-3</v>
      </c>
      <c r="F260" s="1">
        <v>0.76470000000000005</v>
      </c>
      <c r="G260" s="1">
        <v>0.183</v>
      </c>
      <c r="H260" s="1">
        <v>5.1299999999999998E-2</v>
      </c>
    </row>
    <row r="261" spans="1:9">
      <c r="A261" t="s">
        <v>199</v>
      </c>
      <c r="B261">
        <v>173</v>
      </c>
      <c r="C261" t="s">
        <v>201</v>
      </c>
      <c r="D261">
        <v>1826</v>
      </c>
      <c r="E261" s="1">
        <v>5.7999999999999996E-3</v>
      </c>
      <c r="F261" s="1">
        <v>0.87860000000000005</v>
      </c>
      <c r="G261" s="1">
        <v>6.9400000000000003E-2</v>
      </c>
      <c r="H261" s="1">
        <v>4.6199999999999998E-2</v>
      </c>
    </row>
    <row r="262" spans="1:9">
      <c r="A262" t="s">
        <v>199</v>
      </c>
      <c r="B262">
        <v>203</v>
      </c>
      <c r="C262" t="s">
        <v>202</v>
      </c>
      <c r="D262">
        <v>1826</v>
      </c>
      <c r="F262" s="1">
        <v>0.91400000000000003</v>
      </c>
      <c r="G262" s="1">
        <v>7.7600000000000002E-2</v>
      </c>
      <c r="H262" s="1">
        <v>8.3999999999999995E-3</v>
      </c>
    </row>
    <row r="263" spans="1:9">
      <c r="A263" t="s">
        <v>199</v>
      </c>
      <c r="B263">
        <v>155</v>
      </c>
      <c r="C263" t="s">
        <v>203</v>
      </c>
      <c r="D263">
        <v>1826</v>
      </c>
      <c r="E263" s="1">
        <v>9.9000000000000008E-3</v>
      </c>
      <c r="F263" s="1">
        <v>0.8075</v>
      </c>
      <c r="G263" s="1">
        <v>0.1787</v>
      </c>
      <c r="H263" s="1">
        <v>3.8999999999999998E-3</v>
      </c>
    </row>
    <row r="264" spans="1:9">
      <c r="A264" t="s">
        <v>209</v>
      </c>
      <c r="B264">
        <v>134</v>
      </c>
      <c r="C264" t="s">
        <v>210</v>
      </c>
      <c r="D264">
        <v>1826</v>
      </c>
      <c r="E264" s="1">
        <v>2.4299999999999999E-2</v>
      </c>
      <c r="F264" s="1">
        <v>0.78610000000000002</v>
      </c>
      <c r="G264" s="1">
        <v>0.12139999999999999</v>
      </c>
      <c r="H264" s="1">
        <v>6.8199999999999997E-2</v>
      </c>
    </row>
    <row r="265" spans="1:9">
      <c r="A265" t="s">
        <v>209</v>
      </c>
      <c r="B265">
        <v>179</v>
      </c>
      <c r="C265" t="s">
        <v>211</v>
      </c>
      <c r="D265">
        <v>1826</v>
      </c>
      <c r="E265" s="1">
        <v>3.2300000000000002E-2</v>
      </c>
      <c r="F265" s="1">
        <v>0.78680000000000005</v>
      </c>
      <c r="G265" s="1">
        <v>0.1113</v>
      </c>
      <c r="H265" s="1">
        <v>6.9599999999999995E-2</v>
      </c>
    </row>
    <row r="266" spans="1:9">
      <c r="A266" t="s">
        <v>209</v>
      </c>
      <c r="B266">
        <v>166</v>
      </c>
      <c r="C266" t="s">
        <v>212</v>
      </c>
      <c r="D266">
        <v>1826</v>
      </c>
      <c r="E266" s="1">
        <v>2.87E-2</v>
      </c>
      <c r="F266" s="1">
        <v>0.74370000000000003</v>
      </c>
      <c r="G266" s="1">
        <v>0.1787</v>
      </c>
      <c r="H266" s="1">
        <v>4.8899999999999999E-2</v>
      </c>
    </row>
    <row r="268" spans="1:9">
      <c r="A268" t="s">
        <v>266</v>
      </c>
    </row>
    <row r="269" spans="1:9">
      <c r="A269" t="s">
        <v>214</v>
      </c>
      <c r="B269" t="s">
        <v>189</v>
      </c>
      <c r="C269" t="s">
        <v>195</v>
      </c>
      <c r="D269" t="s">
        <v>190</v>
      </c>
      <c r="E269" t="s">
        <v>196</v>
      </c>
      <c r="F269" t="s">
        <v>228</v>
      </c>
      <c r="G269" t="s">
        <v>263</v>
      </c>
      <c r="H269" t="s">
        <v>264</v>
      </c>
      <c r="I269" t="s">
        <v>265</v>
      </c>
    </row>
    <row r="270" spans="1:9">
      <c r="A270" t="s">
        <v>198</v>
      </c>
      <c r="B270" t="s">
        <v>197</v>
      </c>
      <c r="C270">
        <v>1826</v>
      </c>
      <c r="D270" t="s">
        <v>198</v>
      </c>
      <c r="E270">
        <v>1826</v>
      </c>
      <c r="F270" s="1">
        <v>7.0000000000000001E-3</v>
      </c>
      <c r="G270" s="1">
        <v>0.85329999999999995</v>
      </c>
      <c r="H270" s="1">
        <v>0.1022</v>
      </c>
      <c r="I270" s="1">
        <v>3.7600000000000001E-2</v>
      </c>
    </row>
    <row r="271" spans="1:9">
      <c r="A271" t="s">
        <v>257</v>
      </c>
      <c r="B271" t="s">
        <v>204</v>
      </c>
      <c r="C271">
        <v>34</v>
      </c>
      <c r="D271" t="s">
        <v>207</v>
      </c>
      <c r="E271">
        <v>1826</v>
      </c>
      <c r="F271" s="1">
        <v>2.0999999999999999E-3</v>
      </c>
      <c r="G271" s="1">
        <v>0.55189999999999995</v>
      </c>
      <c r="H271" s="1">
        <v>0.1159</v>
      </c>
      <c r="I271" s="1">
        <v>0.3301</v>
      </c>
    </row>
    <row r="272" spans="1:9">
      <c r="A272" t="s">
        <v>253</v>
      </c>
      <c r="B272" t="s">
        <v>204</v>
      </c>
      <c r="C272">
        <v>59</v>
      </c>
      <c r="D272" t="s">
        <v>207</v>
      </c>
      <c r="E272">
        <v>1826</v>
      </c>
      <c r="F272" s="1">
        <v>1.32E-2</v>
      </c>
      <c r="G272" s="1">
        <v>0.97860000000000003</v>
      </c>
      <c r="I272" s="1">
        <v>8.2000000000000007E-3</v>
      </c>
    </row>
    <row r="273" spans="1:9">
      <c r="A273" t="s">
        <v>256</v>
      </c>
      <c r="B273" t="s">
        <v>204</v>
      </c>
      <c r="C273">
        <v>72</v>
      </c>
      <c r="D273" t="s">
        <v>207</v>
      </c>
      <c r="E273">
        <v>1826</v>
      </c>
      <c r="G273" s="1">
        <v>0.70420000000000005</v>
      </c>
      <c r="H273" s="1">
        <v>0.28739999999999999</v>
      </c>
      <c r="I273" s="1">
        <v>8.3999999999999995E-3</v>
      </c>
    </row>
    <row r="274" spans="1:9">
      <c r="A274" t="s">
        <v>254</v>
      </c>
      <c r="B274" t="s">
        <v>204</v>
      </c>
      <c r="C274">
        <v>81</v>
      </c>
      <c r="D274" t="s">
        <v>207</v>
      </c>
      <c r="E274">
        <v>1826</v>
      </c>
      <c r="F274" s="1">
        <v>3.8999999999999998E-3</v>
      </c>
      <c r="G274" s="1">
        <v>0.8085</v>
      </c>
      <c r="H274" s="1">
        <v>0.17960000000000001</v>
      </c>
      <c r="I274" s="1">
        <v>7.9000000000000008E-3</v>
      </c>
    </row>
    <row r="275" spans="1:9" s="26" customFormat="1">
      <c r="A275" s="26" t="s">
        <v>257</v>
      </c>
      <c r="B275" s="26" t="s">
        <v>204</v>
      </c>
      <c r="C275" s="26">
        <v>26</v>
      </c>
      <c r="D275" s="26" t="s">
        <v>208</v>
      </c>
      <c r="E275" s="26">
        <v>1826</v>
      </c>
      <c r="G275" s="27">
        <v>0.80769999999999997</v>
      </c>
      <c r="H275" s="27">
        <v>7.6899999999999996E-2</v>
      </c>
      <c r="I275" s="27">
        <v>0.1154</v>
      </c>
    </row>
    <row r="276" spans="1:9">
      <c r="A276" t="s">
        <v>254</v>
      </c>
      <c r="B276" t="s">
        <v>204</v>
      </c>
      <c r="C276">
        <v>69</v>
      </c>
      <c r="D276" t="s">
        <v>206</v>
      </c>
      <c r="E276">
        <v>1826</v>
      </c>
      <c r="G276" s="1">
        <v>0.86870000000000003</v>
      </c>
      <c r="H276" s="1">
        <v>0.1193</v>
      </c>
      <c r="I276" s="1">
        <v>1.2E-2</v>
      </c>
    </row>
    <row r="277" spans="1:9" s="26" customFormat="1">
      <c r="A277" s="26" t="s">
        <v>253</v>
      </c>
      <c r="B277" s="26" t="s">
        <v>204</v>
      </c>
      <c r="C277" s="26">
        <v>18</v>
      </c>
      <c r="D277" s="26" t="s">
        <v>206</v>
      </c>
      <c r="E277" s="26">
        <v>1826</v>
      </c>
      <c r="F277" s="27">
        <v>6.7199999999999996E-2</v>
      </c>
      <c r="G277" s="27">
        <v>0.93279999999999996</v>
      </c>
    </row>
    <row r="278" spans="1:9" s="26" customFormat="1">
      <c r="A278" s="26" t="s">
        <v>256</v>
      </c>
      <c r="B278" s="26" t="s">
        <v>204</v>
      </c>
      <c r="C278" s="26">
        <v>23</v>
      </c>
      <c r="D278" s="26" t="s">
        <v>206</v>
      </c>
      <c r="E278" s="26">
        <v>1826</v>
      </c>
      <c r="G278" s="27">
        <v>0.84909999999999997</v>
      </c>
      <c r="H278" s="27">
        <v>0.10059999999999999</v>
      </c>
      <c r="I278" s="27">
        <v>5.0299999999999997E-2</v>
      </c>
    </row>
    <row r="279" spans="1:9">
      <c r="A279" t="s">
        <v>254</v>
      </c>
      <c r="B279" t="s">
        <v>204</v>
      </c>
      <c r="C279">
        <v>75</v>
      </c>
      <c r="D279" t="s">
        <v>205</v>
      </c>
      <c r="E279">
        <v>1826</v>
      </c>
      <c r="G279" s="1">
        <v>0.96079999999999999</v>
      </c>
      <c r="H279" s="1">
        <v>2.75E-2</v>
      </c>
      <c r="I279" s="1">
        <v>1.17E-2</v>
      </c>
    </row>
    <row r="280" spans="1:9">
      <c r="A280" t="s">
        <v>256</v>
      </c>
      <c r="B280" t="s">
        <v>204</v>
      </c>
      <c r="C280">
        <v>47</v>
      </c>
      <c r="D280" t="s">
        <v>205</v>
      </c>
      <c r="E280">
        <v>1826</v>
      </c>
      <c r="G280" s="1">
        <v>0.88660000000000005</v>
      </c>
      <c r="H280" s="1">
        <v>0.10290000000000001</v>
      </c>
      <c r="I280" s="1">
        <v>1.0500000000000001E-2</v>
      </c>
    </row>
    <row r="281" spans="1:9">
      <c r="A281" t="s">
        <v>253</v>
      </c>
      <c r="B281" t="s">
        <v>204</v>
      </c>
      <c r="C281">
        <v>30</v>
      </c>
      <c r="D281" t="s">
        <v>205</v>
      </c>
      <c r="E281">
        <v>1826</v>
      </c>
      <c r="G281" s="1">
        <v>1</v>
      </c>
    </row>
    <row r="282" spans="1:9" s="26" customFormat="1">
      <c r="A282" s="26" t="s">
        <v>257</v>
      </c>
      <c r="B282" s="26" t="s">
        <v>204</v>
      </c>
      <c r="C282" s="26">
        <v>28</v>
      </c>
      <c r="D282" s="26" t="s">
        <v>205</v>
      </c>
      <c r="E282" s="26">
        <v>1826</v>
      </c>
      <c r="G282" s="27">
        <v>0.99460000000000004</v>
      </c>
      <c r="H282" s="27">
        <v>5.4000000000000003E-3</v>
      </c>
    </row>
    <row r="283" spans="1:9">
      <c r="A283" t="s">
        <v>254</v>
      </c>
      <c r="B283" t="s">
        <v>204</v>
      </c>
      <c r="C283">
        <v>39</v>
      </c>
      <c r="D283" t="s">
        <v>208</v>
      </c>
      <c r="E283">
        <v>1826</v>
      </c>
      <c r="G283" s="1">
        <v>0.76919999999999999</v>
      </c>
      <c r="H283" s="1">
        <v>0.17949999999999999</v>
      </c>
      <c r="I283" s="1">
        <v>5.1299999999999998E-2</v>
      </c>
    </row>
    <row r="284" spans="1:9" s="26" customFormat="1">
      <c r="A284" s="26" t="s">
        <v>253</v>
      </c>
      <c r="B284" s="26" t="s">
        <v>204</v>
      </c>
      <c r="C284" s="26">
        <v>26</v>
      </c>
      <c r="D284" s="26" t="s">
        <v>208</v>
      </c>
      <c r="E284" s="26">
        <v>1826</v>
      </c>
      <c r="G284" s="27">
        <v>1</v>
      </c>
    </row>
    <row r="285" spans="1:9">
      <c r="A285" t="s">
        <v>256</v>
      </c>
      <c r="B285" t="s">
        <v>204</v>
      </c>
      <c r="C285">
        <v>40</v>
      </c>
      <c r="D285" t="s">
        <v>208</v>
      </c>
      <c r="E285">
        <v>1826</v>
      </c>
      <c r="G285" s="1">
        <v>0.8</v>
      </c>
      <c r="H285" s="1">
        <v>0.15</v>
      </c>
      <c r="I285" s="1">
        <v>0.05</v>
      </c>
    </row>
    <row r="286" spans="1:9" s="26" customFormat="1">
      <c r="A286" s="26" t="s">
        <v>257</v>
      </c>
      <c r="B286" s="26" t="s">
        <v>204</v>
      </c>
      <c r="C286" s="26">
        <v>26</v>
      </c>
      <c r="D286" s="26" t="s">
        <v>206</v>
      </c>
      <c r="E286" s="26">
        <v>1826</v>
      </c>
      <c r="G286" s="27">
        <v>0.88129999999999997</v>
      </c>
      <c r="H286" s="27">
        <v>0.1187</v>
      </c>
    </row>
    <row r="287" spans="1:9">
      <c r="A287" t="s">
        <v>254</v>
      </c>
      <c r="B287" t="s">
        <v>199</v>
      </c>
      <c r="C287">
        <v>61</v>
      </c>
      <c r="D287" t="s">
        <v>203</v>
      </c>
      <c r="E287">
        <v>1826</v>
      </c>
      <c r="G287" s="1">
        <v>0.82520000000000004</v>
      </c>
      <c r="H287" s="1">
        <v>0.17480000000000001</v>
      </c>
    </row>
    <row r="288" spans="1:9">
      <c r="A288" t="s">
        <v>253</v>
      </c>
      <c r="B288" t="s">
        <v>199</v>
      </c>
      <c r="C288">
        <v>31</v>
      </c>
      <c r="D288" t="s">
        <v>203</v>
      </c>
      <c r="E288">
        <v>1826</v>
      </c>
      <c r="F288" s="1">
        <v>2.5600000000000001E-2</v>
      </c>
      <c r="G288" s="1">
        <v>0.87409999999999999</v>
      </c>
      <c r="H288" s="1">
        <v>8.0199999999999994E-2</v>
      </c>
      <c r="I288" s="1">
        <v>0.02</v>
      </c>
    </row>
    <row r="289" spans="1:9" s="26" customFormat="1">
      <c r="A289" s="26" t="s">
        <v>257</v>
      </c>
      <c r="B289" s="26" t="s">
        <v>199</v>
      </c>
      <c r="C289" s="26">
        <v>26</v>
      </c>
      <c r="D289" s="26" t="s">
        <v>203</v>
      </c>
      <c r="E289" s="26">
        <v>1826</v>
      </c>
      <c r="F289" s="27">
        <v>3.73E-2</v>
      </c>
      <c r="G289" s="27">
        <v>0.79100000000000004</v>
      </c>
      <c r="H289" s="27">
        <v>0.17169999999999999</v>
      </c>
    </row>
    <row r="290" spans="1:9">
      <c r="A290" t="s">
        <v>256</v>
      </c>
      <c r="B290" t="s">
        <v>199</v>
      </c>
      <c r="C290">
        <v>37</v>
      </c>
      <c r="D290" t="s">
        <v>203</v>
      </c>
      <c r="E290">
        <v>1826</v>
      </c>
      <c r="G290" s="1">
        <v>0.73229999999999995</v>
      </c>
      <c r="H290" s="1">
        <v>0.26769999999999999</v>
      </c>
    </row>
    <row r="291" spans="1:9">
      <c r="A291" t="s">
        <v>256</v>
      </c>
      <c r="B291" t="s">
        <v>199</v>
      </c>
      <c r="C291">
        <v>47</v>
      </c>
      <c r="D291" t="s">
        <v>202</v>
      </c>
      <c r="E291">
        <v>1826</v>
      </c>
      <c r="G291" s="1">
        <v>0.8498</v>
      </c>
      <c r="H291" s="1">
        <v>0.1502</v>
      </c>
    </row>
    <row r="292" spans="1:9">
      <c r="A292" t="s">
        <v>257</v>
      </c>
      <c r="B292" t="s">
        <v>199</v>
      </c>
      <c r="C292">
        <v>40</v>
      </c>
      <c r="D292" t="s">
        <v>202</v>
      </c>
      <c r="E292">
        <v>1826</v>
      </c>
      <c r="G292" s="1">
        <v>0.86980000000000002</v>
      </c>
      <c r="H292" s="1">
        <v>9.9000000000000005E-2</v>
      </c>
      <c r="I292" s="1">
        <v>3.1300000000000001E-2</v>
      </c>
    </row>
    <row r="293" spans="1:9">
      <c r="A293" t="s">
        <v>254</v>
      </c>
      <c r="B293" t="s">
        <v>199</v>
      </c>
      <c r="C293">
        <v>69</v>
      </c>
      <c r="D293" t="s">
        <v>202</v>
      </c>
      <c r="E293">
        <v>1826</v>
      </c>
      <c r="G293" s="1">
        <v>0.94520000000000004</v>
      </c>
      <c r="H293" s="1">
        <v>4.9099999999999998E-2</v>
      </c>
      <c r="I293" s="1">
        <v>5.7000000000000002E-3</v>
      </c>
    </row>
    <row r="294" spans="1:9">
      <c r="A294" t="s">
        <v>253</v>
      </c>
      <c r="B294" t="s">
        <v>199</v>
      </c>
      <c r="C294">
        <v>36</v>
      </c>
      <c r="D294" t="s">
        <v>200</v>
      </c>
      <c r="E294">
        <v>1826</v>
      </c>
      <c r="G294" s="1">
        <v>0.86629999999999996</v>
      </c>
      <c r="H294" s="1">
        <v>0.13039999999999999</v>
      </c>
      <c r="I294" s="1">
        <v>3.3E-3</v>
      </c>
    </row>
    <row r="295" spans="1:9" s="26" customFormat="1">
      <c r="A295" s="26" t="s">
        <v>253</v>
      </c>
      <c r="B295" s="26" t="s">
        <v>199</v>
      </c>
      <c r="C295" s="26">
        <v>28</v>
      </c>
      <c r="D295" s="26" t="s">
        <v>201</v>
      </c>
      <c r="E295" s="26">
        <v>1826</v>
      </c>
      <c r="F295" s="27">
        <v>3.5700000000000003E-2</v>
      </c>
      <c r="G295" s="27">
        <v>0.85709999999999997</v>
      </c>
      <c r="H295" s="27">
        <v>7.1400000000000005E-2</v>
      </c>
      <c r="I295" s="27">
        <v>3.5700000000000003E-2</v>
      </c>
    </row>
    <row r="296" spans="1:9" s="26" customFormat="1">
      <c r="A296" s="26" t="s">
        <v>257</v>
      </c>
      <c r="B296" s="26" t="s">
        <v>199</v>
      </c>
      <c r="C296" s="26">
        <v>6</v>
      </c>
      <c r="D296" s="26" t="s">
        <v>200</v>
      </c>
      <c r="E296" s="26">
        <v>1826</v>
      </c>
      <c r="G296" s="27">
        <v>0.62770000000000004</v>
      </c>
      <c r="H296" s="27">
        <v>0.3639</v>
      </c>
      <c r="I296" s="27">
        <v>8.3999999999999995E-3</v>
      </c>
    </row>
    <row r="297" spans="1:9">
      <c r="A297" t="s">
        <v>256</v>
      </c>
      <c r="B297" t="s">
        <v>199</v>
      </c>
      <c r="C297">
        <v>38</v>
      </c>
      <c r="D297" t="s">
        <v>200</v>
      </c>
      <c r="E297">
        <v>1826</v>
      </c>
      <c r="G297" s="1">
        <v>0.73829999999999996</v>
      </c>
      <c r="H297" s="1">
        <v>0.2555</v>
      </c>
      <c r="I297" s="1">
        <v>6.1999999999999998E-3</v>
      </c>
    </row>
    <row r="298" spans="1:9">
      <c r="A298" t="s">
        <v>254</v>
      </c>
      <c r="B298" t="s">
        <v>199</v>
      </c>
      <c r="C298">
        <v>43</v>
      </c>
      <c r="D298" t="s">
        <v>200</v>
      </c>
      <c r="E298">
        <v>1826</v>
      </c>
      <c r="F298" s="1">
        <v>2.3E-3</v>
      </c>
      <c r="G298" s="1">
        <v>0.74160000000000004</v>
      </c>
      <c r="H298" s="1">
        <v>0.14349999999999999</v>
      </c>
      <c r="I298" s="1">
        <v>0.11269999999999999</v>
      </c>
    </row>
    <row r="299" spans="1:9">
      <c r="A299" t="s">
        <v>253</v>
      </c>
      <c r="B299" t="s">
        <v>199</v>
      </c>
      <c r="C299">
        <v>47</v>
      </c>
      <c r="D299" t="s">
        <v>202</v>
      </c>
      <c r="E299">
        <v>1826</v>
      </c>
      <c r="G299" s="1">
        <v>0.96340000000000003</v>
      </c>
      <c r="H299" s="1">
        <v>3.6600000000000001E-2</v>
      </c>
    </row>
    <row r="300" spans="1:9">
      <c r="A300" t="s">
        <v>254</v>
      </c>
      <c r="B300" t="s">
        <v>199</v>
      </c>
      <c r="C300">
        <v>83</v>
      </c>
      <c r="D300" t="s">
        <v>201</v>
      </c>
      <c r="E300">
        <v>1826</v>
      </c>
      <c r="G300" s="1">
        <v>0.91569999999999996</v>
      </c>
      <c r="H300" s="1">
        <v>3.61E-2</v>
      </c>
      <c r="I300" s="1">
        <v>4.82E-2</v>
      </c>
    </row>
    <row r="301" spans="1:9">
      <c r="A301" t="s">
        <v>257</v>
      </c>
      <c r="B301" t="s">
        <v>199</v>
      </c>
      <c r="C301">
        <v>30</v>
      </c>
      <c r="D301" t="s">
        <v>201</v>
      </c>
      <c r="E301">
        <v>1826</v>
      </c>
      <c r="G301" s="1">
        <v>0.76670000000000005</v>
      </c>
      <c r="H301" s="1">
        <v>0.16669999999999999</v>
      </c>
      <c r="I301" s="1">
        <v>6.6699999999999995E-2</v>
      </c>
    </row>
    <row r="302" spans="1:9">
      <c r="A302" t="s">
        <v>256</v>
      </c>
      <c r="B302" t="s">
        <v>199</v>
      </c>
      <c r="C302">
        <v>32</v>
      </c>
      <c r="D302" t="s">
        <v>201</v>
      </c>
      <c r="E302">
        <v>1826</v>
      </c>
      <c r="G302" s="1">
        <v>0.90620000000000001</v>
      </c>
      <c r="H302" s="1">
        <v>6.25E-2</v>
      </c>
      <c r="I302" s="1">
        <v>3.1199999999999999E-2</v>
      </c>
    </row>
    <row r="303" spans="1:9">
      <c r="A303" t="s">
        <v>254</v>
      </c>
      <c r="B303" t="s">
        <v>209</v>
      </c>
      <c r="C303">
        <v>64</v>
      </c>
      <c r="D303" t="s">
        <v>211</v>
      </c>
      <c r="E303">
        <v>1826</v>
      </c>
      <c r="F303" s="1">
        <v>1.83E-2</v>
      </c>
      <c r="G303" s="1">
        <v>0.73240000000000005</v>
      </c>
      <c r="H303" s="1">
        <v>0.14460000000000001</v>
      </c>
      <c r="I303" s="1">
        <v>0.1046</v>
      </c>
    </row>
    <row r="304" spans="1:9">
      <c r="A304" t="s">
        <v>253</v>
      </c>
      <c r="B304" t="s">
        <v>209</v>
      </c>
      <c r="C304">
        <v>38</v>
      </c>
      <c r="D304" t="s">
        <v>212</v>
      </c>
      <c r="E304">
        <v>1826</v>
      </c>
      <c r="F304" s="1">
        <v>9.8000000000000004E-2</v>
      </c>
      <c r="G304" s="1">
        <v>0.83789999999999998</v>
      </c>
      <c r="H304" s="1">
        <v>3.1399999999999997E-2</v>
      </c>
      <c r="I304" s="1">
        <v>3.27E-2</v>
      </c>
    </row>
    <row r="305" spans="1:9">
      <c r="A305" t="s">
        <v>254</v>
      </c>
      <c r="B305" t="s">
        <v>209</v>
      </c>
      <c r="C305">
        <v>62</v>
      </c>
      <c r="D305" t="s">
        <v>212</v>
      </c>
      <c r="E305">
        <v>1826</v>
      </c>
      <c r="G305" s="1">
        <v>0.70699999999999996</v>
      </c>
      <c r="H305" s="1">
        <v>0.2044</v>
      </c>
      <c r="I305" s="1">
        <v>8.8599999999999998E-2</v>
      </c>
    </row>
    <row r="306" spans="1:9">
      <c r="A306" t="s">
        <v>256</v>
      </c>
      <c r="B306" t="s">
        <v>209</v>
      </c>
      <c r="C306">
        <v>46</v>
      </c>
      <c r="D306" t="s">
        <v>211</v>
      </c>
      <c r="E306">
        <v>1826</v>
      </c>
      <c r="G306" s="1">
        <v>0.81320000000000003</v>
      </c>
      <c r="H306" s="1">
        <v>0.1158</v>
      </c>
      <c r="I306" s="1">
        <v>7.0999999999999994E-2</v>
      </c>
    </row>
    <row r="307" spans="1:9">
      <c r="A307" t="s">
        <v>256</v>
      </c>
      <c r="B307" t="s">
        <v>209</v>
      </c>
      <c r="C307">
        <v>37</v>
      </c>
      <c r="D307" t="s">
        <v>212</v>
      </c>
      <c r="E307">
        <v>1826</v>
      </c>
      <c r="F307" s="1">
        <v>3.2099999999999997E-2</v>
      </c>
      <c r="G307" s="1">
        <v>0.68410000000000004</v>
      </c>
      <c r="H307" s="1">
        <v>0.25159999999999999</v>
      </c>
      <c r="I307" s="1">
        <v>3.2099999999999997E-2</v>
      </c>
    </row>
    <row r="308" spans="1:9">
      <c r="A308" t="s">
        <v>256</v>
      </c>
      <c r="B308" t="s">
        <v>209</v>
      </c>
      <c r="C308">
        <v>44</v>
      </c>
      <c r="D308" t="s">
        <v>210</v>
      </c>
      <c r="E308">
        <v>1826</v>
      </c>
      <c r="F308" s="1">
        <v>3.04E-2</v>
      </c>
      <c r="G308" s="1">
        <v>0.63880000000000003</v>
      </c>
      <c r="H308" s="1">
        <v>0.2253</v>
      </c>
      <c r="I308" s="1">
        <v>0.1055</v>
      </c>
    </row>
    <row r="309" spans="1:9">
      <c r="A309" t="s">
        <v>254</v>
      </c>
      <c r="B309" t="s">
        <v>209</v>
      </c>
      <c r="C309">
        <v>46</v>
      </c>
      <c r="D309" t="s">
        <v>210</v>
      </c>
      <c r="E309">
        <v>1826</v>
      </c>
      <c r="G309" s="1">
        <v>0.80379999999999996</v>
      </c>
      <c r="H309" s="1">
        <v>0.1174</v>
      </c>
      <c r="I309" s="1">
        <v>7.8799999999999995E-2</v>
      </c>
    </row>
    <row r="310" spans="1:9">
      <c r="A310" t="s">
        <v>253</v>
      </c>
      <c r="B310" t="s">
        <v>209</v>
      </c>
      <c r="C310">
        <v>32</v>
      </c>
      <c r="D310" t="s">
        <v>210</v>
      </c>
      <c r="E310">
        <v>1826</v>
      </c>
      <c r="F310" s="1">
        <v>2.0500000000000001E-2</v>
      </c>
      <c r="G310" s="1">
        <v>0.97950000000000004</v>
      </c>
    </row>
    <row r="311" spans="1:9" s="26" customFormat="1">
      <c r="A311" s="26" t="s">
        <v>257</v>
      </c>
      <c r="B311" s="26" t="s">
        <v>209</v>
      </c>
      <c r="C311" s="26">
        <v>12</v>
      </c>
      <c r="D311" s="26" t="s">
        <v>210</v>
      </c>
      <c r="E311" s="26">
        <v>1826</v>
      </c>
      <c r="F311" s="27">
        <v>0.12859999999999999</v>
      </c>
      <c r="G311" s="27">
        <v>0.75</v>
      </c>
      <c r="H311" s="27">
        <v>6.0699999999999997E-2</v>
      </c>
      <c r="I311" s="27">
        <v>6.0699999999999997E-2</v>
      </c>
    </row>
    <row r="312" spans="1:9">
      <c r="A312" t="s">
        <v>253</v>
      </c>
      <c r="B312" t="s">
        <v>209</v>
      </c>
      <c r="C312">
        <v>36</v>
      </c>
      <c r="D312" t="s">
        <v>211</v>
      </c>
      <c r="E312">
        <v>1826</v>
      </c>
      <c r="F312" s="1">
        <v>6.7599999999999993E-2</v>
      </c>
      <c r="G312" s="1">
        <v>0.8528</v>
      </c>
      <c r="H312" s="1">
        <v>1.1900000000000001E-2</v>
      </c>
      <c r="I312" s="1">
        <v>6.7599999999999993E-2</v>
      </c>
    </row>
    <row r="313" spans="1:9">
      <c r="A313" t="s">
        <v>257</v>
      </c>
      <c r="B313" t="s">
        <v>209</v>
      </c>
      <c r="C313">
        <v>33</v>
      </c>
      <c r="D313" t="s">
        <v>211</v>
      </c>
      <c r="E313">
        <v>1826</v>
      </c>
      <c r="F313" s="1">
        <v>6.6600000000000006E-2</v>
      </c>
      <c r="G313" s="1">
        <v>0.7873</v>
      </c>
      <c r="H313" s="1">
        <v>0.1462</v>
      </c>
    </row>
    <row r="314" spans="1:9" s="26" customFormat="1">
      <c r="A314" s="26" t="s">
        <v>257</v>
      </c>
      <c r="B314" s="26" t="s">
        <v>209</v>
      </c>
      <c r="C314" s="26">
        <v>29</v>
      </c>
      <c r="D314" s="26" t="s">
        <v>212</v>
      </c>
      <c r="E314" s="26">
        <v>1826</v>
      </c>
      <c r="G314" s="27">
        <v>0.78539999999999999</v>
      </c>
      <c r="H314" s="27">
        <v>0.21460000000000001</v>
      </c>
    </row>
    <row r="316" spans="1:9">
      <c r="A316" t="s">
        <v>267</v>
      </c>
    </row>
    <row r="317" spans="1:9">
      <c r="A317" t="s">
        <v>214</v>
      </c>
      <c r="B317" t="s">
        <v>189</v>
      </c>
      <c r="C317" t="s">
        <v>195</v>
      </c>
      <c r="D317" t="s">
        <v>190</v>
      </c>
      <c r="E317" t="s">
        <v>196</v>
      </c>
      <c r="F317" t="s">
        <v>228</v>
      </c>
      <c r="G317" t="s">
        <v>263</v>
      </c>
      <c r="H317" t="s">
        <v>264</v>
      </c>
      <c r="I317" t="s">
        <v>265</v>
      </c>
    </row>
    <row r="318" spans="1:9">
      <c r="A318" t="s">
        <v>198</v>
      </c>
      <c r="B318" t="s">
        <v>197</v>
      </c>
      <c r="C318">
        <v>1826</v>
      </c>
      <c r="D318" t="s">
        <v>198</v>
      </c>
      <c r="E318">
        <v>1826</v>
      </c>
      <c r="F318" s="1">
        <v>7.0000000000000001E-3</v>
      </c>
      <c r="G318" s="1">
        <v>0.85329999999999995</v>
      </c>
      <c r="H318" s="1">
        <v>0.1022</v>
      </c>
      <c r="I318" s="1">
        <v>3.7600000000000001E-2</v>
      </c>
    </row>
    <row r="319" spans="1:9">
      <c r="A319" t="s">
        <v>259</v>
      </c>
      <c r="B319" t="s">
        <v>204</v>
      </c>
      <c r="C319">
        <v>86</v>
      </c>
      <c r="D319" t="s">
        <v>208</v>
      </c>
      <c r="E319">
        <v>1826</v>
      </c>
      <c r="G319" s="1">
        <v>0.79069999999999996</v>
      </c>
      <c r="H319" s="1">
        <v>0.1512</v>
      </c>
      <c r="I319" s="1">
        <v>5.8099999999999999E-2</v>
      </c>
    </row>
    <row r="320" spans="1:9">
      <c r="A320" t="s">
        <v>260</v>
      </c>
      <c r="B320" t="s">
        <v>204</v>
      </c>
      <c r="C320">
        <v>72</v>
      </c>
      <c r="D320" t="s">
        <v>205</v>
      </c>
      <c r="E320">
        <v>1826</v>
      </c>
      <c r="G320" s="1">
        <v>0.93820000000000003</v>
      </c>
      <c r="H320" s="1">
        <v>5.8599999999999999E-2</v>
      </c>
      <c r="I320" s="1">
        <v>3.2000000000000002E-3</v>
      </c>
    </row>
    <row r="321" spans="1:9">
      <c r="A321" t="s">
        <v>259</v>
      </c>
      <c r="B321" t="s">
        <v>204</v>
      </c>
      <c r="C321">
        <v>108</v>
      </c>
      <c r="D321" t="s">
        <v>205</v>
      </c>
      <c r="E321">
        <v>1826</v>
      </c>
      <c r="G321" s="1">
        <v>0.96230000000000004</v>
      </c>
      <c r="H321" s="1">
        <v>2.7799999999999998E-2</v>
      </c>
      <c r="I321" s="1">
        <v>9.9000000000000008E-3</v>
      </c>
    </row>
    <row r="322" spans="1:9">
      <c r="A322" t="s">
        <v>260</v>
      </c>
      <c r="B322" t="s">
        <v>204</v>
      </c>
      <c r="C322">
        <v>50</v>
      </c>
      <c r="D322" t="s">
        <v>206</v>
      </c>
      <c r="E322">
        <v>1826</v>
      </c>
      <c r="F322" s="1">
        <v>2.3E-2</v>
      </c>
      <c r="G322" s="1">
        <v>0.89800000000000002</v>
      </c>
      <c r="H322" s="1">
        <v>6.25E-2</v>
      </c>
      <c r="I322" s="1">
        <v>1.6500000000000001E-2</v>
      </c>
    </row>
    <row r="323" spans="1:9">
      <c r="A323" t="s">
        <v>259</v>
      </c>
      <c r="B323" t="s">
        <v>204</v>
      </c>
      <c r="C323">
        <v>86</v>
      </c>
      <c r="D323" t="s">
        <v>206</v>
      </c>
      <c r="E323">
        <v>1826</v>
      </c>
      <c r="G323" s="1">
        <v>0.86299999999999999</v>
      </c>
      <c r="H323" s="1">
        <v>0.1235</v>
      </c>
      <c r="I323" s="1">
        <v>1.35E-2</v>
      </c>
    </row>
    <row r="324" spans="1:9">
      <c r="A324" t="s">
        <v>260</v>
      </c>
      <c r="B324" t="s">
        <v>204</v>
      </c>
      <c r="C324">
        <v>86</v>
      </c>
      <c r="D324" t="s">
        <v>207</v>
      </c>
      <c r="E324">
        <v>1826</v>
      </c>
      <c r="F324" s="1">
        <v>3.0999999999999999E-3</v>
      </c>
      <c r="G324" s="1">
        <v>0.84560000000000002</v>
      </c>
      <c r="H324" s="1">
        <v>0.14630000000000001</v>
      </c>
      <c r="I324" s="1">
        <v>5.0000000000000001E-3</v>
      </c>
    </row>
    <row r="325" spans="1:9">
      <c r="A325" t="s">
        <v>259</v>
      </c>
      <c r="B325" t="s">
        <v>204</v>
      </c>
      <c r="C325">
        <v>160</v>
      </c>
      <c r="D325" t="s">
        <v>207</v>
      </c>
      <c r="E325">
        <v>1826</v>
      </c>
      <c r="F325" s="1">
        <v>5.0000000000000001E-3</v>
      </c>
      <c r="G325" s="1">
        <v>0.67479999999999996</v>
      </c>
      <c r="H325" s="1">
        <v>0.17080000000000001</v>
      </c>
      <c r="I325" s="1">
        <v>0.14949999999999999</v>
      </c>
    </row>
    <row r="326" spans="1:9">
      <c r="A326" t="s">
        <v>260</v>
      </c>
      <c r="B326" t="s">
        <v>204</v>
      </c>
      <c r="C326">
        <v>45</v>
      </c>
      <c r="D326" t="s">
        <v>208</v>
      </c>
      <c r="E326">
        <v>1826</v>
      </c>
      <c r="G326" s="1">
        <v>0.91110000000000002</v>
      </c>
      <c r="H326" s="1">
        <v>4.4400000000000002E-2</v>
      </c>
      <c r="I326" s="1">
        <v>4.4400000000000002E-2</v>
      </c>
    </row>
    <row r="327" spans="1:9">
      <c r="A327" t="s">
        <v>260</v>
      </c>
      <c r="B327" t="s">
        <v>199</v>
      </c>
      <c r="C327">
        <v>58</v>
      </c>
      <c r="D327" t="s">
        <v>203</v>
      </c>
      <c r="E327">
        <v>1826</v>
      </c>
      <c r="F327" s="1">
        <v>2.5399999999999999E-2</v>
      </c>
      <c r="G327" s="1">
        <v>0.78039999999999998</v>
      </c>
      <c r="H327" s="1">
        <v>0.18429999999999999</v>
      </c>
      <c r="I327" s="1">
        <v>9.9000000000000008E-3</v>
      </c>
    </row>
    <row r="328" spans="1:9">
      <c r="A328" t="s">
        <v>259</v>
      </c>
      <c r="B328" t="s">
        <v>199</v>
      </c>
      <c r="C328">
        <v>97</v>
      </c>
      <c r="D328" t="s">
        <v>203</v>
      </c>
      <c r="E328">
        <v>1826</v>
      </c>
      <c r="G328" s="1">
        <v>0.82489999999999997</v>
      </c>
      <c r="H328" s="1">
        <v>0.17510000000000001</v>
      </c>
    </row>
    <row r="329" spans="1:9">
      <c r="A329" t="s">
        <v>259</v>
      </c>
      <c r="B329" t="s">
        <v>199</v>
      </c>
      <c r="C329">
        <v>119</v>
      </c>
      <c r="D329" t="s">
        <v>202</v>
      </c>
      <c r="E329">
        <v>1826</v>
      </c>
      <c r="G329" s="1">
        <v>0.93620000000000003</v>
      </c>
      <c r="H329" s="1">
        <v>6.0400000000000002E-2</v>
      </c>
      <c r="I329" s="1">
        <v>3.5000000000000001E-3</v>
      </c>
    </row>
    <row r="330" spans="1:9">
      <c r="A330" t="s">
        <v>260</v>
      </c>
      <c r="B330" t="s">
        <v>199</v>
      </c>
      <c r="C330">
        <v>84</v>
      </c>
      <c r="D330" t="s">
        <v>202</v>
      </c>
      <c r="E330">
        <v>1826</v>
      </c>
      <c r="G330" s="1">
        <v>0.88360000000000005</v>
      </c>
      <c r="H330" s="1">
        <v>0.1013</v>
      </c>
      <c r="I330" s="1">
        <v>1.5100000000000001E-2</v>
      </c>
    </row>
    <row r="331" spans="1:9">
      <c r="A331" t="s">
        <v>260</v>
      </c>
      <c r="B331" t="s">
        <v>199</v>
      </c>
      <c r="C331">
        <v>48</v>
      </c>
      <c r="D331" t="s">
        <v>200</v>
      </c>
      <c r="E331">
        <v>1826</v>
      </c>
      <c r="G331" s="1">
        <v>0.78190000000000004</v>
      </c>
      <c r="H331" s="1">
        <v>0.2079</v>
      </c>
      <c r="I331" s="1">
        <v>1.0200000000000001E-2</v>
      </c>
    </row>
    <row r="332" spans="1:9">
      <c r="A332" t="s">
        <v>259</v>
      </c>
      <c r="B332" t="s">
        <v>199</v>
      </c>
      <c r="C332">
        <v>75</v>
      </c>
      <c r="D332" t="s">
        <v>200</v>
      </c>
      <c r="E332">
        <v>1826</v>
      </c>
      <c r="F332" s="1">
        <v>1.6000000000000001E-3</v>
      </c>
      <c r="G332" s="1">
        <v>0.75390000000000001</v>
      </c>
      <c r="H332" s="1">
        <v>0.16739999999999999</v>
      </c>
      <c r="I332" s="1">
        <v>7.7100000000000002E-2</v>
      </c>
    </row>
    <row r="333" spans="1:9">
      <c r="A333" t="s">
        <v>259</v>
      </c>
      <c r="B333" t="s">
        <v>199</v>
      </c>
      <c r="C333">
        <v>113</v>
      </c>
      <c r="D333" t="s">
        <v>201</v>
      </c>
      <c r="E333">
        <v>1826</v>
      </c>
      <c r="F333" s="1">
        <v>8.8000000000000005E-3</v>
      </c>
      <c r="G333" s="1">
        <v>0.89380000000000004</v>
      </c>
      <c r="H333" s="1">
        <v>6.1899999999999997E-2</v>
      </c>
      <c r="I333" s="1">
        <v>3.5400000000000001E-2</v>
      </c>
    </row>
    <row r="334" spans="1:9">
      <c r="A334" t="s">
        <v>260</v>
      </c>
      <c r="B334" t="s">
        <v>199</v>
      </c>
      <c r="C334">
        <v>60</v>
      </c>
      <c r="D334" t="s">
        <v>201</v>
      </c>
      <c r="E334">
        <v>1826</v>
      </c>
      <c r="G334" s="1">
        <v>0.85</v>
      </c>
      <c r="H334" s="1">
        <v>8.3299999999999999E-2</v>
      </c>
      <c r="I334" s="1">
        <v>6.6699999999999995E-2</v>
      </c>
    </row>
    <row r="335" spans="1:9">
      <c r="A335" t="s">
        <v>260</v>
      </c>
      <c r="B335" t="s">
        <v>209</v>
      </c>
      <c r="C335">
        <v>49</v>
      </c>
      <c r="D335" t="s">
        <v>210</v>
      </c>
      <c r="E335">
        <v>1826</v>
      </c>
      <c r="F335" s="1">
        <v>3.9399999999999998E-2</v>
      </c>
      <c r="G335" s="1">
        <v>0.78749999999999998</v>
      </c>
      <c r="H335" s="1">
        <v>0.1464</v>
      </c>
      <c r="I335" s="1">
        <v>2.6700000000000002E-2</v>
      </c>
    </row>
    <row r="336" spans="1:9">
      <c r="A336" t="s">
        <v>259</v>
      </c>
      <c r="B336" t="s">
        <v>209</v>
      </c>
      <c r="C336">
        <v>118</v>
      </c>
      <c r="D336" t="s">
        <v>211</v>
      </c>
      <c r="E336">
        <v>1826</v>
      </c>
      <c r="F336" s="1">
        <v>3.8600000000000002E-2</v>
      </c>
      <c r="G336" s="1">
        <v>0.77229999999999999</v>
      </c>
      <c r="H336" s="1">
        <v>0.1076</v>
      </c>
      <c r="I336" s="1">
        <v>8.1500000000000003E-2</v>
      </c>
    </row>
    <row r="337" spans="1:9">
      <c r="A337" t="s">
        <v>260</v>
      </c>
      <c r="B337" t="s">
        <v>209</v>
      </c>
      <c r="C337">
        <v>61</v>
      </c>
      <c r="D337" t="s">
        <v>211</v>
      </c>
      <c r="E337">
        <v>1826</v>
      </c>
      <c r="F337" s="1">
        <v>1.9800000000000002E-2</v>
      </c>
      <c r="G337" s="1">
        <v>0.81530000000000002</v>
      </c>
      <c r="H337" s="1">
        <v>0.11849999999999999</v>
      </c>
      <c r="I337" s="1">
        <v>4.65E-2</v>
      </c>
    </row>
    <row r="338" spans="1:9">
      <c r="A338" t="s">
        <v>259</v>
      </c>
      <c r="B338" t="s">
        <v>209</v>
      </c>
      <c r="C338">
        <v>111</v>
      </c>
      <c r="D338" t="s">
        <v>212</v>
      </c>
      <c r="E338">
        <v>1826</v>
      </c>
      <c r="F338" s="1">
        <v>3.1899999999999998E-2</v>
      </c>
      <c r="G338" s="1">
        <v>0.755</v>
      </c>
      <c r="H338" s="1">
        <v>0.151</v>
      </c>
      <c r="I338" s="1">
        <v>6.2100000000000002E-2</v>
      </c>
    </row>
    <row r="339" spans="1:9">
      <c r="A339" t="s">
        <v>260</v>
      </c>
      <c r="B339" t="s">
        <v>209</v>
      </c>
      <c r="C339">
        <v>55</v>
      </c>
      <c r="D339" t="s">
        <v>212</v>
      </c>
      <c r="E339">
        <v>1826</v>
      </c>
      <c r="F339" s="1">
        <v>2.1899999999999999E-2</v>
      </c>
      <c r="G339" s="1">
        <v>0.72030000000000005</v>
      </c>
      <c r="H339" s="1">
        <v>0.23580000000000001</v>
      </c>
      <c r="I339" s="1">
        <v>2.1899999999999999E-2</v>
      </c>
    </row>
    <row r="340" spans="1:9">
      <c r="A340" t="s">
        <v>259</v>
      </c>
      <c r="B340" t="s">
        <v>209</v>
      </c>
      <c r="C340">
        <v>84</v>
      </c>
      <c r="D340" t="s">
        <v>210</v>
      </c>
      <c r="E340">
        <v>1826</v>
      </c>
      <c r="F340" s="1">
        <v>1.5599999999999999E-2</v>
      </c>
      <c r="G340" s="1">
        <v>0.79110000000000003</v>
      </c>
      <c r="H340" s="1">
        <v>0.1003</v>
      </c>
      <c r="I340" s="1">
        <v>9.2999999999999999E-2</v>
      </c>
    </row>
    <row r="341" spans="1:9" s="26" customFormat="1">
      <c r="A341" s="26" t="s">
        <v>223</v>
      </c>
      <c r="B341" s="26" t="s">
        <v>209</v>
      </c>
      <c r="C341" s="26">
        <v>1</v>
      </c>
      <c r="D341" s="26" t="s">
        <v>210</v>
      </c>
      <c r="E341" s="26">
        <v>1826</v>
      </c>
      <c r="H341" s="27">
        <v>1</v>
      </c>
    </row>
    <row r="343" spans="1:9">
      <c r="A343" t="s">
        <v>268</v>
      </c>
    </row>
    <row r="344" spans="1:9">
      <c r="A344" t="s">
        <v>214</v>
      </c>
      <c r="B344" t="s">
        <v>189</v>
      </c>
      <c r="C344" t="s">
        <v>195</v>
      </c>
      <c r="D344" t="s">
        <v>190</v>
      </c>
      <c r="E344" t="s">
        <v>196</v>
      </c>
      <c r="F344" t="s">
        <v>228</v>
      </c>
      <c r="G344" t="s">
        <v>263</v>
      </c>
      <c r="H344" t="s">
        <v>264</v>
      </c>
      <c r="I344" t="s">
        <v>265</v>
      </c>
    </row>
    <row r="345" spans="1:9">
      <c r="A345" t="s">
        <v>198</v>
      </c>
      <c r="B345" t="s">
        <v>197</v>
      </c>
      <c r="C345">
        <v>1826</v>
      </c>
      <c r="D345" t="s">
        <v>198</v>
      </c>
      <c r="E345">
        <v>1826</v>
      </c>
      <c r="F345" s="1">
        <v>7.0000000000000001E-3</v>
      </c>
      <c r="G345" s="1">
        <v>0.85329999999999995</v>
      </c>
      <c r="H345" s="1">
        <v>0.1022</v>
      </c>
      <c r="I345" s="1">
        <v>3.7600000000000001E-2</v>
      </c>
    </row>
    <row r="346" spans="1:9" s="26" customFormat="1">
      <c r="A346" s="26" t="s">
        <v>236</v>
      </c>
      <c r="B346" s="26" t="s">
        <v>204</v>
      </c>
      <c r="C346" s="26">
        <v>22</v>
      </c>
      <c r="D346" s="26" t="s">
        <v>208</v>
      </c>
      <c r="E346" s="26">
        <v>1826</v>
      </c>
      <c r="G346" s="27">
        <v>0.86360000000000003</v>
      </c>
      <c r="H346" s="27">
        <v>0.13639999999999999</v>
      </c>
    </row>
    <row r="347" spans="1:9">
      <c r="A347" t="s">
        <v>236</v>
      </c>
      <c r="B347" t="s">
        <v>204</v>
      </c>
      <c r="C347">
        <v>61</v>
      </c>
      <c r="D347" t="s">
        <v>205</v>
      </c>
      <c r="E347">
        <v>1826</v>
      </c>
      <c r="G347" s="1">
        <v>0.87970000000000004</v>
      </c>
      <c r="H347" s="1">
        <v>0.1061</v>
      </c>
      <c r="I347" s="1">
        <v>1.4200000000000001E-2</v>
      </c>
    </row>
    <row r="348" spans="1:9">
      <c r="A348" t="s">
        <v>235</v>
      </c>
      <c r="B348" t="s">
        <v>204</v>
      </c>
      <c r="C348">
        <v>116</v>
      </c>
      <c r="D348" t="s">
        <v>205</v>
      </c>
      <c r="E348">
        <v>1826</v>
      </c>
      <c r="G348" s="1">
        <v>0.97019999999999995</v>
      </c>
      <c r="H348" s="1">
        <v>2.41E-2</v>
      </c>
      <c r="I348" s="1">
        <v>5.7000000000000002E-3</v>
      </c>
    </row>
    <row r="349" spans="1:9">
      <c r="A349" t="s">
        <v>236</v>
      </c>
      <c r="B349" t="s">
        <v>204</v>
      </c>
      <c r="C349">
        <v>39</v>
      </c>
      <c r="D349" t="s">
        <v>206</v>
      </c>
      <c r="E349">
        <v>1826</v>
      </c>
      <c r="G349" s="1">
        <v>0.87109999999999999</v>
      </c>
      <c r="H349" s="1">
        <v>0.12889999999999999</v>
      </c>
    </row>
    <row r="350" spans="1:9">
      <c r="A350" t="s">
        <v>235</v>
      </c>
      <c r="B350" t="s">
        <v>204</v>
      </c>
      <c r="C350">
        <v>90</v>
      </c>
      <c r="D350" t="s">
        <v>206</v>
      </c>
      <c r="E350">
        <v>1826</v>
      </c>
      <c r="G350" s="1">
        <v>0.89070000000000005</v>
      </c>
      <c r="H350" s="1">
        <v>9.6699999999999994E-2</v>
      </c>
      <c r="I350" s="1">
        <v>1.2500000000000001E-2</v>
      </c>
    </row>
    <row r="351" spans="1:9">
      <c r="A351" t="s">
        <v>236</v>
      </c>
      <c r="B351" t="s">
        <v>204</v>
      </c>
      <c r="C351">
        <v>153</v>
      </c>
      <c r="D351" t="s">
        <v>207</v>
      </c>
      <c r="E351">
        <v>1826</v>
      </c>
      <c r="F351" s="1">
        <v>4.4999999999999997E-3</v>
      </c>
      <c r="G351" s="1">
        <v>0.74460000000000004</v>
      </c>
      <c r="H351" s="1">
        <v>0.23430000000000001</v>
      </c>
      <c r="I351" s="1">
        <v>1.67E-2</v>
      </c>
    </row>
    <row r="352" spans="1:9">
      <c r="A352" t="s">
        <v>235</v>
      </c>
      <c r="B352" t="s">
        <v>204</v>
      </c>
      <c r="C352">
        <v>82</v>
      </c>
      <c r="D352" t="s">
        <v>207</v>
      </c>
      <c r="E352">
        <v>1826</v>
      </c>
      <c r="F352" s="1">
        <v>1.5E-3</v>
      </c>
      <c r="G352" s="1">
        <v>0.75670000000000004</v>
      </c>
      <c r="H352" s="1">
        <v>0.1061</v>
      </c>
      <c r="I352" s="1">
        <v>0.13569999999999999</v>
      </c>
    </row>
    <row r="353" spans="1:9">
      <c r="A353" t="s">
        <v>235</v>
      </c>
      <c r="B353" t="s">
        <v>204</v>
      </c>
      <c r="C353">
        <v>109</v>
      </c>
      <c r="D353" t="s">
        <v>208</v>
      </c>
      <c r="E353">
        <v>1826</v>
      </c>
      <c r="G353" s="1">
        <v>0.82569999999999999</v>
      </c>
      <c r="H353" s="1">
        <v>0.1101</v>
      </c>
      <c r="I353" s="1">
        <v>6.4199999999999993E-2</v>
      </c>
    </row>
    <row r="354" spans="1:9">
      <c r="A354" t="s">
        <v>236</v>
      </c>
      <c r="B354" t="s">
        <v>199</v>
      </c>
      <c r="C354">
        <v>71</v>
      </c>
      <c r="D354" t="s">
        <v>203</v>
      </c>
      <c r="E354">
        <v>1826</v>
      </c>
      <c r="F354" s="1">
        <v>1.3899999999999999E-2</v>
      </c>
      <c r="G354" s="1">
        <v>0.76829999999999998</v>
      </c>
      <c r="H354" s="1">
        <v>0.21779999999999999</v>
      </c>
    </row>
    <row r="355" spans="1:9">
      <c r="A355" t="s">
        <v>235</v>
      </c>
      <c r="B355" t="s">
        <v>199</v>
      </c>
      <c r="C355">
        <v>82</v>
      </c>
      <c r="D355" t="s">
        <v>203</v>
      </c>
      <c r="E355">
        <v>1826</v>
      </c>
      <c r="F355" s="1">
        <v>8.0000000000000002E-3</v>
      </c>
      <c r="G355" s="1">
        <v>0.82140000000000002</v>
      </c>
      <c r="H355" s="1">
        <v>0.1643</v>
      </c>
      <c r="I355" s="1">
        <v>6.3E-3</v>
      </c>
    </row>
    <row r="356" spans="1:9">
      <c r="A356" t="s">
        <v>235</v>
      </c>
      <c r="B356" t="s">
        <v>199</v>
      </c>
      <c r="C356">
        <v>115</v>
      </c>
      <c r="D356" t="s">
        <v>202</v>
      </c>
      <c r="E356">
        <v>1826</v>
      </c>
      <c r="G356" s="1">
        <v>0.89639999999999997</v>
      </c>
      <c r="H356" s="1">
        <v>8.7999999999999995E-2</v>
      </c>
      <c r="I356" s="1">
        <v>1.55E-2</v>
      </c>
    </row>
    <row r="357" spans="1:9">
      <c r="A357" t="s">
        <v>236</v>
      </c>
      <c r="B357" t="s">
        <v>199</v>
      </c>
      <c r="C357">
        <v>41</v>
      </c>
      <c r="D357" t="s">
        <v>200</v>
      </c>
      <c r="E357">
        <v>1826</v>
      </c>
      <c r="G357" s="1">
        <v>0.87890000000000001</v>
      </c>
      <c r="H357" s="1">
        <v>0.1168</v>
      </c>
      <c r="I357" s="1">
        <v>4.3E-3</v>
      </c>
    </row>
    <row r="358" spans="1:9">
      <c r="A358" t="s">
        <v>235</v>
      </c>
      <c r="B358" t="s">
        <v>199</v>
      </c>
      <c r="C358">
        <v>76</v>
      </c>
      <c r="D358" t="s">
        <v>200</v>
      </c>
      <c r="E358">
        <v>1826</v>
      </c>
      <c r="G358" s="1">
        <v>0.66820000000000002</v>
      </c>
      <c r="H358" s="1">
        <v>0.24049999999999999</v>
      </c>
      <c r="I358" s="1">
        <v>9.1300000000000006E-2</v>
      </c>
    </row>
    <row r="359" spans="1:9">
      <c r="A359" t="s">
        <v>236</v>
      </c>
      <c r="B359" t="s">
        <v>199</v>
      </c>
      <c r="C359">
        <v>86</v>
      </c>
      <c r="D359" t="s">
        <v>202</v>
      </c>
      <c r="E359">
        <v>1826</v>
      </c>
      <c r="G359" s="1">
        <v>0.93259999999999998</v>
      </c>
      <c r="H359" s="1">
        <v>6.7400000000000002E-2</v>
      </c>
    </row>
    <row r="360" spans="1:9">
      <c r="A360" t="s">
        <v>235</v>
      </c>
      <c r="B360" t="s">
        <v>199</v>
      </c>
      <c r="C360">
        <v>173</v>
      </c>
      <c r="D360" t="s">
        <v>201</v>
      </c>
      <c r="E360">
        <v>1826</v>
      </c>
      <c r="F360" s="1">
        <v>5.7999999999999996E-3</v>
      </c>
      <c r="G360" s="1">
        <v>0.87860000000000005</v>
      </c>
      <c r="H360" s="1">
        <v>6.9400000000000003E-2</v>
      </c>
      <c r="I360" s="1">
        <v>4.6199999999999998E-2</v>
      </c>
    </row>
    <row r="361" spans="1:9">
      <c r="A361" t="s">
        <v>236</v>
      </c>
      <c r="B361" t="s">
        <v>209</v>
      </c>
      <c r="C361">
        <v>74</v>
      </c>
      <c r="D361" t="s">
        <v>211</v>
      </c>
      <c r="E361">
        <v>1826</v>
      </c>
      <c r="F361" s="1">
        <v>1.8200000000000001E-2</v>
      </c>
      <c r="G361" s="1">
        <v>0.82689999999999997</v>
      </c>
      <c r="H361" s="1">
        <v>9.2899999999999996E-2</v>
      </c>
      <c r="I361" s="1">
        <v>6.2E-2</v>
      </c>
    </row>
    <row r="362" spans="1:9">
      <c r="A362" t="s">
        <v>235</v>
      </c>
      <c r="B362" t="s">
        <v>209</v>
      </c>
      <c r="C362">
        <v>103</v>
      </c>
      <c r="D362" t="s">
        <v>211</v>
      </c>
      <c r="E362">
        <v>1826</v>
      </c>
      <c r="F362" s="1">
        <v>4.1500000000000002E-2</v>
      </c>
      <c r="G362" s="1">
        <v>0.75700000000000001</v>
      </c>
      <c r="H362" s="1">
        <v>0.12529999999999999</v>
      </c>
      <c r="I362" s="1">
        <v>7.6100000000000001E-2</v>
      </c>
    </row>
    <row r="363" spans="1:9">
      <c r="A363" t="s">
        <v>235</v>
      </c>
      <c r="B363" t="s">
        <v>209</v>
      </c>
      <c r="C363">
        <v>129</v>
      </c>
      <c r="D363" t="s">
        <v>212</v>
      </c>
      <c r="E363">
        <v>1826</v>
      </c>
      <c r="F363" s="1">
        <v>3.3399999999999999E-2</v>
      </c>
      <c r="G363" s="1">
        <v>0.73340000000000005</v>
      </c>
      <c r="H363" s="1">
        <v>0.1832</v>
      </c>
      <c r="I363" s="1">
        <v>0.05</v>
      </c>
    </row>
    <row r="364" spans="1:9">
      <c r="A364" t="s">
        <v>236</v>
      </c>
      <c r="B364" t="s">
        <v>209</v>
      </c>
      <c r="C364">
        <v>37</v>
      </c>
      <c r="D364" t="s">
        <v>212</v>
      </c>
      <c r="E364">
        <v>1826</v>
      </c>
      <c r="G364" s="1">
        <v>0.80679999999999996</v>
      </c>
      <c r="H364" s="1">
        <v>0.151</v>
      </c>
      <c r="I364" s="1">
        <v>4.2200000000000001E-2</v>
      </c>
    </row>
    <row r="365" spans="1:9">
      <c r="A365" t="s">
        <v>236</v>
      </c>
      <c r="B365" t="s">
        <v>209</v>
      </c>
      <c r="C365">
        <v>68</v>
      </c>
      <c r="D365" t="s">
        <v>210</v>
      </c>
      <c r="E365">
        <v>1826</v>
      </c>
      <c r="F365" s="1">
        <v>2.3699999999999999E-2</v>
      </c>
      <c r="G365" s="1">
        <v>0.7429</v>
      </c>
      <c r="H365" s="1">
        <v>0.13969999999999999</v>
      </c>
      <c r="I365" s="1">
        <v>9.3600000000000003E-2</v>
      </c>
    </row>
    <row r="366" spans="1:9">
      <c r="A366" t="s">
        <v>235</v>
      </c>
      <c r="B366" t="s">
        <v>209</v>
      </c>
      <c r="C366">
        <v>58</v>
      </c>
      <c r="D366" t="s">
        <v>210</v>
      </c>
      <c r="E366">
        <v>1826</v>
      </c>
      <c r="F366" s="1">
        <v>1.8100000000000002E-2</v>
      </c>
      <c r="G366" s="1">
        <v>0.82889999999999997</v>
      </c>
      <c r="H366" s="1">
        <v>0.1169</v>
      </c>
      <c r="I366" s="1">
        <v>3.61E-2</v>
      </c>
    </row>
    <row r="368" spans="1:9">
      <c r="A368" t="s">
        <v>269</v>
      </c>
    </row>
    <row r="369" spans="1:17">
      <c r="A369" t="s">
        <v>189</v>
      </c>
      <c r="B369" t="s">
        <v>195</v>
      </c>
      <c r="C369" t="s">
        <v>190</v>
      </c>
      <c r="D369" t="s">
        <v>196</v>
      </c>
      <c r="E369" t="s">
        <v>270</v>
      </c>
      <c r="F369" t="s">
        <v>228</v>
      </c>
      <c r="G369" t="s">
        <v>271</v>
      </c>
      <c r="H369" t="s">
        <v>272</v>
      </c>
      <c r="I369" t="s">
        <v>273</v>
      </c>
      <c r="J369" t="s">
        <v>274</v>
      </c>
      <c r="K369" t="s">
        <v>275</v>
      </c>
      <c r="L369" t="s">
        <v>276</v>
      </c>
      <c r="M369" t="s">
        <v>277</v>
      </c>
      <c r="N369" t="s">
        <v>278</v>
      </c>
      <c r="O369" t="s">
        <v>223</v>
      </c>
      <c r="P369" t="s">
        <v>279</v>
      </c>
    </row>
    <row r="370" spans="1:17">
      <c r="A370" t="s">
        <v>197</v>
      </c>
      <c r="B370">
        <v>272</v>
      </c>
      <c r="C370" t="s">
        <v>198</v>
      </c>
      <c r="D370">
        <v>272</v>
      </c>
      <c r="E370" s="1">
        <v>8.3500000000000005E-2</v>
      </c>
      <c r="F370" s="1">
        <v>5.8999999999999999E-3</v>
      </c>
      <c r="G370" s="1">
        <v>2.7799999999999998E-2</v>
      </c>
      <c r="H370" s="1">
        <v>4.2000000000000003E-2</v>
      </c>
      <c r="I370" s="1">
        <v>0.27379999999999999</v>
      </c>
      <c r="J370" s="1">
        <v>0.23569999999999999</v>
      </c>
      <c r="K370" s="1">
        <v>0.13589999999999999</v>
      </c>
      <c r="L370" s="1">
        <v>9.6600000000000005E-2</v>
      </c>
      <c r="M370" s="1">
        <v>0.43590000000000001</v>
      </c>
      <c r="N370" s="1">
        <v>2.8999999999999998E-3</v>
      </c>
      <c r="O370" s="1">
        <v>7.6E-3</v>
      </c>
      <c r="P370" s="1">
        <v>3.95E-2</v>
      </c>
    </row>
    <row r="371" spans="1:17" s="26" customFormat="1">
      <c r="A371" s="26" t="s">
        <v>204</v>
      </c>
      <c r="B371" s="26">
        <v>17</v>
      </c>
      <c r="C371" s="26" t="s">
        <v>205</v>
      </c>
      <c r="D371" s="26">
        <v>272</v>
      </c>
      <c r="F371" s="27">
        <v>2.7099999999999999E-2</v>
      </c>
      <c r="H371" s="27">
        <v>9.4299999999999995E-2</v>
      </c>
      <c r="I371" s="27">
        <v>0.45390000000000003</v>
      </c>
      <c r="J371" s="27">
        <v>9.7900000000000001E-2</v>
      </c>
      <c r="K371" s="27">
        <v>0.14990000000000001</v>
      </c>
      <c r="L371" s="27">
        <v>0.1769</v>
      </c>
      <c r="M371" s="27">
        <v>0.22409999999999999</v>
      </c>
    </row>
    <row r="372" spans="1:17" s="26" customFormat="1">
      <c r="A372" s="26" t="s">
        <v>204</v>
      </c>
      <c r="B372" s="26">
        <v>15</v>
      </c>
      <c r="C372" s="26" t="s">
        <v>206</v>
      </c>
      <c r="D372" s="26">
        <v>272</v>
      </c>
      <c r="F372" s="27">
        <v>7.3599999999999999E-2</v>
      </c>
      <c r="G372" s="27">
        <v>5.2699999999999997E-2</v>
      </c>
      <c r="I372" s="27">
        <v>0.25269999999999998</v>
      </c>
      <c r="J372" s="27">
        <v>0.12640000000000001</v>
      </c>
      <c r="K372" s="27">
        <v>0.1055</v>
      </c>
      <c r="L372" s="27">
        <v>0.22090000000000001</v>
      </c>
      <c r="M372" s="27">
        <v>7.3599999999999999E-2</v>
      </c>
      <c r="N372" s="27">
        <v>0.14729999999999999</v>
      </c>
    </row>
    <row r="373" spans="1:17">
      <c r="A373" t="s">
        <v>204</v>
      </c>
      <c r="B373">
        <v>38</v>
      </c>
      <c r="C373" t="s">
        <v>207</v>
      </c>
      <c r="D373">
        <v>272</v>
      </c>
      <c r="E373" s="1">
        <v>2.0999999999999999E-3</v>
      </c>
      <c r="G373" s="1">
        <v>3.3999999999999998E-3</v>
      </c>
      <c r="H373" s="1">
        <v>5.3E-3</v>
      </c>
      <c r="I373" s="1">
        <v>0.39479999999999998</v>
      </c>
      <c r="J373" s="1">
        <v>0.43619999999999998</v>
      </c>
      <c r="K373" s="1">
        <v>0.12709999999999999</v>
      </c>
      <c r="L373" s="1">
        <v>1.4800000000000001E-2</v>
      </c>
      <c r="M373" s="1">
        <v>0.76939999999999997</v>
      </c>
      <c r="N373" s="1">
        <v>5.7000000000000002E-3</v>
      </c>
      <c r="P373" s="1">
        <v>1.14E-2</v>
      </c>
    </row>
    <row r="374" spans="1:17" s="26" customFormat="1">
      <c r="A374" s="26" t="s">
        <v>204</v>
      </c>
      <c r="B374" s="26">
        <v>22</v>
      </c>
      <c r="C374" s="26" t="s">
        <v>208</v>
      </c>
      <c r="D374" s="26">
        <v>272</v>
      </c>
      <c r="E374" s="27">
        <v>0.13639999999999999</v>
      </c>
      <c r="F374" s="27">
        <v>4.5499999999999999E-2</v>
      </c>
      <c r="H374" s="27">
        <v>4.5499999999999999E-2</v>
      </c>
      <c r="I374" s="27">
        <v>0.13639999999999999</v>
      </c>
      <c r="J374" s="27">
        <v>0.31819999999999998</v>
      </c>
      <c r="K374" s="27">
        <v>0.2273</v>
      </c>
      <c r="L374" s="27">
        <v>4.5499999999999999E-2</v>
      </c>
      <c r="M374" s="27">
        <v>0.40910000000000002</v>
      </c>
      <c r="P374" s="27">
        <v>4.5499999999999999E-2</v>
      </c>
    </row>
    <row r="375" spans="1:17" s="26" customFormat="1">
      <c r="A375" s="26" t="s">
        <v>199</v>
      </c>
      <c r="B375" s="26">
        <v>23</v>
      </c>
      <c r="C375" s="26" t="s">
        <v>200</v>
      </c>
      <c r="D375" s="26">
        <v>272</v>
      </c>
      <c r="E375" s="27">
        <v>0.16059999999999999</v>
      </c>
      <c r="G375" s="27">
        <v>0.22189999999999999</v>
      </c>
      <c r="I375" s="27">
        <v>0.80700000000000005</v>
      </c>
      <c r="J375" s="27">
        <v>0.18970000000000001</v>
      </c>
      <c r="K375" s="27">
        <v>0.18970000000000001</v>
      </c>
      <c r="L375" s="27">
        <v>8.3999999999999995E-3</v>
      </c>
      <c r="M375" s="27">
        <v>0.2545</v>
      </c>
      <c r="P375" s="27">
        <v>0.16059999999999999</v>
      </c>
    </row>
    <row r="376" spans="1:17" s="26" customFormat="1">
      <c r="A376" s="26" t="s">
        <v>199</v>
      </c>
      <c r="B376" s="26">
        <v>20</v>
      </c>
      <c r="C376" s="26" t="s">
        <v>201</v>
      </c>
      <c r="D376" s="26">
        <v>272</v>
      </c>
      <c r="E376" s="27">
        <v>0.15</v>
      </c>
      <c r="H376" s="27">
        <v>0.1</v>
      </c>
      <c r="I376" s="27">
        <v>0.05</v>
      </c>
      <c r="J376" s="27">
        <v>0.05</v>
      </c>
      <c r="K376" s="27">
        <v>0.15</v>
      </c>
      <c r="L376" s="27">
        <v>0.2</v>
      </c>
      <c r="M376" s="27">
        <v>0.4</v>
      </c>
      <c r="O376" s="27">
        <v>0.05</v>
      </c>
      <c r="P376" s="27">
        <v>0.05</v>
      </c>
    </row>
    <row r="377" spans="1:17" s="26" customFormat="1">
      <c r="A377" s="26" t="s">
        <v>199</v>
      </c>
      <c r="B377" s="26">
        <v>17</v>
      </c>
      <c r="C377" s="26" t="s">
        <v>202</v>
      </c>
      <c r="D377" s="26">
        <v>272</v>
      </c>
      <c r="E377" s="27">
        <v>0.12520000000000001</v>
      </c>
      <c r="I377" s="27">
        <v>0.19869999999999999</v>
      </c>
      <c r="J377" s="27">
        <v>0.32540000000000002</v>
      </c>
      <c r="K377" s="27">
        <v>9.7299999999999998E-2</v>
      </c>
      <c r="L377" s="27">
        <v>7.3899999999999993E-2</v>
      </c>
      <c r="M377" s="27">
        <v>0.2029</v>
      </c>
    </row>
    <row r="378" spans="1:17">
      <c r="A378" t="s">
        <v>199</v>
      </c>
      <c r="B378">
        <v>30</v>
      </c>
      <c r="C378" t="s">
        <v>203</v>
      </c>
      <c r="D378">
        <v>272</v>
      </c>
      <c r="E378" s="1">
        <v>8.4900000000000003E-2</v>
      </c>
      <c r="G378" s="1">
        <v>4.7E-2</v>
      </c>
      <c r="H378" s="1">
        <v>2.12E-2</v>
      </c>
      <c r="I378" s="1">
        <v>0.55930000000000002</v>
      </c>
      <c r="J378" s="1">
        <v>2.9399999999999999E-2</v>
      </c>
      <c r="K378" s="1">
        <v>0.152</v>
      </c>
      <c r="M378" s="1">
        <v>6.2399999999999997E-2</v>
      </c>
      <c r="P378" s="1">
        <v>0.1615</v>
      </c>
    </row>
    <row r="379" spans="1:17" s="26" customFormat="1">
      <c r="A379" s="26" t="s">
        <v>209</v>
      </c>
      <c r="B379" s="26">
        <v>23</v>
      </c>
      <c r="C379" s="26" t="s">
        <v>210</v>
      </c>
      <c r="D379" s="26">
        <v>272</v>
      </c>
      <c r="E379" s="27">
        <v>5.1799999999999999E-2</v>
      </c>
      <c r="G379" s="27">
        <v>4.8899999999999999E-2</v>
      </c>
      <c r="H379" s="27">
        <v>0.1036</v>
      </c>
      <c r="I379" s="27">
        <v>0.48780000000000001</v>
      </c>
      <c r="J379" s="27">
        <v>2.4500000000000001E-2</v>
      </c>
      <c r="K379" s="27">
        <v>7.6300000000000007E-2</v>
      </c>
      <c r="L379" s="27">
        <v>0.1036</v>
      </c>
      <c r="M379" s="27">
        <v>0.12809999999999999</v>
      </c>
      <c r="P379" s="27">
        <v>7.6300000000000007E-2</v>
      </c>
    </row>
    <row r="380" spans="1:17">
      <c r="A380" t="s">
        <v>209</v>
      </c>
      <c r="B380">
        <v>33</v>
      </c>
      <c r="C380" t="s">
        <v>211</v>
      </c>
      <c r="D380">
        <v>272</v>
      </c>
      <c r="E380" s="1">
        <v>0.16089999999999999</v>
      </c>
      <c r="G380" s="1">
        <v>0.14099999999999999</v>
      </c>
      <c r="H380" s="1">
        <v>3.6999999999999998E-2</v>
      </c>
      <c r="I380" s="1">
        <v>0.44979999999999998</v>
      </c>
      <c r="J380" s="1">
        <v>0.16089999999999999</v>
      </c>
      <c r="K380" s="1">
        <v>7.3899999999999993E-2</v>
      </c>
      <c r="L380" s="1">
        <v>0.1207</v>
      </c>
      <c r="M380" s="1">
        <v>0.3206</v>
      </c>
      <c r="P380" s="1">
        <v>8.6900000000000005E-2</v>
      </c>
    </row>
    <row r="381" spans="1:17">
      <c r="A381" t="s">
        <v>209</v>
      </c>
      <c r="B381">
        <v>34</v>
      </c>
      <c r="C381" t="s">
        <v>212</v>
      </c>
      <c r="D381">
        <v>272</v>
      </c>
      <c r="E381" s="1">
        <v>9.4500000000000001E-2</v>
      </c>
      <c r="G381" s="1">
        <v>3.6999999999999998E-2</v>
      </c>
      <c r="H381" s="1">
        <v>6.3E-2</v>
      </c>
      <c r="I381" s="1">
        <v>6.1899999999999997E-2</v>
      </c>
      <c r="J381" s="1">
        <v>0.1837</v>
      </c>
      <c r="K381" s="1">
        <v>0.12470000000000001</v>
      </c>
      <c r="L381" s="1">
        <v>0.15740000000000001</v>
      </c>
      <c r="M381" s="1">
        <v>0.42880000000000001</v>
      </c>
      <c r="P381" s="1">
        <v>3.15E-2</v>
      </c>
    </row>
    <row r="383" spans="1:17">
      <c r="A383" t="s">
        <v>280</v>
      </c>
    </row>
    <row r="384" spans="1:17">
      <c r="A384" t="s">
        <v>214</v>
      </c>
      <c r="B384" t="s">
        <v>189</v>
      </c>
      <c r="C384" t="s">
        <v>195</v>
      </c>
      <c r="D384" t="s">
        <v>190</v>
      </c>
      <c r="E384" t="s">
        <v>196</v>
      </c>
      <c r="F384" t="s">
        <v>270</v>
      </c>
      <c r="G384" t="s">
        <v>228</v>
      </c>
      <c r="H384" t="s">
        <v>271</v>
      </c>
      <c r="I384" t="s">
        <v>272</v>
      </c>
      <c r="J384" t="s">
        <v>273</v>
      </c>
      <c r="K384" t="s">
        <v>274</v>
      </c>
      <c r="L384" t="s">
        <v>275</v>
      </c>
      <c r="M384" t="s">
        <v>276</v>
      </c>
      <c r="N384" t="s">
        <v>277</v>
      </c>
      <c r="O384" t="s">
        <v>278</v>
      </c>
      <c r="P384" t="s">
        <v>223</v>
      </c>
      <c r="Q384" t="s">
        <v>279</v>
      </c>
    </row>
    <row r="385" spans="1:17">
      <c r="A385" t="s">
        <v>198</v>
      </c>
      <c r="B385" t="s">
        <v>197</v>
      </c>
      <c r="C385">
        <v>272</v>
      </c>
      <c r="D385" t="s">
        <v>198</v>
      </c>
      <c r="E385">
        <v>272</v>
      </c>
      <c r="F385" s="1">
        <v>8.3500000000000005E-2</v>
      </c>
      <c r="G385" s="1">
        <v>5.8999999999999999E-3</v>
      </c>
      <c r="H385" s="1">
        <v>2.7799999999999998E-2</v>
      </c>
      <c r="I385" s="1">
        <v>4.2000000000000003E-2</v>
      </c>
      <c r="J385" s="1">
        <v>0.27379999999999999</v>
      </c>
      <c r="K385" s="1">
        <v>0.23569999999999999</v>
      </c>
      <c r="L385" s="1">
        <v>0.13589999999999999</v>
      </c>
      <c r="M385" s="1">
        <v>9.6600000000000005E-2</v>
      </c>
      <c r="N385" s="1">
        <v>0.43590000000000001</v>
      </c>
      <c r="O385" s="1">
        <v>2.8999999999999998E-3</v>
      </c>
      <c r="P385" s="1">
        <v>7.6E-3</v>
      </c>
      <c r="Q385" s="1">
        <v>3.95E-2</v>
      </c>
    </row>
    <row r="386" spans="1:17" s="26" customFormat="1">
      <c r="A386" s="26" t="s">
        <v>257</v>
      </c>
      <c r="B386" s="26" t="s">
        <v>204</v>
      </c>
      <c r="C386" s="26">
        <v>8</v>
      </c>
      <c r="D386" s="26" t="s">
        <v>207</v>
      </c>
      <c r="E386" s="26">
        <v>272</v>
      </c>
      <c r="J386" s="27">
        <v>0.47939999999999999</v>
      </c>
      <c r="K386" s="27">
        <v>0.73929999999999996</v>
      </c>
      <c r="M386" s="27">
        <v>7.9000000000000008E-3</v>
      </c>
      <c r="N386" s="27">
        <v>0.95879999999999999</v>
      </c>
      <c r="Q386" s="27">
        <v>1.3100000000000001E-2</v>
      </c>
    </row>
    <row r="387" spans="1:17" s="26" customFormat="1">
      <c r="A387" s="26" t="s">
        <v>254</v>
      </c>
      <c r="B387" s="26" t="s">
        <v>204</v>
      </c>
      <c r="C387" s="26">
        <v>13</v>
      </c>
      <c r="D387" s="26" t="s">
        <v>207</v>
      </c>
      <c r="E387" s="26">
        <v>272</v>
      </c>
      <c r="I387" s="27">
        <v>1.9699999999999999E-2</v>
      </c>
      <c r="J387" s="27">
        <v>0.1159</v>
      </c>
      <c r="L387" s="27">
        <v>0.41749999999999998</v>
      </c>
      <c r="M387" s="27">
        <v>4.2000000000000003E-2</v>
      </c>
      <c r="N387" s="27">
        <v>0.84289999999999998</v>
      </c>
      <c r="O387" s="27">
        <v>2.1000000000000001E-2</v>
      </c>
    </row>
    <row r="388" spans="1:17" s="26" customFormat="1">
      <c r="A388" s="26" t="s">
        <v>253</v>
      </c>
      <c r="B388" s="26" t="s">
        <v>204</v>
      </c>
      <c r="C388" s="26">
        <v>1</v>
      </c>
      <c r="D388" s="26" t="s">
        <v>207</v>
      </c>
      <c r="E388" s="26">
        <v>272</v>
      </c>
      <c r="L388" s="27">
        <v>1</v>
      </c>
    </row>
    <row r="389" spans="1:17" s="26" customFormat="1">
      <c r="A389" s="26" t="s">
        <v>257</v>
      </c>
      <c r="B389" s="26" t="s">
        <v>204</v>
      </c>
      <c r="C389" s="26">
        <v>3</v>
      </c>
      <c r="D389" s="26" t="s">
        <v>206</v>
      </c>
      <c r="E389" s="26">
        <v>272</v>
      </c>
      <c r="K389" s="27">
        <v>0.2636</v>
      </c>
      <c r="M389" s="27">
        <v>0.73640000000000005</v>
      </c>
    </row>
    <row r="390" spans="1:17" s="26" customFormat="1">
      <c r="A390" s="26" t="s">
        <v>254</v>
      </c>
      <c r="B390" s="26" t="s">
        <v>204</v>
      </c>
      <c r="C390" s="26">
        <v>9</v>
      </c>
      <c r="D390" s="26" t="s">
        <v>206</v>
      </c>
      <c r="E390" s="26">
        <v>272</v>
      </c>
      <c r="H390" s="27">
        <v>9.0999999999999998E-2</v>
      </c>
      <c r="J390" s="27">
        <v>0.43640000000000001</v>
      </c>
      <c r="L390" s="27">
        <v>0.18210000000000001</v>
      </c>
      <c r="M390" s="27">
        <v>0.12720000000000001</v>
      </c>
      <c r="O390" s="27">
        <v>0.25430000000000003</v>
      </c>
    </row>
    <row r="391" spans="1:17" s="26" customFormat="1">
      <c r="A391" s="26" t="s">
        <v>256</v>
      </c>
      <c r="B391" s="26" t="s">
        <v>204</v>
      </c>
      <c r="C391" s="26">
        <v>3</v>
      </c>
      <c r="D391" s="26" t="s">
        <v>206</v>
      </c>
      <c r="E391" s="26">
        <v>272</v>
      </c>
      <c r="G391" s="27">
        <v>0.33329999999999999</v>
      </c>
      <c r="K391" s="27">
        <v>0.33329999999999999</v>
      </c>
      <c r="N391" s="27">
        <v>0.33329999999999999</v>
      </c>
    </row>
    <row r="392" spans="1:17" s="26" customFormat="1">
      <c r="A392" s="26" t="s">
        <v>256</v>
      </c>
      <c r="B392" s="26" t="s">
        <v>204</v>
      </c>
      <c r="C392" s="26">
        <v>16</v>
      </c>
      <c r="D392" s="26" t="s">
        <v>207</v>
      </c>
      <c r="E392" s="26">
        <v>272</v>
      </c>
      <c r="F392" s="27">
        <v>7.1999999999999998E-3</v>
      </c>
      <c r="H392" s="27">
        <v>1.1900000000000001E-2</v>
      </c>
      <c r="J392" s="27">
        <v>0.53690000000000004</v>
      </c>
      <c r="K392" s="27">
        <v>0.39860000000000001</v>
      </c>
      <c r="L392" s="27">
        <v>2.8400000000000002E-2</v>
      </c>
      <c r="N392" s="27">
        <v>0.43149999999999999</v>
      </c>
      <c r="Q392" s="27">
        <v>1.9699999999999999E-2</v>
      </c>
    </row>
    <row r="393" spans="1:17" s="26" customFormat="1">
      <c r="A393" s="26" t="s">
        <v>256</v>
      </c>
      <c r="B393" s="26" t="s">
        <v>204</v>
      </c>
      <c r="C393" s="26">
        <v>8</v>
      </c>
      <c r="D393" s="26" t="s">
        <v>205</v>
      </c>
      <c r="E393" s="26">
        <v>272</v>
      </c>
      <c r="I393" s="27">
        <v>0.14030000000000001</v>
      </c>
      <c r="J393" s="27">
        <v>0.37359999999999999</v>
      </c>
      <c r="K393" s="27">
        <v>5.2699999999999997E-2</v>
      </c>
      <c r="L393" s="27">
        <v>0.22289999999999999</v>
      </c>
      <c r="M393" s="27">
        <v>0.26319999999999999</v>
      </c>
      <c r="N393" s="27">
        <v>0.28070000000000001</v>
      </c>
    </row>
    <row r="394" spans="1:17" s="26" customFormat="1">
      <c r="A394" s="26" t="s">
        <v>257</v>
      </c>
      <c r="B394" s="26" t="s">
        <v>204</v>
      </c>
      <c r="C394" s="26">
        <v>1</v>
      </c>
      <c r="D394" s="26" t="s">
        <v>205</v>
      </c>
      <c r="E394" s="26">
        <v>272</v>
      </c>
      <c r="K394" s="27">
        <v>1</v>
      </c>
    </row>
    <row r="395" spans="1:17" s="26" customFormat="1">
      <c r="A395" s="26" t="s">
        <v>254</v>
      </c>
      <c r="B395" s="26" t="s">
        <v>204</v>
      </c>
      <c r="C395" s="26">
        <v>9</v>
      </c>
      <c r="D395" s="26" t="s">
        <v>208</v>
      </c>
      <c r="E395" s="26">
        <v>272</v>
      </c>
      <c r="F395" s="27">
        <v>0.22220000000000001</v>
      </c>
      <c r="I395" s="27">
        <v>0.1111</v>
      </c>
      <c r="J395" s="27">
        <v>0.1111</v>
      </c>
      <c r="K395" s="27">
        <v>0.22220000000000001</v>
      </c>
      <c r="L395" s="27">
        <v>0.22220000000000001</v>
      </c>
      <c r="N395" s="27">
        <v>0.44440000000000002</v>
      </c>
    </row>
    <row r="396" spans="1:17" s="26" customFormat="1">
      <c r="A396" s="26" t="s">
        <v>257</v>
      </c>
      <c r="B396" s="26" t="s">
        <v>204</v>
      </c>
      <c r="C396" s="26">
        <v>5</v>
      </c>
      <c r="D396" s="26" t="s">
        <v>208</v>
      </c>
      <c r="E396" s="26">
        <v>272</v>
      </c>
      <c r="J396" s="27">
        <v>0.2</v>
      </c>
      <c r="K396" s="27">
        <v>0.6</v>
      </c>
      <c r="L396" s="27">
        <v>0.4</v>
      </c>
      <c r="N396" s="27">
        <v>0.4</v>
      </c>
    </row>
    <row r="397" spans="1:17" s="26" customFormat="1">
      <c r="A397" s="26" t="s">
        <v>254</v>
      </c>
      <c r="B397" s="26" t="s">
        <v>204</v>
      </c>
      <c r="C397" s="26">
        <v>8</v>
      </c>
      <c r="D397" s="26" t="s">
        <v>205</v>
      </c>
      <c r="E397" s="26">
        <v>272</v>
      </c>
      <c r="G397" s="27">
        <v>9.01E-2</v>
      </c>
      <c r="J397" s="27">
        <v>0.67430000000000001</v>
      </c>
      <c r="K397" s="27">
        <v>0.1178</v>
      </c>
      <c r="N397" s="27">
        <v>0.1178</v>
      </c>
    </row>
    <row r="398" spans="1:17" s="26" customFormat="1">
      <c r="A398" s="26" t="s">
        <v>256</v>
      </c>
      <c r="B398" s="26" t="s">
        <v>204</v>
      </c>
      <c r="C398" s="26">
        <v>8</v>
      </c>
      <c r="D398" s="26" t="s">
        <v>208</v>
      </c>
      <c r="E398" s="26">
        <v>272</v>
      </c>
      <c r="F398" s="27">
        <v>0.125</v>
      </c>
      <c r="G398" s="27">
        <v>0.125</v>
      </c>
      <c r="J398" s="27">
        <v>0.125</v>
      </c>
      <c r="K398" s="27">
        <v>0.25</v>
      </c>
      <c r="L398" s="27">
        <v>0.125</v>
      </c>
      <c r="M398" s="27">
        <v>0.125</v>
      </c>
      <c r="N398" s="27">
        <v>0.375</v>
      </c>
      <c r="Q398" s="27">
        <v>0.125</v>
      </c>
    </row>
    <row r="399" spans="1:17" s="26" customFormat="1">
      <c r="A399" s="26" t="s">
        <v>257</v>
      </c>
      <c r="B399" s="26" t="s">
        <v>199</v>
      </c>
      <c r="C399" s="26">
        <v>5</v>
      </c>
      <c r="D399" s="26" t="s">
        <v>202</v>
      </c>
      <c r="E399" s="26">
        <v>272</v>
      </c>
      <c r="J399" s="27">
        <v>7.6100000000000001E-2</v>
      </c>
      <c r="K399" s="27">
        <v>0.24410000000000001</v>
      </c>
      <c r="L399" s="27">
        <v>7.6100000000000001E-2</v>
      </c>
      <c r="M399" s="27">
        <v>0.24010000000000001</v>
      </c>
      <c r="N399" s="27">
        <v>0.43980000000000002</v>
      </c>
    </row>
    <row r="400" spans="1:17" s="26" customFormat="1">
      <c r="A400" s="26" t="s">
        <v>253</v>
      </c>
      <c r="B400" s="26" t="s">
        <v>199</v>
      </c>
      <c r="C400" s="26">
        <v>3</v>
      </c>
      <c r="D400" s="26" t="s">
        <v>203</v>
      </c>
      <c r="E400" s="26">
        <v>272</v>
      </c>
      <c r="J400" s="27">
        <v>0.27760000000000001</v>
      </c>
      <c r="Q400" s="27">
        <v>0.72240000000000004</v>
      </c>
    </row>
    <row r="401" spans="1:17" s="26" customFormat="1">
      <c r="A401" s="26" t="s">
        <v>257</v>
      </c>
      <c r="B401" s="26" t="s">
        <v>199</v>
      </c>
      <c r="C401" s="26">
        <v>5</v>
      </c>
      <c r="D401" s="26" t="s">
        <v>203</v>
      </c>
      <c r="E401" s="26">
        <v>272</v>
      </c>
      <c r="H401" s="27">
        <v>0.37709999999999999</v>
      </c>
      <c r="J401" s="27">
        <v>0.78280000000000005</v>
      </c>
      <c r="N401" s="27">
        <v>0.2172</v>
      </c>
    </row>
    <row r="402" spans="1:17" s="26" customFormat="1">
      <c r="A402" s="26" t="s">
        <v>254</v>
      </c>
      <c r="B402" s="26" t="s">
        <v>199</v>
      </c>
      <c r="C402" s="26">
        <v>11</v>
      </c>
      <c r="D402" s="26" t="s">
        <v>203</v>
      </c>
      <c r="E402" s="26">
        <v>272</v>
      </c>
      <c r="F402" s="27">
        <v>0.02</v>
      </c>
      <c r="I402" s="27">
        <v>5.1400000000000001E-2</v>
      </c>
      <c r="J402" s="27">
        <v>0.50560000000000005</v>
      </c>
      <c r="L402" s="27">
        <v>0.3029</v>
      </c>
      <c r="Q402" s="27">
        <v>0.18579999999999999</v>
      </c>
    </row>
    <row r="403" spans="1:17" s="26" customFormat="1">
      <c r="A403" s="26" t="s">
        <v>256</v>
      </c>
      <c r="B403" s="26" t="s">
        <v>199</v>
      </c>
      <c r="C403" s="26">
        <v>11</v>
      </c>
      <c r="D403" s="26" t="s">
        <v>203</v>
      </c>
      <c r="E403" s="26">
        <v>272</v>
      </c>
      <c r="F403" s="27">
        <v>0.2147</v>
      </c>
      <c r="J403" s="27">
        <v>0.62690000000000001</v>
      </c>
      <c r="K403" s="27">
        <v>8.2500000000000004E-2</v>
      </c>
      <c r="L403" s="27">
        <v>7.5899999999999995E-2</v>
      </c>
      <c r="N403" s="27">
        <v>9.9099999999999994E-2</v>
      </c>
      <c r="Q403" s="27">
        <v>2.3199999999999998E-2</v>
      </c>
    </row>
    <row r="404" spans="1:17" s="26" customFormat="1">
      <c r="A404" s="26" t="s">
        <v>256</v>
      </c>
      <c r="B404" s="26" t="s">
        <v>199</v>
      </c>
      <c r="C404" s="26">
        <v>6</v>
      </c>
      <c r="D404" s="26" t="s">
        <v>202</v>
      </c>
      <c r="E404" s="26">
        <v>272</v>
      </c>
      <c r="F404" s="27">
        <v>0.1361</v>
      </c>
      <c r="J404" s="27">
        <v>0.47620000000000001</v>
      </c>
      <c r="K404" s="27">
        <v>0.20399999999999999</v>
      </c>
      <c r="N404" s="27">
        <v>0.18379999999999999</v>
      </c>
    </row>
    <row r="405" spans="1:17" s="26" customFormat="1">
      <c r="A405" s="26" t="s">
        <v>254</v>
      </c>
      <c r="B405" s="26" t="s">
        <v>199</v>
      </c>
      <c r="C405" s="26">
        <v>4</v>
      </c>
      <c r="D405" s="26" t="s">
        <v>202</v>
      </c>
      <c r="E405" s="26">
        <v>272</v>
      </c>
      <c r="K405" s="27">
        <v>0.67269999999999996</v>
      </c>
      <c r="L405" s="27">
        <v>0.32729999999999998</v>
      </c>
    </row>
    <row r="406" spans="1:17" s="26" customFormat="1">
      <c r="A406" s="26" t="s">
        <v>256</v>
      </c>
      <c r="B406" s="26" t="s">
        <v>199</v>
      </c>
      <c r="C406" s="26">
        <v>5</v>
      </c>
      <c r="D406" s="26" t="s">
        <v>200</v>
      </c>
      <c r="E406" s="26">
        <v>272</v>
      </c>
      <c r="H406" s="27">
        <v>0.2303</v>
      </c>
      <c r="J406" s="27">
        <v>2.3699999999999999E-2</v>
      </c>
      <c r="M406" s="27">
        <v>4.7500000000000001E-2</v>
      </c>
      <c r="N406" s="27">
        <v>0.69840000000000002</v>
      </c>
    </row>
    <row r="407" spans="1:17" s="26" customFormat="1">
      <c r="A407" s="26" t="s">
        <v>254</v>
      </c>
      <c r="B407" s="26" t="s">
        <v>199</v>
      </c>
      <c r="C407" s="26">
        <v>7</v>
      </c>
      <c r="D407" s="26" t="s">
        <v>201</v>
      </c>
      <c r="E407" s="26">
        <v>272</v>
      </c>
      <c r="L407" s="27">
        <v>0.42859999999999998</v>
      </c>
      <c r="M407" s="27">
        <v>0.42859999999999998</v>
      </c>
      <c r="N407" s="27">
        <v>0.42859999999999998</v>
      </c>
    </row>
    <row r="408" spans="1:17" s="26" customFormat="1">
      <c r="A408" s="26" t="s">
        <v>257</v>
      </c>
      <c r="B408" s="26" t="s">
        <v>199</v>
      </c>
      <c r="C408" s="26">
        <v>2</v>
      </c>
      <c r="D408" s="26" t="s">
        <v>200</v>
      </c>
      <c r="E408" s="26">
        <v>272</v>
      </c>
      <c r="H408" s="27">
        <v>0.97740000000000005</v>
      </c>
      <c r="J408" s="27">
        <v>0.97740000000000005</v>
      </c>
      <c r="K408" s="27">
        <v>1</v>
      </c>
    </row>
    <row r="409" spans="1:17" s="26" customFormat="1">
      <c r="A409" s="26" t="s">
        <v>254</v>
      </c>
      <c r="B409" s="26" t="s">
        <v>199</v>
      </c>
      <c r="C409" s="26">
        <v>13</v>
      </c>
      <c r="D409" s="26" t="s">
        <v>200</v>
      </c>
      <c r="E409" s="26">
        <v>272</v>
      </c>
      <c r="J409" s="27">
        <v>0.96430000000000005</v>
      </c>
      <c r="K409" s="27">
        <v>8.8999999999999999E-3</v>
      </c>
      <c r="L409" s="27">
        <v>0.4042</v>
      </c>
      <c r="N409" s="27">
        <v>0.28010000000000002</v>
      </c>
    </row>
    <row r="410" spans="1:17" s="26" customFormat="1">
      <c r="A410" s="26" t="s">
        <v>253</v>
      </c>
      <c r="B410" s="26" t="s">
        <v>199</v>
      </c>
      <c r="C410" s="26">
        <v>3</v>
      </c>
      <c r="D410" s="26" t="s">
        <v>200</v>
      </c>
      <c r="E410" s="26">
        <v>272</v>
      </c>
      <c r="F410" s="27">
        <v>0.95050000000000001</v>
      </c>
      <c r="J410" s="27">
        <v>1</v>
      </c>
      <c r="Q410" s="27">
        <v>0.95050000000000001</v>
      </c>
    </row>
    <row r="411" spans="1:17" s="26" customFormat="1">
      <c r="A411" s="26" t="s">
        <v>253</v>
      </c>
      <c r="B411" s="26" t="s">
        <v>199</v>
      </c>
      <c r="C411" s="26">
        <v>2</v>
      </c>
      <c r="D411" s="26" t="s">
        <v>202</v>
      </c>
      <c r="E411" s="26">
        <v>272</v>
      </c>
      <c r="F411" s="27">
        <v>0.76239999999999997</v>
      </c>
      <c r="K411" s="27">
        <v>0.23760000000000001</v>
      </c>
    </row>
    <row r="412" spans="1:17" s="26" customFormat="1">
      <c r="A412" s="26" t="s">
        <v>253</v>
      </c>
      <c r="B412" s="26" t="s">
        <v>199</v>
      </c>
      <c r="C412" s="26">
        <v>3</v>
      </c>
      <c r="D412" s="26" t="s">
        <v>201</v>
      </c>
      <c r="E412" s="26">
        <v>272</v>
      </c>
      <c r="F412" s="27">
        <v>0.33329999999999999</v>
      </c>
      <c r="N412" s="27">
        <v>0.66669999999999996</v>
      </c>
      <c r="Q412" s="27">
        <v>0.33329999999999999</v>
      </c>
    </row>
    <row r="413" spans="1:17" s="26" customFormat="1">
      <c r="A413" s="26" t="s">
        <v>257</v>
      </c>
      <c r="B413" s="26" t="s">
        <v>199</v>
      </c>
      <c r="C413" s="26">
        <v>7</v>
      </c>
      <c r="D413" s="26" t="s">
        <v>201</v>
      </c>
      <c r="E413" s="26">
        <v>272</v>
      </c>
      <c r="I413" s="27">
        <v>0.1429</v>
      </c>
      <c r="K413" s="27">
        <v>0.1429</v>
      </c>
      <c r="M413" s="27">
        <v>0.1429</v>
      </c>
      <c r="N413" s="27">
        <v>0.42859999999999998</v>
      </c>
      <c r="P413" s="27">
        <v>0.1429</v>
      </c>
    </row>
    <row r="414" spans="1:17" s="26" customFormat="1">
      <c r="A414" s="26" t="s">
        <v>256</v>
      </c>
      <c r="B414" s="26" t="s">
        <v>199</v>
      </c>
      <c r="C414" s="26">
        <v>3</v>
      </c>
      <c r="D414" s="26" t="s">
        <v>201</v>
      </c>
      <c r="E414" s="26">
        <v>272</v>
      </c>
      <c r="F414" s="27">
        <v>0.66669999999999996</v>
      </c>
      <c r="I414" s="27">
        <v>0.33329999999999999</v>
      </c>
      <c r="J414" s="27">
        <v>0.33329999999999999</v>
      </c>
    </row>
    <row r="415" spans="1:17" s="26" customFormat="1">
      <c r="A415" s="26" t="s">
        <v>257</v>
      </c>
      <c r="B415" s="26" t="s">
        <v>209</v>
      </c>
      <c r="C415" s="26">
        <v>4</v>
      </c>
      <c r="D415" s="26" t="s">
        <v>211</v>
      </c>
      <c r="E415" s="26">
        <v>272</v>
      </c>
      <c r="J415" s="27">
        <v>0.5</v>
      </c>
      <c r="K415" s="27">
        <v>0.5</v>
      </c>
      <c r="M415" s="27">
        <v>0.25</v>
      </c>
      <c r="N415" s="27">
        <v>0.25</v>
      </c>
    </row>
    <row r="416" spans="1:17" s="26" customFormat="1">
      <c r="A416" s="26" t="s">
        <v>254</v>
      </c>
      <c r="B416" s="26" t="s">
        <v>209</v>
      </c>
      <c r="C416" s="26">
        <v>17</v>
      </c>
      <c r="D416" s="26" t="s">
        <v>212</v>
      </c>
      <c r="E416" s="26">
        <v>272</v>
      </c>
      <c r="H416" s="27">
        <v>1.0999999999999999E-2</v>
      </c>
      <c r="I416" s="27">
        <v>6.2600000000000003E-2</v>
      </c>
      <c r="J416" s="27">
        <v>6.0199999999999997E-2</v>
      </c>
      <c r="K416" s="27">
        <v>0.25080000000000002</v>
      </c>
      <c r="M416" s="27">
        <v>0.18790000000000001</v>
      </c>
      <c r="N416" s="27">
        <v>0.55300000000000005</v>
      </c>
    </row>
    <row r="417" spans="1:17" s="26" customFormat="1">
      <c r="A417" s="26" t="s">
        <v>256</v>
      </c>
      <c r="B417" s="26" t="s">
        <v>209</v>
      </c>
      <c r="C417" s="26">
        <v>9</v>
      </c>
      <c r="D417" s="26" t="s">
        <v>212</v>
      </c>
      <c r="E417" s="26">
        <v>272</v>
      </c>
      <c r="F417" s="27">
        <v>0.22650000000000001</v>
      </c>
      <c r="H417" s="27">
        <v>0.1133</v>
      </c>
      <c r="I417" s="27">
        <v>0.1133</v>
      </c>
      <c r="J417" s="27">
        <v>9.3899999999999997E-2</v>
      </c>
      <c r="K417" s="27">
        <v>0.1133</v>
      </c>
      <c r="L417" s="27">
        <v>0.1133</v>
      </c>
      <c r="N417" s="27">
        <v>0.33979999999999999</v>
      </c>
      <c r="Q417" s="27">
        <v>0.1133</v>
      </c>
    </row>
    <row r="418" spans="1:17" s="26" customFormat="1">
      <c r="A418" s="26" t="s">
        <v>254</v>
      </c>
      <c r="B418" s="26" t="s">
        <v>209</v>
      </c>
      <c r="C418" s="26">
        <v>15</v>
      </c>
      <c r="D418" s="26" t="s">
        <v>211</v>
      </c>
      <c r="E418" s="26">
        <v>272</v>
      </c>
      <c r="F418" s="27">
        <v>7.3599999999999999E-2</v>
      </c>
      <c r="H418" s="27">
        <v>7.7700000000000005E-2</v>
      </c>
      <c r="I418" s="27">
        <v>7.3599999999999999E-2</v>
      </c>
      <c r="J418" s="27">
        <v>0.44569999999999999</v>
      </c>
      <c r="K418" s="27">
        <v>0.1731</v>
      </c>
      <c r="L418" s="27">
        <v>0.1472</v>
      </c>
      <c r="M418" s="27">
        <v>0.1668</v>
      </c>
      <c r="N418" s="27">
        <v>0.48709999999999998</v>
      </c>
    </row>
    <row r="419" spans="1:17" s="26" customFormat="1">
      <c r="A419" s="26" t="s">
        <v>253</v>
      </c>
      <c r="B419" s="26" t="s">
        <v>209</v>
      </c>
      <c r="C419" s="26">
        <v>2</v>
      </c>
      <c r="D419" s="26" t="s">
        <v>212</v>
      </c>
      <c r="E419" s="26">
        <v>272</v>
      </c>
      <c r="F419" s="27">
        <v>0.50980000000000003</v>
      </c>
      <c r="L419" s="27">
        <v>0.49020000000000002</v>
      </c>
      <c r="N419" s="27">
        <v>0.49020000000000002</v>
      </c>
    </row>
    <row r="420" spans="1:17" s="26" customFormat="1">
      <c r="A420" s="26" t="s">
        <v>254</v>
      </c>
      <c r="B420" s="26" t="s">
        <v>209</v>
      </c>
      <c r="C420" s="26">
        <v>8</v>
      </c>
      <c r="D420" s="26" t="s">
        <v>210</v>
      </c>
      <c r="E420" s="26">
        <v>272</v>
      </c>
      <c r="J420" s="27">
        <v>0.59850000000000003</v>
      </c>
      <c r="L420" s="27">
        <v>0.1338</v>
      </c>
      <c r="M420" s="27">
        <v>0.26769999999999999</v>
      </c>
    </row>
    <row r="421" spans="1:17" s="26" customFormat="1">
      <c r="A421" s="26" t="s">
        <v>257</v>
      </c>
      <c r="B421" s="26" t="s">
        <v>209</v>
      </c>
      <c r="C421" s="26">
        <v>2</v>
      </c>
      <c r="D421" s="26" t="s">
        <v>210</v>
      </c>
      <c r="E421" s="26">
        <v>272</v>
      </c>
      <c r="K421" s="27">
        <v>0.5</v>
      </c>
      <c r="L421" s="27">
        <v>0.5</v>
      </c>
      <c r="N421" s="27">
        <v>0.5</v>
      </c>
    </row>
    <row r="422" spans="1:17" s="26" customFormat="1">
      <c r="A422" s="26" t="s">
        <v>256</v>
      </c>
      <c r="B422" s="26" t="s">
        <v>209</v>
      </c>
      <c r="C422" s="26">
        <v>13</v>
      </c>
      <c r="D422" s="26" t="s">
        <v>210</v>
      </c>
      <c r="E422" s="26">
        <v>272</v>
      </c>
      <c r="F422" s="27">
        <v>9.1800000000000007E-2</v>
      </c>
      <c r="H422" s="27">
        <v>8.6699999999999999E-2</v>
      </c>
      <c r="I422" s="27">
        <v>0.1837</v>
      </c>
      <c r="J422" s="27">
        <v>0.4541</v>
      </c>
      <c r="N422" s="27">
        <v>0.1837</v>
      </c>
      <c r="Q422" s="27">
        <v>0.13519999999999999</v>
      </c>
    </row>
    <row r="423" spans="1:17" s="26" customFormat="1">
      <c r="A423" s="26" t="s">
        <v>256</v>
      </c>
      <c r="B423" s="26" t="s">
        <v>209</v>
      </c>
      <c r="C423" s="26">
        <v>11</v>
      </c>
      <c r="D423" s="26" t="s">
        <v>211</v>
      </c>
      <c r="E423" s="26">
        <v>272</v>
      </c>
      <c r="F423" s="27">
        <v>0.33069999999999999</v>
      </c>
      <c r="H423" s="27">
        <v>0.19789999999999999</v>
      </c>
      <c r="J423" s="27">
        <v>0.38800000000000001</v>
      </c>
      <c r="N423" s="27">
        <v>9.8900000000000002E-2</v>
      </c>
      <c r="Q423" s="27">
        <v>0.33069999999999999</v>
      </c>
    </row>
    <row r="424" spans="1:17" s="26" customFormat="1">
      <c r="A424" s="26" t="s">
        <v>253</v>
      </c>
      <c r="B424" s="26" t="s">
        <v>209</v>
      </c>
      <c r="C424" s="26">
        <v>3</v>
      </c>
      <c r="D424" s="26" t="s">
        <v>211</v>
      </c>
      <c r="E424" s="26">
        <v>272</v>
      </c>
      <c r="F424" s="27">
        <v>0.42520000000000002</v>
      </c>
      <c r="H424" s="27">
        <v>0.57479999999999998</v>
      </c>
      <c r="J424" s="27">
        <v>0.57479999999999998</v>
      </c>
      <c r="N424" s="27">
        <v>0.14960000000000001</v>
      </c>
    </row>
    <row r="425" spans="1:17" s="26" customFormat="1">
      <c r="A425" s="26" t="s">
        <v>257</v>
      </c>
      <c r="B425" s="26" t="s">
        <v>209</v>
      </c>
      <c r="C425" s="26">
        <v>6</v>
      </c>
      <c r="D425" s="26" t="s">
        <v>212</v>
      </c>
      <c r="E425" s="26">
        <v>272</v>
      </c>
      <c r="J425" s="27">
        <v>3.5000000000000003E-2</v>
      </c>
      <c r="K425" s="27">
        <v>0.1656</v>
      </c>
      <c r="L425" s="27">
        <v>0.3997</v>
      </c>
      <c r="M425" s="27">
        <v>0.3997</v>
      </c>
      <c r="N425" s="27">
        <v>0.1656</v>
      </c>
    </row>
    <row r="427" spans="1:17">
      <c r="A427" t="s">
        <v>281</v>
      </c>
    </row>
    <row r="428" spans="1:17">
      <c r="A428" t="s">
        <v>214</v>
      </c>
      <c r="B428" t="s">
        <v>189</v>
      </c>
      <c r="C428" t="s">
        <v>195</v>
      </c>
      <c r="D428" t="s">
        <v>190</v>
      </c>
      <c r="E428" t="s">
        <v>196</v>
      </c>
      <c r="F428" t="s">
        <v>270</v>
      </c>
      <c r="G428" t="s">
        <v>228</v>
      </c>
      <c r="H428" t="s">
        <v>271</v>
      </c>
      <c r="I428" t="s">
        <v>272</v>
      </c>
      <c r="J428" t="s">
        <v>273</v>
      </c>
      <c r="K428" t="s">
        <v>274</v>
      </c>
      <c r="L428" t="s">
        <v>275</v>
      </c>
      <c r="M428" t="s">
        <v>276</v>
      </c>
      <c r="N428" t="s">
        <v>277</v>
      </c>
      <c r="O428" t="s">
        <v>278</v>
      </c>
      <c r="P428" t="s">
        <v>223</v>
      </c>
      <c r="Q428" t="s">
        <v>279</v>
      </c>
    </row>
    <row r="429" spans="1:17">
      <c r="A429" t="s">
        <v>198</v>
      </c>
      <c r="B429" t="s">
        <v>197</v>
      </c>
      <c r="C429">
        <v>272</v>
      </c>
      <c r="D429" t="s">
        <v>198</v>
      </c>
      <c r="E429">
        <v>272</v>
      </c>
      <c r="F429" s="1">
        <v>8.3500000000000005E-2</v>
      </c>
      <c r="G429" s="1">
        <v>5.8999999999999999E-3</v>
      </c>
      <c r="H429" s="1">
        <v>2.7799999999999998E-2</v>
      </c>
      <c r="I429" s="1">
        <v>4.2000000000000003E-2</v>
      </c>
      <c r="J429" s="1">
        <v>0.27379999999999999</v>
      </c>
      <c r="K429" s="1">
        <v>0.23569999999999999</v>
      </c>
      <c r="L429" s="1">
        <v>0.13589999999999999</v>
      </c>
      <c r="M429" s="1">
        <v>9.6600000000000005E-2</v>
      </c>
      <c r="N429" s="1">
        <v>0.43590000000000001</v>
      </c>
      <c r="O429" s="1">
        <v>2.8999999999999998E-3</v>
      </c>
      <c r="P429" s="1">
        <v>7.6E-3</v>
      </c>
      <c r="Q429" s="1">
        <v>3.95E-2</v>
      </c>
    </row>
    <row r="430" spans="1:17" s="26" customFormat="1">
      <c r="A430" s="26" t="s">
        <v>259</v>
      </c>
      <c r="B430" s="26" t="s">
        <v>204</v>
      </c>
      <c r="C430" s="26">
        <v>18</v>
      </c>
      <c r="D430" s="26" t="s">
        <v>208</v>
      </c>
      <c r="E430" s="26">
        <v>272</v>
      </c>
      <c r="F430" s="27">
        <v>0.16669999999999999</v>
      </c>
      <c r="G430" s="27">
        <v>5.5599999999999997E-2</v>
      </c>
      <c r="J430" s="27">
        <v>0.16669999999999999</v>
      </c>
      <c r="K430" s="27">
        <v>0.33329999999999999</v>
      </c>
      <c r="L430" s="27">
        <v>0.27779999999999999</v>
      </c>
      <c r="N430" s="27">
        <v>0.44440000000000002</v>
      </c>
      <c r="Q430" s="27">
        <v>5.5599999999999997E-2</v>
      </c>
    </row>
    <row r="431" spans="1:17" s="26" customFormat="1">
      <c r="A431" s="26" t="s">
        <v>260</v>
      </c>
      <c r="B431" s="26" t="s">
        <v>204</v>
      </c>
      <c r="C431" s="26">
        <v>7</v>
      </c>
      <c r="D431" s="26" t="s">
        <v>205</v>
      </c>
      <c r="E431" s="26">
        <v>272</v>
      </c>
      <c r="G431" s="27">
        <v>5.1799999999999999E-2</v>
      </c>
      <c r="I431" s="27">
        <v>0.18060000000000001</v>
      </c>
      <c r="J431" s="27">
        <v>0.41299999999999998</v>
      </c>
      <c r="K431" s="27">
        <v>6.7799999999999999E-2</v>
      </c>
      <c r="L431" s="27">
        <v>0.2868</v>
      </c>
      <c r="N431" s="27">
        <v>0.18060000000000001</v>
      </c>
    </row>
    <row r="432" spans="1:17" s="26" customFormat="1">
      <c r="A432" s="26" t="s">
        <v>259</v>
      </c>
      <c r="B432" s="26" t="s">
        <v>204</v>
      </c>
      <c r="C432" s="26">
        <v>10</v>
      </c>
      <c r="D432" s="26" t="s">
        <v>205</v>
      </c>
      <c r="E432" s="26">
        <v>272</v>
      </c>
      <c r="J432" s="27">
        <v>0.49859999999999999</v>
      </c>
      <c r="K432" s="27">
        <v>0.13089999999999999</v>
      </c>
      <c r="M432" s="27">
        <v>0.3705</v>
      </c>
      <c r="N432" s="27">
        <v>0.2717</v>
      </c>
    </row>
    <row r="433" spans="1:17" s="26" customFormat="1">
      <c r="A433" s="26" t="s">
        <v>260</v>
      </c>
      <c r="B433" s="26" t="s">
        <v>204</v>
      </c>
      <c r="C433" s="26">
        <v>4</v>
      </c>
      <c r="D433" s="26" t="s">
        <v>206</v>
      </c>
      <c r="E433" s="26">
        <v>272</v>
      </c>
      <c r="J433" s="27">
        <v>0.20860000000000001</v>
      </c>
      <c r="L433" s="27">
        <v>0.20860000000000001</v>
      </c>
      <c r="M433" s="27">
        <v>0.5827</v>
      </c>
    </row>
    <row r="434" spans="1:17" s="26" customFormat="1">
      <c r="A434" s="26" t="s">
        <v>259</v>
      </c>
      <c r="B434" s="26" t="s">
        <v>204</v>
      </c>
      <c r="C434" s="26">
        <v>11</v>
      </c>
      <c r="D434" s="26" t="s">
        <v>206</v>
      </c>
      <c r="E434" s="26">
        <v>272</v>
      </c>
      <c r="G434" s="27">
        <v>9.8500000000000004E-2</v>
      </c>
      <c r="H434" s="27">
        <v>7.0599999999999996E-2</v>
      </c>
      <c r="J434" s="27">
        <v>0.2676</v>
      </c>
      <c r="K434" s="27">
        <v>0.1691</v>
      </c>
      <c r="L434" s="27">
        <v>7.0599999999999996E-2</v>
      </c>
      <c r="M434" s="27">
        <v>9.8500000000000004E-2</v>
      </c>
      <c r="N434" s="27">
        <v>9.8500000000000004E-2</v>
      </c>
      <c r="O434" s="27">
        <v>0.1971</v>
      </c>
    </row>
    <row r="435" spans="1:17" s="26" customFormat="1">
      <c r="A435" s="26" t="s">
        <v>260</v>
      </c>
      <c r="B435" s="26" t="s">
        <v>204</v>
      </c>
      <c r="C435" s="26">
        <v>14</v>
      </c>
      <c r="D435" s="26" t="s">
        <v>207</v>
      </c>
      <c r="E435" s="26">
        <v>272</v>
      </c>
      <c r="H435" s="27">
        <v>1.24E-2</v>
      </c>
      <c r="I435" s="27">
        <v>1.9199999999999998E-2</v>
      </c>
      <c r="J435" s="27">
        <v>0.53239999999999998</v>
      </c>
      <c r="K435" s="27">
        <v>3.1600000000000003E-2</v>
      </c>
      <c r="N435" s="27">
        <v>0.80410000000000004</v>
      </c>
      <c r="Q435" s="27">
        <v>4.1099999999999998E-2</v>
      </c>
    </row>
    <row r="436" spans="1:17" s="26" customFormat="1">
      <c r="A436" s="26" t="s">
        <v>259</v>
      </c>
      <c r="B436" s="26" t="s">
        <v>204</v>
      </c>
      <c r="C436" s="26">
        <v>24</v>
      </c>
      <c r="D436" s="26" t="s">
        <v>207</v>
      </c>
      <c r="E436" s="26">
        <v>272</v>
      </c>
      <c r="F436" s="27">
        <v>2.8999999999999998E-3</v>
      </c>
      <c r="J436" s="27">
        <v>0.34200000000000003</v>
      </c>
      <c r="K436" s="27">
        <v>0.59119999999999995</v>
      </c>
      <c r="L436" s="27">
        <v>0.17580000000000001</v>
      </c>
      <c r="M436" s="27">
        <v>2.0500000000000001E-2</v>
      </c>
      <c r="N436" s="27">
        <v>0.75609999999999999</v>
      </c>
      <c r="O436" s="27">
        <v>7.9000000000000008E-3</v>
      </c>
    </row>
    <row r="437" spans="1:17" s="26" customFormat="1">
      <c r="A437" s="26" t="s">
        <v>260</v>
      </c>
      <c r="B437" s="26" t="s">
        <v>204</v>
      </c>
      <c r="C437" s="26">
        <v>4</v>
      </c>
      <c r="D437" s="26" t="s">
        <v>208</v>
      </c>
      <c r="E437" s="26">
        <v>272</v>
      </c>
      <c r="I437" s="27">
        <v>0.25</v>
      </c>
      <c r="K437" s="27">
        <v>0.25</v>
      </c>
      <c r="M437" s="27">
        <v>0.25</v>
      </c>
      <c r="N437" s="27">
        <v>0.25</v>
      </c>
    </row>
    <row r="438" spans="1:17" s="26" customFormat="1">
      <c r="A438" s="26" t="s">
        <v>259</v>
      </c>
      <c r="B438" s="26" t="s">
        <v>199</v>
      </c>
      <c r="C438" s="26">
        <v>18</v>
      </c>
      <c r="D438" s="26" t="s">
        <v>203</v>
      </c>
      <c r="E438" s="26">
        <v>272</v>
      </c>
      <c r="F438" s="27">
        <v>1.41E-2</v>
      </c>
      <c r="H438" s="27">
        <v>4.02E-2</v>
      </c>
      <c r="J438" s="27">
        <v>0.55920000000000003</v>
      </c>
      <c r="K438" s="27">
        <v>3.6200000000000003E-2</v>
      </c>
      <c r="L438" s="27">
        <v>0.2596</v>
      </c>
      <c r="N438" s="27">
        <v>9.2600000000000002E-2</v>
      </c>
      <c r="Q438" s="27">
        <v>0.13089999999999999</v>
      </c>
    </row>
    <row r="439" spans="1:17" s="26" customFormat="1">
      <c r="A439" s="26" t="s">
        <v>260</v>
      </c>
      <c r="B439" s="26" t="s">
        <v>199</v>
      </c>
      <c r="C439" s="26">
        <v>12</v>
      </c>
      <c r="D439" s="26" t="s">
        <v>203</v>
      </c>
      <c r="E439" s="26">
        <v>272</v>
      </c>
      <c r="F439" s="27">
        <v>0.18479999999999999</v>
      </c>
      <c r="H439" s="27">
        <v>5.67E-2</v>
      </c>
      <c r="I439" s="27">
        <v>5.11E-2</v>
      </c>
      <c r="J439" s="27">
        <v>0.5595</v>
      </c>
      <c r="K439" s="27">
        <v>1.9900000000000001E-2</v>
      </c>
      <c r="N439" s="27">
        <v>1.9900000000000001E-2</v>
      </c>
      <c r="Q439" s="27">
        <v>0.20469999999999999</v>
      </c>
    </row>
    <row r="440" spans="1:17" s="26" customFormat="1">
      <c r="A440" s="26" t="s">
        <v>260</v>
      </c>
      <c r="B440" s="26" t="s">
        <v>199</v>
      </c>
      <c r="C440" s="26">
        <v>8</v>
      </c>
      <c r="D440" s="26" t="s">
        <v>202</v>
      </c>
      <c r="E440" s="26">
        <v>272</v>
      </c>
      <c r="F440" s="27">
        <v>0.13170000000000001</v>
      </c>
      <c r="J440" s="27">
        <v>0.13170000000000001</v>
      </c>
      <c r="K440" s="27">
        <v>0.48849999999999999</v>
      </c>
      <c r="M440" s="27">
        <v>0.1295</v>
      </c>
      <c r="N440" s="27">
        <v>0.1186</v>
      </c>
    </row>
    <row r="441" spans="1:17" s="26" customFormat="1">
      <c r="A441" s="26" t="s">
        <v>259</v>
      </c>
      <c r="B441" s="26" t="s">
        <v>199</v>
      </c>
      <c r="C441" s="26">
        <v>9</v>
      </c>
      <c r="D441" s="26" t="s">
        <v>202</v>
      </c>
      <c r="E441" s="26">
        <v>272</v>
      </c>
      <c r="F441" s="27">
        <v>0.1166</v>
      </c>
      <c r="J441" s="27">
        <v>0.28760000000000002</v>
      </c>
      <c r="K441" s="27">
        <v>0.1089</v>
      </c>
      <c r="L441" s="27">
        <v>0.22639999999999999</v>
      </c>
      <c r="N441" s="27">
        <v>0.31490000000000001</v>
      </c>
    </row>
    <row r="442" spans="1:17" s="26" customFormat="1">
      <c r="A442" s="26" t="s">
        <v>260</v>
      </c>
      <c r="B442" s="26" t="s">
        <v>199</v>
      </c>
      <c r="C442" s="26">
        <v>6</v>
      </c>
      <c r="D442" s="26" t="s">
        <v>200</v>
      </c>
      <c r="E442" s="26">
        <v>272</v>
      </c>
      <c r="F442" s="27">
        <v>0.44769999999999999</v>
      </c>
      <c r="H442" s="27">
        <v>0.50560000000000005</v>
      </c>
      <c r="J442" s="27">
        <v>0.97670000000000001</v>
      </c>
      <c r="K442" s="27">
        <v>0.51729999999999998</v>
      </c>
      <c r="N442" s="27">
        <v>1.17E-2</v>
      </c>
      <c r="Q442" s="27">
        <v>0.44769999999999999</v>
      </c>
    </row>
    <row r="443" spans="1:17" s="26" customFormat="1">
      <c r="A443" s="26" t="s">
        <v>259</v>
      </c>
      <c r="B443" s="26" t="s">
        <v>199</v>
      </c>
      <c r="C443" s="26">
        <v>17</v>
      </c>
      <c r="D443" s="26" t="s">
        <v>200</v>
      </c>
      <c r="E443" s="26">
        <v>272</v>
      </c>
      <c r="H443" s="27">
        <v>6.3299999999999995E-2</v>
      </c>
      <c r="J443" s="27">
        <v>0.71220000000000006</v>
      </c>
      <c r="K443" s="27">
        <v>6.4999999999999997E-3</v>
      </c>
      <c r="L443" s="27">
        <v>0.29580000000000001</v>
      </c>
      <c r="M443" s="27">
        <v>1.2999999999999999E-2</v>
      </c>
      <c r="N443" s="27">
        <v>0.39029999999999998</v>
      </c>
    </row>
    <row r="444" spans="1:17" s="26" customFormat="1">
      <c r="A444" s="26" t="s">
        <v>259</v>
      </c>
      <c r="B444" s="26" t="s">
        <v>199</v>
      </c>
      <c r="C444" s="26">
        <v>11</v>
      </c>
      <c r="D444" s="26" t="s">
        <v>201</v>
      </c>
      <c r="E444" s="26">
        <v>272</v>
      </c>
      <c r="F444" s="27">
        <v>0.18179999999999999</v>
      </c>
      <c r="I444" s="27">
        <v>9.0899999999999995E-2</v>
      </c>
      <c r="K444" s="27">
        <v>9.0899999999999995E-2</v>
      </c>
      <c r="L444" s="27">
        <v>0.2727</v>
      </c>
      <c r="M444" s="27">
        <v>9.0899999999999995E-2</v>
      </c>
      <c r="N444" s="27">
        <v>0.45450000000000002</v>
      </c>
      <c r="Q444" s="27">
        <v>9.0899999999999995E-2</v>
      </c>
    </row>
    <row r="445" spans="1:17" s="26" customFormat="1">
      <c r="A445" s="26" t="s">
        <v>260</v>
      </c>
      <c r="B445" s="26" t="s">
        <v>199</v>
      </c>
      <c r="C445" s="26">
        <v>9</v>
      </c>
      <c r="D445" s="26" t="s">
        <v>201</v>
      </c>
      <c r="E445" s="26">
        <v>272</v>
      </c>
      <c r="F445" s="27">
        <v>0.1111</v>
      </c>
      <c r="I445" s="27">
        <v>0.1111</v>
      </c>
      <c r="J445" s="27">
        <v>0.1111</v>
      </c>
      <c r="M445" s="27">
        <v>0.33329999999999999</v>
      </c>
      <c r="N445" s="27">
        <v>0.33329999999999999</v>
      </c>
      <c r="P445" s="27">
        <v>0.1111</v>
      </c>
    </row>
    <row r="446" spans="1:17" s="26" customFormat="1">
      <c r="A446" s="26" t="s">
        <v>260</v>
      </c>
      <c r="B446" s="26" t="s">
        <v>209</v>
      </c>
      <c r="C446" s="26">
        <v>7</v>
      </c>
      <c r="D446" s="26" t="s">
        <v>210</v>
      </c>
      <c r="E446" s="26">
        <v>272</v>
      </c>
      <c r="I446" s="27">
        <v>0.1545</v>
      </c>
      <c r="J446" s="27">
        <v>0.46350000000000002</v>
      </c>
      <c r="M446" s="27">
        <v>0.1545</v>
      </c>
      <c r="N446" s="27">
        <v>0.1545</v>
      </c>
      <c r="Q446" s="27">
        <v>0.22750000000000001</v>
      </c>
    </row>
    <row r="447" spans="1:17" s="26" customFormat="1">
      <c r="A447" s="26" t="s">
        <v>260</v>
      </c>
      <c r="B447" s="26" t="s">
        <v>209</v>
      </c>
      <c r="C447" s="26">
        <v>9</v>
      </c>
      <c r="D447" s="26" t="s">
        <v>211</v>
      </c>
      <c r="E447" s="26">
        <v>272</v>
      </c>
      <c r="F447" s="27">
        <v>0.23949999999999999</v>
      </c>
      <c r="H447" s="27">
        <v>4.2099999999999999E-2</v>
      </c>
      <c r="J447" s="27">
        <v>0.52110000000000001</v>
      </c>
      <c r="K447" s="27">
        <v>0.23949999999999999</v>
      </c>
      <c r="N447" s="27">
        <v>0.40129999999999999</v>
      </c>
      <c r="Q447" s="27">
        <v>0.1197</v>
      </c>
    </row>
    <row r="448" spans="1:17" s="26" customFormat="1">
      <c r="A448" s="26" t="s">
        <v>259</v>
      </c>
      <c r="B448" s="26" t="s">
        <v>209</v>
      </c>
      <c r="C448" s="26">
        <v>24</v>
      </c>
      <c r="D448" s="26" t="s">
        <v>211</v>
      </c>
      <c r="E448" s="26">
        <v>272</v>
      </c>
      <c r="F448" s="27">
        <v>0.1258</v>
      </c>
      <c r="H448" s="27">
        <v>0.1852</v>
      </c>
      <c r="I448" s="27">
        <v>5.3499999999999999E-2</v>
      </c>
      <c r="J448" s="27">
        <v>0.41789999999999999</v>
      </c>
      <c r="K448" s="27">
        <v>0.1258</v>
      </c>
      <c r="L448" s="27">
        <v>0.107</v>
      </c>
      <c r="M448" s="27">
        <v>0.17469999999999999</v>
      </c>
      <c r="N448" s="27">
        <v>0.28460000000000002</v>
      </c>
      <c r="Q448" s="27">
        <v>7.2300000000000003E-2</v>
      </c>
    </row>
    <row r="449" spans="1:17" s="26" customFormat="1">
      <c r="A449" s="26" t="s">
        <v>260</v>
      </c>
      <c r="B449" s="26" t="s">
        <v>209</v>
      </c>
      <c r="C449" s="26">
        <v>12</v>
      </c>
      <c r="D449" s="26" t="s">
        <v>212</v>
      </c>
      <c r="E449" s="26">
        <v>272</v>
      </c>
      <c r="F449" s="27">
        <v>8.5099999999999995E-2</v>
      </c>
      <c r="I449" s="27">
        <v>0.17019999999999999</v>
      </c>
      <c r="J449" s="27">
        <v>0.15240000000000001</v>
      </c>
      <c r="K449" s="27">
        <v>0.17019999999999999</v>
      </c>
      <c r="L449" s="27">
        <v>8.1799999999999998E-2</v>
      </c>
      <c r="M449" s="27">
        <v>0.25530000000000003</v>
      </c>
      <c r="N449" s="27">
        <v>0.33710000000000001</v>
      </c>
      <c r="Q449" s="27">
        <v>8.5099999999999995E-2</v>
      </c>
    </row>
    <row r="450" spans="1:17" s="26" customFormat="1">
      <c r="A450" s="26" t="s">
        <v>259</v>
      </c>
      <c r="B450" s="26" t="s">
        <v>209</v>
      </c>
      <c r="C450" s="26">
        <v>22</v>
      </c>
      <c r="D450" s="26" t="s">
        <v>212</v>
      </c>
      <c r="E450" s="26">
        <v>272</v>
      </c>
      <c r="F450" s="27">
        <v>0.1</v>
      </c>
      <c r="H450" s="27">
        <v>5.8700000000000002E-2</v>
      </c>
      <c r="J450" s="27">
        <v>8.8000000000000005E-3</v>
      </c>
      <c r="K450" s="27">
        <v>0.19159999999999999</v>
      </c>
      <c r="L450" s="27">
        <v>0.14990000000000001</v>
      </c>
      <c r="M450" s="27">
        <v>0.1</v>
      </c>
      <c r="N450" s="27">
        <v>0.48270000000000002</v>
      </c>
    </row>
    <row r="451" spans="1:17" s="26" customFormat="1">
      <c r="A451" s="26" t="s">
        <v>223</v>
      </c>
      <c r="B451" s="26" t="s">
        <v>209</v>
      </c>
      <c r="C451" s="26">
        <v>1</v>
      </c>
      <c r="D451" s="26" t="s">
        <v>210</v>
      </c>
      <c r="E451" s="26">
        <v>272</v>
      </c>
      <c r="J451" s="27">
        <v>1</v>
      </c>
    </row>
    <row r="452" spans="1:17" s="26" customFormat="1">
      <c r="A452" s="26" t="s">
        <v>259</v>
      </c>
      <c r="B452" s="26" t="s">
        <v>209</v>
      </c>
      <c r="C452" s="26">
        <v>15</v>
      </c>
      <c r="D452" s="26" t="s">
        <v>210</v>
      </c>
      <c r="E452" s="26">
        <v>272</v>
      </c>
      <c r="F452" s="27">
        <v>8.09E-2</v>
      </c>
      <c r="H452" s="27">
        <v>7.6399999999999996E-2</v>
      </c>
      <c r="I452" s="27">
        <v>8.09E-2</v>
      </c>
      <c r="J452" s="27">
        <v>0.48089999999999999</v>
      </c>
      <c r="K452" s="27">
        <v>3.8199999999999998E-2</v>
      </c>
      <c r="L452" s="27">
        <v>0.1191</v>
      </c>
      <c r="M452" s="27">
        <v>8.09E-2</v>
      </c>
      <c r="N452" s="27">
        <v>0.1191</v>
      </c>
    </row>
    <row r="454" spans="1:17">
      <c r="A454" t="s">
        <v>282</v>
      </c>
    </row>
    <row r="455" spans="1:17">
      <c r="A455" t="s">
        <v>214</v>
      </c>
      <c r="B455" t="s">
        <v>189</v>
      </c>
      <c r="C455" t="s">
        <v>195</v>
      </c>
      <c r="D455" t="s">
        <v>190</v>
      </c>
      <c r="E455" t="s">
        <v>196</v>
      </c>
      <c r="F455" t="s">
        <v>270</v>
      </c>
      <c r="G455" t="s">
        <v>228</v>
      </c>
      <c r="H455" t="s">
        <v>271</v>
      </c>
      <c r="I455" t="s">
        <v>272</v>
      </c>
      <c r="J455" t="s">
        <v>273</v>
      </c>
      <c r="K455" t="s">
        <v>274</v>
      </c>
      <c r="L455" t="s">
        <v>275</v>
      </c>
      <c r="M455" t="s">
        <v>276</v>
      </c>
      <c r="N455" t="s">
        <v>277</v>
      </c>
      <c r="O455" t="s">
        <v>278</v>
      </c>
      <c r="P455" t="s">
        <v>223</v>
      </c>
      <c r="Q455" t="s">
        <v>279</v>
      </c>
    </row>
    <row r="456" spans="1:17">
      <c r="A456" t="s">
        <v>198</v>
      </c>
      <c r="B456" t="s">
        <v>197</v>
      </c>
      <c r="C456">
        <v>272</v>
      </c>
      <c r="D456" t="s">
        <v>198</v>
      </c>
      <c r="E456">
        <v>272</v>
      </c>
      <c r="F456" s="1">
        <v>8.3500000000000005E-2</v>
      </c>
      <c r="G456" s="1">
        <v>5.8999999999999999E-3</v>
      </c>
      <c r="H456" s="1">
        <v>2.7799999999999998E-2</v>
      </c>
      <c r="I456" s="1">
        <v>4.2000000000000003E-2</v>
      </c>
      <c r="J456" s="1">
        <v>0.27379999999999999</v>
      </c>
      <c r="K456" s="1">
        <v>0.23569999999999999</v>
      </c>
      <c r="L456" s="1">
        <v>0.13589999999999999</v>
      </c>
      <c r="M456" s="1">
        <v>9.6600000000000005E-2</v>
      </c>
      <c r="N456" s="1">
        <v>0.43590000000000001</v>
      </c>
      <c r="O456" s="1">
        <v>2.8999999999999998E-3</v>
      </c>
      <c r="P456" s="1">
        <v>7.6E-3</v>
      </c>
      <c r="Q456" s="1">
        <v>3.95E-2</v>
      </c>
    </row>
    <row r="457" spans="1:17" s="26" customFormat="1">
      <c r="A457" s="26" t="s">
        <v>236</v>
      </c>
      <c r="B457" s="26" t="s">
        <v>204</v>
      </c>
      <c r="C457" s="26">
        <v>3</v>
      </c>
      <c r="D457" s="26" t="s">
        <v>208</v>
      </c>
      <c r="E457" s="26">
        <v>272</v>
      </c>
      <c r="F457" s="27">
        <v>0.33329999999999999</v>
      </c>
      <c r="K457" s="27">
        <v>0.33329999999999999</v>
      </c>
      <c r="L457" s="27">
        <v>0.33329999999999999</v>
      </c>
    </row>
    <row r="458" spans="1:17" s="26" customFormat="1">
      <c r="A458" s="26" t="s">
        <v>236</v>
      </c>
      <c r="B458" s="26" t="s">
        <v>204</v>
      </c>
      <c r="C458" s="26">
        <v>7</v>
      </c>
      <c r="D458" s="26" t="s">
        <v>205</v>
      </c>
      <c r="E458" s="26">
        <v>272</v>
      </c>
      <c r="I458" s="27">
        <v>0.20569999999999999</v>
      </c>
      <c r="J458" s="27">
        <v>0.79430000000000001</v>
      </c>
      <c r="N458" s="27">
        <v>0.41139999999999999</v>
      </c>
    </row>
    <row r="459" spans="1:17" s="26" customFormat="1">
      <c r="A459" s="26" t="s">
        <v>235</v>
      </c>
      <c r="B459" s="26" t="s">
        <v>204</v>
      </c>
      <c r="C459" s="26">
        <v>9</v>
      </c>
      <c r="D459" s="26" t="s">
        <v>205</v>
      </c>
      <c r="E459" s="26">
        <v>272</v>
      </c>
      <c r="G459" s="27">
        <v>5.2699999999999997E-2</v>
      </c>
      <c r="J459" s="27">
        <v>0.17419999999999999</v>
      </c>
      <c r="K459" s="27">
        <v>0.13769999999999999</v>
      </c>
      <c r="L459" s="27">
        <v>0.29139999999999999</v>
      </c>
      <c r="M459" s="27">
        <v>0.34410000000000002</v>
      </c>
      <c r="N459" s="27">
        <v>6.88E-2</v>
      </c>
    </row>
    <row r="460" spans="1:17" s="26" customFormat="1">
      <c r="A460" s="26" t="s">
        <v>236</v>
      </c>
      <c r="B460" s="26" t="s">
        <v>204</v>
      </c>
      <c r="C460" s="26">
        <v>5</v>
      </c>
      <c r="D460" s="26" t="s">
        <v>206</v>
      </c>
      <c r="E460" s="26">
        <v>272</v>
      </c>
      <c r="H460" s="27">
        <v>0.1726</v>
      </c>
      <c r="J460" s="27">
        <v>0.34520000000000001</v>
      </c>
      <c r="L460" s="27">
        <v>0.1726</v>
      </c>
      <c r="M460" s="27">
        <v>0.24110000000000001</v>
      </c>
      <c r="O460" s="27">
        <v>0.24110000000000001</v>
      </c>
    </row>
    <row r="461" spans="1:17" s="26" customFormat="1">
      <c r="A461" s="26" t="s">
        <v>235</v>
      </c>
      <c r="B461" s="26" t="s">
        <v>204</v>
      </c>
      <c r="C461" s="26">
        <v>9</v>
      </c>
      <c r="D461" s="26" t="s">
        <v>206</v>
      </c>
      <c r="E461" s="26">
        <v>272</v>
      </c>
      <c r="G461" s="27">
        <v>0.1147</v>
      </c>
      <c r="J461" s="27">
        <v>0.22950000000000001</v>
      </c>
      <c r="K461" s="27">
        <v>0.19689999999999999</v>
      </c>
      <c r="M461" s="27">
        <v>0.22950000000000001</v>
      </c>
      <c r="N461" s="27">
        <v>0.1147</v>
      </c>
      <c r="O461" s="27">
        <v>0.1147</v>
      </c>
    </row>
    <row r="462" spans="1:17" s="26" customFormat="1">
      <c r="A462" s="26" t="s">
        <v>236</v>
      </c>
      <c r="B462" s="26" t="s">
        <v>204</v>
      </c>
      <c r="C462" s="26">
        <v>26</v>
      </c>
      <c r="D462" s="26" t="s">
        <v>207</v>
      </c>
      <c r="E462" s="26">
        <v>272</v>
      </c>
      <c r="F462" s="27">
        <v>4.7999999999999996E-3</v>
      </c>
      <c r="H462" s="27">
        <v>7.9000000000000008E-3</v>
      </c>
      <c r="J462" s="27">
        <v>0.39240000000000003</v>
      </c>
      <c r="K462" s="27">
        <v>0.24840000000000001</v>
      </c>
      <c r="L462" s="27">
        <v>5.3199999999999997E-2</v>
      </c>
      <c r="M462" s="27">
        <v>3.4299999999999997E-2</v>
      </c>
      <c r="N462" s="27">
        <v>0.54400000000000004</v>
      </c>
      <c r="O462" s="27">
        <v>1.32E-2</v>
      </c>
      <c r="Q462" s="27">
        <v>1.32E-2</v>
      </c>
    </row>
    <row r="463" spans="1:17" s="26" customFormat="1">
      <c r="A463" s="26" t="s">
        <v>235</v>
      </c>
      <c r="B463" s="26" t="s">
        <v>204</v>
      </c>
      <c r="C463" s="26">
        <v>10</v>
      </c>
      <c r="D463" s="26" t="s">
        <v>207</v>
      </c>
      <c r="E463" s="26">
        <v>272</v>
      </c>
      <c r="I463" s="27">
        <v>9.5999999999999992E-3</v>
      </c>
      <c r="J463" s="27">
        <v>0.39450000000000002</v>
      </c>
      <c r="K463" s="27">
        <v>0.59119999999999995</v>
      </c>
      <c r="L463" s="27">
        <v>0.18709999999999999</v>
      </c>
      <c r="N463" s="27">
        <v>0.96060000000000001</v>
      </c>
    </row>
    <row r="464" spans="1:17" s="26" customFormat="1">
      <c r="A464" s="26" t="s">
        <v>235</v>
      </c>
      <c r="B464" s="26" t="s">
        <v>204</v>
      </c>
      <c r="C464" s="26">
        <v>19</v>
      </c>
      <c r="D464" s="26" t="s">
        <v>208</v>
      </c>
      <c r="E464" s="26">
        <v>272</v>
      </c>
      <c r="F464" s="27">
        <v>0.1053</v>
      </c>
      <c r="G464" s="27">
        <v>5.2600000000000001E-2</v>
      </c>
      <c r="I464" s="27">
        <v>5.2600000000000001E-2</v>
      </c>
      <c r="J464" s="27">
        <v>0.15790000000000001</v>
      </c>
      <c r="K464" s="27">
        <v>0.31580000000000003</v>
      </c>
      <c r="L464" s="27">
        <v>0.21049999999999999</v>
      </c>
      <c r="M464" s="27">
        <v>5.2600000000000001E-2</v>
      </c>
      <c r="N464" s="27">
        <v>0.47370000000000001</v>
      </c>
      <c r="Q464" s="27">
        <v>5.2600000000000001E-2</v>
      </c>
    </row>
    <row r="465" spans="1:17" s="26" customFormat="1">
      <c r="A465" s="26" t="s">
        <v>236</v>
      </c>
      <c r="B465" s="26" t="s">
        <v>199</v>
      </c>
      <c r="C465" s="26">
        <v>17</v>
      </c>
      <c r="D465" s="26" t="s">
        <v>203</v>
      </c>
      <c r="E465" s="26">
        <v>272</v>
      </c>
      <c r="F465" s="27">
        <v>1.95E-2</v>
      </c>
      <c r="H465" s="27">
        <v>0.111</v>
      </c>
      <c r="J465" s="27">
        <v>0.78029999999999999</v>
      </c>
      <c r="K465" s="27">
        <v>1.95E-2</v>
      </c>
      <c r="L465" s="27">
        <v>6.3899999999999998E-2</v>
      </c>
      <c r="N465" s="27">
        <v>1.95E-2</v>
      </c>
      <c r="Q465" s="27">
        <v>0.20019999999999999</v>
      </c>
    </row>
    <row r="466" spans="1:17" s="26" customFormat="1">
      <c r="A466" s="26" t="s">
        <v>235</v>
      </c>
      <c r="B466" s="26" t="s">
        <v>199</v>
      </c>
      <c r="C466" s="26">
        <v>13</v>
      </c>
      <c r="D466" s="26" t="s">
        <v>203</v>
      </c>
      <c r="E466" s="26">
        <v>272</v>
      </c>
      <c r="F466" s="27">
        <v>0.13300000000000001</v>
      </c>
      <c r="I466" s="27">
        <v>3.6799999999999999E-2</v>
      </c>
      <c r="J466" s="27">
        <v>0.39679999999999999</v>
      </c>
      <c r="K466" s="27">
        <v>3.6799999999999999E-2</v>
      </c>
      <c r="L466" s="27">
        <v>0.21679999999999999</v>
      </c>
      <c r="N466" s="27">
        <v>9.4E-2</v>
      </c>
      <c r="Q466" s="27">
        <v>0.13300000000000001</v>
      </c>
    </row>
    <row r="467" spans="1:17" s="26" customFormat="1">
      <c r="A467" s="26" t="s">
        <v>235</v>
      </c>
      <c r="B467" s="26" t="s">
        <v>199</v>
      </c>
      <c r="C467" s="26">
        <v>11</v>
      </c>
      <c r="D467" s="26" t="s">
        <v>202</v>
      </c>
      <c r="E467" s="26">
        <v>272</v>
      </c>
      <c r="F467" s="27">
        <v>0.1159</v>
      </c>
      <c r="J467" s="27">
        <v>0.15459999999999999</v>
      </c>
      <c r="K467" s="27">
        <v>0.18820000000000001</v>
      </c>
      <c r="L467" s="27">
        <v>0.114</v>
      </c>
      <c r="M467" s="27">
        <v>0.114</v>
      </c>
      <c r="N467" s="27">
        <v>0.31330000000000002</v>
      </c>
    </row>
    <row r="468" spans="1:17" s="26" customFormat="1">
      <c r="A468" s="26" t="s">
        <v>236</v>
      </c>
      <c r="B468" s="26" t="s">
        <v>199</v>
      </c>
      <c r="C468" s="26">
        <v>5</v>
      </c>
      <c r="D468" s="26" t="s">
        <v>200</v>
      </c>
      <c r="E468" s="26">
        <v>272</v>
      </c>
      <c r="H468" s="27">
        <v>0.94650000000000001</v>
      </c>
      <c r="J468" s="27">
        <v>0.80900000000000005</v>
      </c>
      <c r="K468" s="27">
        <v>0.77329999999999999</v>
      </c>
      <c r="M468" s="27">
        <v>1.78E-2</v>
      </c>
    </row>
    <row r="469" spans="1:17" s="26" customFormat="1">
      <c r="A469" s="26" t="s">
        <v>235</v>
      </c>
      <c r="B469" s="26" t="s">
        <v>199</v>
      </c>
      <c r="C469" s="26">
        <v>18</v>
      </c>
      <c r="D469" s="26" t="s">
        <v>200</v>
      </c>
      <c r="E469" s="26">
        <v>272</v>
      </c>
      <c r="F469" s="27">
        <v>0.20979999999999999</v>
      </c>
      <c r="J469" s="27">
        <v>0.80640000000000001</v>
      </c>
      <c r="K469" s="27">
        <v>1.09E-2</v>
      </c>
      <c r="L469" s="27">
        <v>0.24779999999999999</v>
      </c>
      <c r="M469" s="27">
        <v>5.4999999999999997E-3</v>
      </c>
      <c r="N469" s="27">
        <v>0.33250000000000002</v>
      </c>
      <c r="Q469" s="27">
        <v>0.20979999999999999</v>
      </c>
    </row>
    <row r="470" spans="1:17" s="26" customFormat="1">
      <c r="A470" s="26" t="s">
        <v>236</v>
      </c>
      <c r="B470" s="26" t="s">
        <v>199</v>
      </c>
      <c r="C470" s="26">
        <v>6</v>
      </c>
      <c r="D470" s="26" t="s">
        <v>202</v>
      </c>
      <c r="E470" s="26">
        <v>272</v>
      </c>
      <c r="F470" s="27">
        <v>0.14230000000000001</v>
      </c>
      <c r="J470" s="27">
        <v>0.2797</v>
      </c>
      <c r="K470" s="27">
        <v>0.57799999999999996</v>
      </c>
      <c r="L470" s="27">
        <v>6.6500000000000004E-2</v>
      </c>
    </row>
    <row r="471" spans="1:17" s="26" customFormat="1">
      <c r="A471" s="26" t="s">
        <v>235</v>
      </c>
      <c r="B471" s="26" t="s">
        <v>199</v>
      </c>
      <c r="C471" s="26">
        <v>20</v>
      </c>
      <c r="D471" s="26" t="s">
        <v>201</v>
      </c>
      <c r="E471" s="26">
        <v>272</v>
      </c>
      <c r="F471" s="27">
        <v>0.15</v>
      </c>
      <c r="I471" s="27">
        <v>0.1</v>
      </c>
      <c r="J471" s="27">
        <v>0.05</v>
      </c>
      <c r="K471" s="27">
        <v>0.05</v>
      </c>
      <c r="L471" s="27">
        <v>0.15</v>
      </c>
      <c r="M471" s="27">
        <v>0.2</v>
      </c>
      <c r="N471" s="27">
        <v>0.4</v>
      </c>
      <c r="P471" s="27">
        <v>0.05</v>
      </c>
      <c r="Q471" s="27">
        <v>0.05</v>
      </c>
    </row>
    <row r="472" spans="1:17" s="26" customFormat="1">
      <c r="A472" s="26" t="s">
        <v>236</v>
      </c>
      <c r="B472" s="26" t="s">
        <v>209</v>
      </c>
      <c r="C472" s="26">
        <v>15</v>
      </c>
      <c r="D472" s="26" t="s">
        <v>211</v>
      </c>
      <c r="E472" s="26">
        <v>272</v>
      </c>
      <c r="F472" s="27">
        <v>4.1300000000000003E-2</v>
      </c>
      <c r="H472" s="27">
        <v>0.44779999999999998</v>
      </c>
      <c r="J472" s="27">
        <v>0.84130000000000005</v>
      </c>
      <c r="K472" s="27">
        <v>4.1300000000000003E-2</v>
      </c>
      <c r="L472" s="27">
        <v>0.1174</v>
      </c>
      <c r="N472" s="27">
        <v>0.28260000000000002</v>
      </c>
      <c r="Q472" s="27">
        <v>0.15870000000000001</v>
      </c>
    </row>
    <row r="473" spans="1:17" s="26" customFormat="1">
      <c r="A473" s="26" t="s">
        <v>235</v>
      </c>
      <c r="B473" s="26" t="s">
        <v>209</v>
      </c>
      <c r="C473" s="26">
        <v>18</v>
      </c>
      <c r="D473" s="26" t="s">
        <v>211</v>
      </c>
      <c r="E473" s="26">
        <v>272</v>
      </c>
      <c r="F473" s="27">
        <v>0.21590000000000001</v>
      </c>
      <c r="I473" s="27">
        <v>5.3999999999999999E-2</v>
      </c>
      <c r="J473" s="27">
        <v>0.26979999999999998</v>
      </c>
      <c r="K473" s="27">
        <v>0.21590000000000001</v>
      </c>
      <c r="L473" s="27">
        <v>5.3999999999999999E-2</v>
      </c>
      <c r="M473" s="27">
        <v>0.1762</v>
      </c>
      <c r="N473" s="27">
        <v>0.33810000000000001</v>
      </c>
      <c r="Q473" s="27">
        <v>5.3999999999999999E-2</v>
      </c>
    </row>
    <row r="474" spans="1:17" s="26" customFormat="1">
      <c r="A474" s="26" t="s">
        <v>235</v>
      </c>
      <c r="B474" s="26" t="s">
        <v>209</v>
      </c>
      <c r="C474" s="26">
        <v>29</v>
      </c>
      <c r="D474" s="26" t="s">
        <v>212</v>
      </c>
      <c r="E474" s="26">
        <v>272</v>
      </c>
      <c r="F474" s="27">
        <v>0.10730000000000001</v>
      </c>
      <c r="H474" s="27">
        <v>4.2000000000000003E-2</v>
      </c>
      <c r="I474" s="27">
        <v>7.1499999999999994E-2</v>
      </c>
      <c r="K474" s="27">
        <v>0.1789</v>
      </c>
      <c r="L474" s="27">
        <v>0.14169999999999999</v>
      </c>
      <c r="M474" s="27">
        <v>0.17879999999999999</v>
      </c>
      <c r="N474" s="27">
        <v>0.42159999999999997</v>
      </c>
      <c r="Q474" s="27">
        <v>3.5799999999999998E-2</v>
      </c>
    </row>
    <row r="475" spans="1:17" s="26" customFormat="1">
      <c r="A475" s="26" t="s">
        <v>236</v>
      </c>
      <c r="B475" s="26" t="s">
        <v>209</v>
      </c>
      <c r="C475" s="26">
        <v>5</v>
      </c>
      <c r="D475" s="26" t="s">
        <v>212</v>
      </c>
      <c r="E475" s="26">
        <v>272</v>
      </c>
      <c r="J475" s="27">
        <v>0.51800000000000002</v>
      </c>
      <c r="K475" s="27">
        <v>0.21840000000000001</v>
      </c>
      <c r="N475" s="27">
        <v>0.48199999999999998</v>
      </c>
    </row>
    <row r="476" spans="1:17" s="26" customFormat="1">
      <c r="A476" s="26" t="s">
        <v>236</v>
      </c>
      <c r="B476" s="26" t="s">
        <v>209</v>
      </c>
      <c r="C476" s="26">
        <v>13</v>
      </c>
      <c r="D476" s="26" t="s">
        <v>210</v>
      </c>
      <c r="E476" s="26">
        <v>272</v>
      </c>
      <c r="H476" s="27">
        <v>9.6000000000000002E-2</v>
      </c>
      <c r="J476" s="27">
        <v>0.55079999999999996</v>
      </c>
      <c r="L476" s="27">
        <v>4.8000000000000001E-2</v>
      </c>
      <c r="M476" s="27">
        <v>0.2034</v>
      </c>
      <c r="N476" s="27">
        <v>0.1497</v>
      </c>
      <c r="Q476" s="27">
        <v>4.8000000000000001E-2</v>
      </c>
    </row>
    <row r="477" spans="1:17" s="26" customFormat="1">
      <c r="A477" s="26" t="s">
        <v>235</v>
      </c>
      <c r="B477" s="26" t="s">
        <v>209</v>
      </c>
      <c r="C477" s="26">
        <v>9</v>
      </c>
      <c r="D477" s="26" t="s">
        <v>210</v>
      </c>
      <c r="E477" s="26">
        <v>272</v>
      </c>
      <c r="F477" s="27">
        <v>0.11799999999999999</v>
      </c>
      <c r="I477" s="27">
        <v>0.2361</v>
      </c>
      <c r="J477" s="27">
        <v>0.35410000000000003</v>
      </c>
      <c r="K477" s="27">
        <v>5.57E-2</v>
      </c>
      <c r="L477" s="27">
        <v>0.11799999999999999</v>
      </c>
      <c r="N477" s="27">
        <v>0.11799999999999999</v>
      </c>
      <c r="Q477" s="27">
        <v>0.11799999999999999</v>
      </c>
    </row>
    <row r="479" spans="1:17">
      <c r="A479" t="s">
        <v>283</v>
      </c>
    </row>
    <row r="480" spans="1:17">
      <c r="A480" t="s">
        <v>189</v>
      </c>
      <c r="B480" t="s">
        <v>195</v>
      </c>
      <c r="C480" t="s">
        <v>190</v>
      </c>
      <c r="D480" t="s">
        <v>196</v>
      </c>
      <c r="E480" t="s">
        <v>284</v>
      </c>
      <c r="F480" t="s">
        <v>285</v>
      </c>
      <c r="G480" t="s">
        <v>286</v>
      </c>
    </row>
    <row r="481" spans="1:8">
      <c r="A481" t="s">
        <v>197</v>
      </c>
      <c r="B481">
        <v>95</v>
      </c>
      <c r="C481" t="s">
        <v>198</v>
      </c>
      <c r="D481">
        <v>95</v>
      </c>
      <c r="E481" s="1">
        <v>1.8200000000000001E-2</v>
      </c>
      <c r="F481" s="1">
        <v>0.94269999999999998</v>
      </c>
      <c r="G481" s="1">
        <v>3.9100000000000003E-2</v>
      </c>
    </row>
    <row r="482" spans="1:8" s="26" customFormat="1">
      <c r="A482" s="26" t="s">
        <v>204</v>
      </c>
      <c r="B482" s="26">
        <v>9</v>
      </c>
      <c r="C482" s="26" t="s">
        <v>205</v>
      </c>
      <c r="D482" s="26">
        <v>95</v>
      </c>
      <c r="F482" s="27">
        <v>1</v>
      </c>
    </row>
    <row r="483" spans="1:8" s="26" customFormat="1">
      <c r="A483" s="26" t="s">
        <v>204</v>
      </c>
      <c r="B483" s="26">
        <v>9</v>
      </c>
      <c r="C483" s="26" t="s">
        <v>206</v>
      </c>
      <c r="D483" s="26">
        <v>95</v>
      </c>
      <c r="F483" s="27">
        <v>1</v>
      </c>
    </row>
    <row r="484" spans="1:8" s="26" customFormat="1">
      <c r="A484" s="26" t="s">
        <v>204</v>
      </c>
      <c r="B484" s="26">
        <v>14</v>
      </c>
      <c r="C484" s="26" t="s">
        <v>207</v>
      </c>
      <c r="D484" s="26">
        <v>95</v>
      </c>
      <c r="F484" s="27">
        <v>1</v>
      </c>
    </row>
    <row r="485" spans="1:8" s="26" customFormat="1">
      <c r="A485" s="26" t="s">
        <v>204</v>
      </c>
      <c r="B485" s="26">
        <v>7</v>
      </c>
      <c r="C485" s="26" t="s">
        <v>208</v>
      </c>
      <c r="D485" s="26">
        <v>95</v>
      </c>
      <c r="F485" s="27">
        <v>1</v>
      </c>
    </row>
    <row r="486" spans="1:8" s="26" customFormat="1">
      <c r="A486" s="26" t="s">
        <v>199</v>
      </c>
      <c r="B486" s="26">
        <v>4</v>
      </c>
      <c r="C486" s="26" t="s">
        <v>200</v>
      </c>
      <c r="D486" s="26">
        <v>95</v>
      </c>
      <c r="E486" s="27">
        <v>0.57969999999999999</v>
      </c>
      <c r="F486" s="27">
        <v>0.42030000000000001</v>
      </c>
    </row>
    <row r="487" spans="1:8" s="26" customFormat="1">
      <c r="A487" s="26" t="s">
        <v>199</v>
      </c>
      <c r="B487" s="26">
        <v>10</v>
      </c>
      <c r="C487" s="26" t="s">
        <v>201</v>
      </c>
      <c r="D487" s="26">
        <v>95</v>
      </c>
      <c r="F487" s="27">
        <v>0.8</v>
      </c>
      <c r="G487" s="27">
        <v>0.2</v>
      </c>
    </row>
    <row r="488" spans="1:8" s="26" customFormat="1">
      <c r="A488" s="26" t="s">
        <v>199</v>
      </c>
      <c r="B488" s="26">
        <v>10</v>
      </c>
      <c r="C488" s="26" t="s">
        <v>202</v>
      </c>
      <c r="D488" s="26">
        <v>95</v>
      </c>
      <c r="F488" s="27">
        <v>1</v>
      </c>
    </row>
    <row r="489" spans="1:8" s="26" customFormat="1">
      <c r="A489" s="26" t="s">
        <v>199</v>
      </c>
      <c r="B489" s="26">
        <v>9</v>
      </c>
      <c r="C489" s="26" t="s">
        <v>203</v>
      </c>
      <c r="D489" s="26">
        <v>95</v>
      </c>
      <c r="F489" s="27">
        <v>1</v>
      </c>
    </row>
    <row r="490" spans="1:8" s="26" customFormat="1">
      <c r="A490" s="26" t="s">
        <v>209</v>
      </c>
      <c r="B490" s="26">
        <v>5</v>
      </c>
      <c r="C490" s="26" t="s">
        <v>210</v>
      </c>
      <c r="D490" s="26">
        <v>95</v>
      </c>
      <c r="F490" s="27">
        <v>1</v>
      </c>
    </row>
    <row r="491" spans="1:8" s="26" customFormat="1">
      <c r="A491" s="26" t="s">
        <v>209</v>
      </c>
      <c r="B491" s="26">
        <v>8</v>
      </c>
      <c r="C491" s="26" t="s">
        <v>211</v>
      </c>
      <c r="D491" s="26">
        <v>95</v>
      </c>
      <c r="F491" s="27">
        <v>1</v>
      </c>
    </row>
    <row r="492" spans="1:8" s="26" customFormat="1">
      <c r="A492" s="26" t="s">
        <v>209</v>
      </c>
      <c r="B492" s="26">
        <v>10</v>
      </c>
      <c r="C492" s="26" t="s">
        <v>212</v>
      </c>
      <c r="D492" s="26">
        <v>95</v>
      </c>
      <c r="F492" s="27">
        <v>1</v>
      </c>
    </row>
    <row r="494" spans="1:8">
      <c r="A494" t="s">
        <v>287</v>
      </c>
    </row>
    <row r="495" spans="1:8">
      <c r="A495" t="s">
        <v>189</v>
      </c>
      <c r="B495" t="s">
        <v>195</v>
      </c>
      <c r="C495" t="s">
        <v>190</v>
      </c>
      <c r="D495" t="s">
        <v>196</v>
      </c>
      <c r="E495" t="s">
        <v>228</v>
      </c>
      <c r="F495" t="s">
        <v>215</v>
      </c>
      <c r="G495" t="s">
        <v>223</v>
      </c>
      <c r="H495" t="s">
        <v>216</v>
      </c>
    </row>
    <row r="496" spans="1:8">
      <c r="A496" t="s">
        <v>197</v>
      </c>
      <c r="B496">
        <v>2754</v>
      </c>
      <c r="C496" t="s">
        <v>198</v>
      </c>
      <c r="D496">
        <v>2754</v>
      </c>
      <c r="E496" s="1">
        <v>2.8E-3</v>
      </c>
      <c r="F496" s="1">
        <v>0.58909999999999996</v>
      </c>
      <c r="G496" s="1">
        <v>6.9999999999999999E-4</v>
      </c>
      <c r="H496" s="1">
        <v>0.40739999999999998</v>
      </c>
    </row>
    <row r="497" spans="1:9">
      <c r="A497" t="s">
        <v>204</v>
      </c>
      <c r="B497">
        <v>250</v>
      </c>
      <c r="C497" t="s">
        <v>205</v>
      </c>
      <c r="D497">
        <v>2754</v>
      </c>
      <c r="F497" s="1">
        <v>0.62039999999999995</v>
      </c>
      <c r="H497" s="1">
        <v>0.37959999999999999</v>
      </c>
    </row>
    <row r="498" spans="1:9">
      <c r="A498" t="s">
        <v>204</v>
      </c>
      <c r="B498">
        <v>218</v>
      </c>
      <c r="C498" t="s">
        <v>206</v>
      </c>
      <c r="D498">
        <v>2754</v>
      </c>
      <c r="F498" s="1">
        <v>0.74919999999999998</v>
      </c>
      <c r="H498" s="1">
        <v>0.25080000000000002</v>
      </c>
    </row>
    <row r="499" spans="1:9">
      <c r="A499" t="s">
        <v>204</v>
      </c>
      <c r="B499">
        <v>375</v>
      </c>
      <c r="C499" t="s">
        <v>207</v>
      </c>
      <c r="D499">
        <v>2754</v>
      </c>
      <c r="E499" s="1">
        <v>1.2999999999999999E-3</v>
      </c>
      <c r="F499" s="1">
        <v>0.5716</v>
      </c>
      <c r="H499" s="1">
        <v>0.42709999999999998</v>
      </c>
    </row>
    <row r="500" spans="1:9">
      <c r="A500" t="s">
        <v>204</v>
      </c>
      <c r="B500">
        <v>196</v>
      </c>
      <c r="C500" t="s">
        <v>208</v>
      </c>
      <c r="D500">
        <v>2754</v>
      </c>
      <c r="F500" s="1">
        <v>0.55610000000000004</v>
      </c>
      <c r="H500" s="1">
        <v>0.44390000000000002</v>
      </c>
    </row>
    <row r="501" spans="1:9">
      <c r="A501" t="s">
        <v>199</v>
      </c>
      <c r="B501">
        <v>181</v>
      </c>
      <c r="C501" t="s">
        <v>200</v>
      </c>
      <c r="D501">
        <v>2754</v>
      </c>
      <c r="E501" s="1">
        <v>2.52E-2</v>
      </c>
      <c r="F501" s="1">
        <v>0.53259999999999996</v>
      </c>
      <c r="H501" s="1">
        <v>0.44219999999999998</v>
      </c>
    </row>
    <row r="502" spans="1:9">
      <c r="A502" t="s">
        <v>199</v>
      </c>
      <c r="B502">
        <v>267</v>
      </c>
      <c r="C502" t="s">
        <v>201</v>
      </c>
      <c r="D502">
        <v>2754</v>
      </c>
      <c r="F502" s="1">
        <v>0.58050000000000002</v>
      </c>
      <c r="G502" s="1">
        <v>3.7000000000000002E-3</v>
      </c>
      <c r="H502" s="1">
        <v>0.41570000000000001</v>
      </c>
    </row>
    <row r="503" spans="1:9">
      <c r="A503" t="s">
        <v>199</v>
      </c>
      <c r="B503">
        <v>289</v>
      </c>
      <c r="C503" t="s">
        <v>202</v>
      </c>
      <c r="D503">
        <v>2754</v>
      </c>
      <c r="E503" s="1">
        <v>7.6E-3</v>
      </c>
      <c r="F503" s="1">
        <v>0.56999999999999995</v>
      </c>
      <c r="H503" s="1">
        <v>0.4224</v>
      </c>
    </row>
    <row r="504" spans="1:9">
      <c r="A504" t="s">
        <v>199</v>
      </c>
      <c r="B504">
        <v>239</v>
      </c>
      <c r="C504" t="s">
        <v>203</v>
      </c>
      <c r="D504">
        <v>2754</v>
      </c>
      <c r="E504" s="1">
        <v>1.7600000000000001E-2</v>
      </c>
      <c r="F504" s="1">
        <v>0.67100000000000004</v>
      </c>
      <c r="H504" s="1">
        <v>0.31140000000000001</v>
      </c>
    </row>
    <row r="505" spans="1:9">
      <c r="A505" t="s">
        <v>209</v>
      </c>
      <c r="B505">
        <v>206</v>
      </c>
      <c r="C505" t="s">
        <v>210</v>
      </c>
      <c r="D505">
        <v>2754</v>
      </c>
      <c r="F505" s="1">
        <v>0.62670000000000003</v>
      </c>
      <c r="H505" s="1">
        <v>0.37330000000000002</v>
      </c>
    </row>
    <row r="506" spans="1:9">
      <c r="A506" t="s">
        <v>209</v>
      </c>
      <c r="B506">
        <v>283</v>
      </c>
      <c r="C506" t="s">
        <v>211</v>
      </c>
      <c r="D506">
        <v>2754</v>
      </c>
      <c r="F506" s="1">
        <v>0.65980000000000005</v>
      </c>
      <c r="H506" s="1">
        <v>0.3402</v>
      </c>
    </row>
    <row r="507" spans="1:9">
      <c r="A507" t="s">
        <v>209</v>
      </c>
      <c r="B507">
        <v>250</v>
      </c>
      <c r="C507" t="s">
        <v>212</v>
      </c>
      <c r="D507">
        <v>2754</v>
      </c>
      <c r="F507" s="1">
        <v>0.55279999999999996</v>
      </c>
      <c r="H507" s="1">
        <v>0.44719999999999999</v>
      </c>
    </row>
    <row r="509" spans="1:9">
      <c r="A509" t="s">
        <v>288</v>
      </c>
    </row>
    <row r="510" spans="1:9">
      <c r="A510" t="s">
        <v>214</v>
      </c>
      <c r="B510" t="s">
        <v>189</v>
      </c>
      <c r="C510" t="s">
        <v>195</v>
      </c>
      <c r="D510" t="s">
        <v>190</v>
      </c>
      <c r="E510" t="s">
        <v>196</v>
      </c>
      <c r="F510" t="s">
        <v>228</v>
      </c>
      <c r="G510" t="s">
        <v>215</v>
      </c>
      <c r="H510" t="s">
        <v>223</v>
      </c>
      <c r="I510" t="s">
        <v>216</v>
      </c>
    </row>
    <row r="511" spans="1:9">
      <c r="A511" t="s">
        <v>198</v>
      </c>
      <c r="B511" t="s">
        <v>197</v>
      </c>
      <c r="C511">
        <v>2754</v>
      </c>
      <c r="D511" t="s">
        <v>198</v>
      </c>
      <c r="E511">
        <v>2754</v>
      </c>
      <c r="F511" s="1">
        <v>2.8E-3</v>
      </c>
      <c r="G511" s="1">
        <v>0.58909999999999996</v>
      </c>
      <c r="H511" s="1">
        <v>6.9999999999999999E-4</v>
      </c>
      <c r="I511" s="1">
        <v>0.40739999999999998</v>
      </c>
    </row>
    <row r="512" spans="1:9" s="26" customFormat="1">
      <c r="A512" s="26" t="s">
        <v>289</v>
      </c>
      <c r="B512" s="26" t="s">
        <v>204</v>
      </c>
      <c r="C512" s="26">
        <v>7</v>
      </c>
      <c r="D512" s="26" t="s">
        <v>206</v>
      </c>
      <c r="E512" s="26">
        <v>2754</v>
      </c>
      <c r="G512" s="27">
        <v>0.61499999999999999</v>
      </c>
      <c r="I512" s="27">
        <v>0.38500000000000001</v>
      </c>
    </row>
    <row r="513" spans="1:9" s="26" customFormat="1">
      <c r="A513" s="26" t="s">
        <v>290</v>
      </c>
      <c r="B513" s="26" t="s">
        <v>204</v>
      </c>
      <c r="C513" s="26">
        <v>24</v>
      </c>
      <c r="D513" s="26" t="s">
        <v>206</v>
      </c>
      <c r="E513" s="26">
        <v>2754</v>
      </c>
      <c r="G513" s="27">
        <v>0.60429999999999995</v>
      </c>
      <c r="I513" s="27">
        <v>0.3957</v>
      </c>
    </row>
    <row r="514" spans="1:9" s="26" customFormat="1">
      <c r="A514" s="26" t="s">
        <v>291</v>
      </c>
      <c r="B514" s="26" t="s">
        <v>204</v>
      </c>
      <c r="C514" s="26">
        <v>18</v>
      </c>
      <c r="D514" s="26" t="s">
        <v>206</v>
      </c>
      <c r="E514" s="26">
        <v>2754</v>
      </c>
      <c r="G514" s="27">
        <v>0.86339999999999995</v>
      </c>
      <c r="I514" s="27">
        <v>0.1366</v>
      </c>
    </row>
    <row r="515" spans="1:9" s="26" customFormat="1">
      <c r="A515" s="26" t="s">
        <v>292</v>
      </c>
      <c r="B515" s="26" t="s">
        <v>204</v>
      </c>
      <c r="C515" s="26">
        <v>27</v>
      </c>
      <c r="D515" s="26" t="s">
        <v>206</v>
      </c>
      <c r="E515" s="26">
        <v>2754</v>
      </c>
      <c r="G515" s="27">
        <v>0.70550000000000002</v>
      </c>
      <c r="I515" s="27">
        <v>0.29449999999999998</v>
      </c>
    </row>
    <row r="516" spans="1:9" s="26" customFormat="1">
      <c r="A516" s="26" t="s">
        <v>253</v>
      </c>
      <c r="B516" s="26" t="s">
        <v>204</v>
      </c>
      <c r="C516" s="26">
        <v>22</v>
      </c>
      <c r="D516" s="26" t="s">
        <v>206</v>
      </c>
      <c r="E516" s="26">
        <v>2754</v>
      </c>
      <c r="G516" s="27">
        <v>0.61919999999999997</v>
      </c>
      <c r="I516" s="27">
        <v>0.38080000000000003</v>
      </c>
    </row>
    <row r="517" spans="1:9" s="26" customFormat="1">
      <c r="A517" s="26" t="s">
        <v>293</v>
      </c>
      <c r="B517" s="26" t="s">
        <v>204</v>
      </c>
      <c r="C517" s="26">
        <v>28</v>
      </c>
      <c r="D517" s="26" t="s">
        <v>206</v>
      </c>
      <c r="E517" s="26">
        <v>2754</v>
      </c>
      <c r="G517" s="27">
        <v>0.82530000000000003</v>
      </c>
      <c r="I517" s="27">
        <v>0.17469999999999999</v>
      </c>
    </row>
    <row r="518" spans="1:9" s="26" customFormat="1">
      <c r="A518" s="26" t="s">
        <v>294</v>
      </c>
      <c r="B518" s="26" t="s">
        <v>204</v>
      </c>
      <c r="C518" s="26">
        <v>24</v>
      </c>
      <c r="D518" s="26" t="s">
        <v>206</v>
      </c>
      <c r="E518" s="26">
        <v>2754</v>
      </c>
      <c r="G518" s="27">
        <v>0.9647</v>
      </c>
      <c r="I518" s="27">
        <v>3.5299999999999998E-2</v>
      </c>
    </row>
    <row r="519" spans="1:9" s="26" customFormat="1">
      <c r="A519" s="26" t="s">
        <v>295</v>
      </c>
      <c r="B519" s="26" t="s">
        <v>204</v>
      </c>
      <c r="C519" s="26">
        <v>18</v>
      </c>
      <c r="D519" s="26" t="s">
        <v>206</v>
      </c>
      <c r="E519" s="26">
        <v>2754</v>
      </c>
      <c r="G519" s="27">
        <v>0.66080000000000005</v>
      </c>
      <c r="I519" s="27">
        <v>0.3392</v>
      </c>
    </row>
    <row r="520" spans="1:9" s="26" customFormat="1">
      <c r="A520" s="26" t="s">
        <v>255</v>
      </c>
      <c r="B520" s="26" t="s">
        <v>204</v>
      </c>
      <c r="C520" s="26">
        <v>8</v>
      </c>
      <c r="D520" s="26" t="s">
        <v>206</v>
      </c>
      <c r="E520" s="26">
        <v>2754</v>
      </c>
      <c r="G520" s="27">
        <v>0.77759999999999996</v>
      </c>
      <c r="I520" s="27">
        <v>0.22239999999999999</v>
      </c>
    </row>
    <row r="521" spans="1:9" s="26" customFormat="1">
      <c r="A521" s="26" t="s">
        <v>296</v>
      </c>
      <c r="B521" s="26" t="s">
        <v>204</v>
      </c>
      <c r="C521" s="26">
        <v>20</v>
      </c>
      <c r="D521" s="26" t="s">
        <v>207</v>
      </c>
      <c r="E521" s="26">
        <v>2754</v>
      </c>
      <c r="G521" s="27">
        <v>0.81859999999999999</v>
      </c>
      <c r="I521" s="27">
        <v>0.18140000000000001</v>
      </c>
    </row>
    <row r="522" spans="1:9">
      <c r="A522" t="s">
        <v>294</v>
      </c>
      <c r="B522" t="s">
        <v>204</v>
      </c>
      <c r="C522">
        <v>38</v>
      </c>
      <c r="D522" t="s">
        <v>207</v>
      </c>
      <c r="E522">
        <v>2754</v>
      </c>
      <c r="G522" s="1">
        <v>0.5776</v>
      </c>
      <c r="I522" s="1">
        <v>0.4224</v>
      </c>
    </row>
    <row r="523" spans="1:9" s="26" customFormat="1">
      <c r="A523" s="26" t="s">
        <v>291</v>
      </c>
      <c r="B523" s="26" t="s">
        <v>204</v>
      </c>
      <c r="C523" s="26">
        <v>28</v>
      </c>
      <c r="D523" s="26" t="s">
        <v>207</v>
      </c>
      <c r="E523" s="26">
        <v>2754</v>
      </c>
      <c r="G523" s="27">
        <v>0.71240000000000003</v>
      </c>
      <c r="I523" s="27">
        <v>0.28760000000000002</v>
      </c>
    </row>
    <row r="524" spans="1:9" s="26" customFormat="1">
      <c r="A524" s="26" t="s">
        <v>297</v>
      </c>
      <c r="B524" s="26" t="s">
        <v>204</v>
      </c>
      <c r="C524" s="26">
        <v>27</v>
      </c>
      <c r="D524" s="26" t="s">
        <v>207</v>
      </c>
      <c r="E524" s="26">
        <v>2754</v>
      </c>
      <c r="G524" s="27">
        <v>0.3952</v>
      </c>
      <c r="I524" s="27">
        <v>0.6048</v>
      </c>
    </row>
    <row r="525" spans="1:9" s="26" customFormat="1">
      <c r="A525" s="26" t="s">
        <v>293</v>
      </c>
      <c r="B525" s="26" t="s">
        <v>204</v>
      </c>
      <c r="C525" s="26">
        <v>29</v>
      </c>
      <c r="D525" s="26" t="s">
        <v>207</v>
      </c>
      <c r="E525" s="26">
        <v>2754</v>
      </c>
      <c r="G525" s="27">
        <v>0.61990000000000001</v>
      </c>
      <c r="I525" s="27">
        <v>0.38009999999999999</v>
      </c>
    </row>
    <row r="526" spans="1:9" s="26" customFormat="1">
      <c r="A526" s="26" t="s">
        <v>295</v>
      </c>
      <c r="B526" s="26" t="s">
        <v>204</v>
      </c>
      <c r="C526" s="26">
        <v>28</v>
      </c>
      <c r="D526" s="26" t="s">
        <v>207</v>
      </c>
      <c r="E526" s="26">
        <v>2754</v>
      </c>
      <c r="G526" s="27">
        <v>0.75449999999999995</v>
      </c>
      <c r="I526" s="27">
        <v>0.2455</v>
      </c>
    </row>
    <row r="527" spans="1:9" s="26" customFormat="1">
      <c r="A527" s="26" t="s">
        <v>292</v>
      </c>
      <c r="B527" s="26" t="s">
        <v>204</v>
      </c>
      <c r="C527" s="26">
        <v>27</v>
      </c>
      <c r="D527" s="26" t="s">
        <v>207</v>
      </c>
      <c r="E527" s="26">
        <v>2754</v>
      </c>
      <c r="G527" s="27">
        <v>0.70089999999999997</v>
      </c>
      <c r="I527" s="27">
        <v>0.29909999999999998</v>
      </c>
    </row>
    <row r="528" spans="1:9" s="26" customFormat="1">
      <c r="A528" s="26" t="s">
        <v>255</v>
      </c>
      <c r="B528" s="26" t="s">
        <v>204</v>
      </c>
      <c r="C528" s="26">
        <v>17</v>
      </c>
      <c r="D528" s="26" t="s">
        <v>207</v>
      </c>
      <c r="E528" s="26">
        <v>2754</v>
      </c>
      <c r="G528" s="27">
        <v>1</v>
      </c>
    </row>
    <row r="529" spans="1:9" s="26" customFormat="1">
      <c r="A529" s="26" t="s">
        <v>290</v>
      </c>
      <c r="B529" s="26" t="s">
        <v>204</v>
      </c>
      <c r="C529" s="26">
        <v>26</v>
      </c>
      <c r="D529" s="26" t="s">
        <v>207</v>
      </c>
      <c r="E529" s="26">
        <v>2754</v>
      </c>
      <c r="G529" s="27">
        <v>0.6845</v>
      </c>
      <c r="I529" s="27">
        <v>0.3155</v>
      </c>
    </row>
    <row r="530" spans="1:9" s="26" customFormat="1">
      <c r="A530" s="26" t="s">
        <v>289</v>
      </c>
      <c r="B530" s="26" t="s">
        <v>204</v>
      </c>
      <c r="C530" s="26">
        <v>27</v>
      </c>
      <c r="D530" s="26" t="s">
        <v>207</v>
      </c>
      <c r="E530" s="26">
        <v>2754</v>
      </c>
      <c r="G530" s="27">
        <v>0.39169999999999999</v>
      </c>
      <c r="I530" s="27">
        <v>0.60829999999999995</v>
      </c>
    </row>
    <row r="531" spans="1:9">
      <c r="A531" t="s">
        <v>253</v>
      </c>
      <c r="B531" t="s">
        <v>204</v>
      </c>
      <c r="C531">
        <v>76</v>
      </c>
      <c r="D531" t="s">
        <v>207</v>
      </c>
      <c r="E531">
        <v>2754</v>
      </c>
      <c r="G531" s="1">
        <v>0.37759999999999999</v>
      </c>
      <c r="I531" s="1">
        <v>0.62239999999999995</v>
      </c>
    </row>
    <row r="532" spans="1:9" s="26" customFormat="1">
      <c r="A532" s="26" t="s">
        <v>298</v>
      </c>
      <c r="B532" s="26" t="s">
        <v>204</v>
      </c>
      <c r="C532" s="26">
        <v>14</v>
      </c>
      <c r="D532" s="26" t="s">
        <v>207</v>
      </c>
      <c r="E532" s="26">
        <v>2754</v>
      </c>
      <c r="F532" s="27">
        <v>3.1300000000000001E-2</v>
      </c>
      <c r="G532" s="27">
        <v>0.12509999999999999</v>
      </c>
      <c r="I532" s="27">
        <v>0.84360000000000002</v>
      </c>
    </row>
    <row r="533" spans="1:9" s="26" customFormat="1">
      <c r="A533" s="26" t="s">
        <v>299</v>
      </c>
      <c r="B533" s="26" t="s">
        <v>204</v>
      </c>
      <c r="C533" s="26">
        <v>18</v>
      </c>
      <c r="D533" s="26" t="s">
        <v>207</v>
      </c>
      <c r="E533" s="26">
        <v>2754</v>
      </c>
      <c r="G533" s="27">
        <v>0.71330000000000005</v>
      </c>
      <c r="I533" s="27">
        <v>0.28670000000000001</v>
      </c>
    </row>
    <row r="534" spans="1:9">
      <c r="A534" t="s">
        <v>253</v>
      </c>
      <c r="B534" t="s">
        <v>204</v>
      </c>
      <c r="C534">
        <v>34</v>
      </c>
      <c r="D534" t="s">
        <v>208</v>
      </c>
      <c r="E534">
        <v>2754</v>
      </c>
      <c r="G534" s="1">
        <v>0.38240000000000002</v>
      </c>
      <c r="I534" s="1">
        <v>0.61760000000000004</v>
      </c>
    </row>
    <row r="535" spans="1:9" s="26" customFormat="1">
      <c r="A535" s="26" t="s">
        <v>299</v>
      </c>
      <c r="B535" s="26" t="s">
        <v>204</v>
      </c>
      <c r="C535" s="26">
        <v>3</v>
      </c>
      <c r="D535" s="26" t="s">
        <v>206</v>
      </c>
      <c r="E535" s="26">
        <v>2754</v>
      </c>
      <c r="G535" s="27">
        <v>0.73640000000000005</v>
      </c>
      <c r="I535" s="27">
        <v>0.2636</v>
      </c>
    </row>
    <row r="536" spans="1:9" s="26" customFormat="1">
      <c r="A536" s="26" t="s">
        <v>296</v>
      </c>
      <c r="B536" s="26" t="s">
        <v>204</v>
      </c>
      <c r="C536" s="26">
        <v>9</v>
      </c>
      <c r="D536" s="26" t="s">
        <v>206</v>
      </c>
      <c r="E536" s="26">
        <v>2754</v>
      </c>
      <c r="G536" s="27">
        <v>0.78180000000000005</v>
      </c>
      <c r="I536" s="27">
        <v>0.21820000000000001</v>
      </c>
    </row>
    <row r="537" spans="1:9" s="26" customFormat="1">
      <c r="A537" s="26" t="s">
        <v>297</v>
      </c>
      <c r="B537" s="26" t="s">
        <v>204</v>
      </c>
      <c r="C537" s="26">
        <v>13</v>
      </c>
      <c r="D537" s="26" t="s">
        <v>206</v>
      </c>
      <c r="E537" s="26">
        <v>2754</v>
      </c>
      <c r="G537" s="27">
        <v>0.72809999999999997</v>
      </c>
      <c r="I537" s="27">
        <v>0.27189999999999998</v>
      </c>
    </row>
    <row r="538" spans="1:9" s="26" customFormat="1">
      <c r="A538" s="26" t="s">
        <v>293</v>
      </c>
      <c r="B538" s="26" t="s">
        <v>204</v>
      </c>
      <c r="C538" s="26">
        <v>19</v>
      </c>
      <c r="D538" s="26" t="s">
        <v>205</v>
      </c>
      <c r="E538" s="26">
        <v>2754</v>
      </c>
      <c r="G538" s="27">
        <v>0.65680000000000005</v>
      </c>
      <c r="I538" s="27">
        <v>0.34320000000000001</v>
      </c>
    </row>
    <row r="539" spans="1:9" s="26" customFormat="1">
      <c r="A539" s="26" t="s">
        <v>289</v>
      </c>
      <c r="B539" s="26" t="s">
        <v>204</v>
      </c>
      <c r="C539" s="26">
        <v>14</v>
      </c>
      <c r="D539" s="26" t="s">
        <v>208</v>
      </c>
      <c r="E539" s="26">
        <v>2754</v>
      </c>
      <c r="G539" s="27">
        <v>0.42859999999999998</v>
      </c>
      <c r="I539" s="27">
        <v>0.57140000000000002</v>
      </c>
    </row>
    <row r="540" spans="1:9" s="26" customFormat="1">
      <c r="A540" s="26" t="s">
        <v>298</v>
      </c>
      <c r="B540" s="26" t="s">
        <v>204</v>
      </c>
      <c r="C540" s="26">
        <v>17</v>
      </c>
      <c r="D540" s="26" t="s">
        <v>206</v>
      </c>
      <c r="E540" s="26">
        <v>2754</v>
      </c>
      <c r="G540" s="27">
        <v>0.77139999999999997</v>
      </c>
      <c r="I540" s="27">
        <v>0.2286</v>
      </c>
    </row>
    <row r="541" spans="1:9" s="26" customFormat="1">
      <c r="A541" s="26" t="s">
        <v>294</v>
      </c>
      <c r="B541" s="26" t="s">
        <v>204</v>
      </c>
      <c r="C541" s="26">
        <v>17</v>
      </c>
      <c r="D541" s="26" t="s">
        <v>208</v>
      </c>
      <c r="E541" s="26">
        <v>2754</v>
      </c>
      <c r="G541" s="27">
        <v>0.4118</v>
      </c>
      <c r="I541" s="27">
        <v>0.58819999999999995</v>
      </c>
    </row>
    <row r="542" spans="1:9" s="26" customFormat="1">
      <c r="A542" s="26" t="s">
        <v>297</v>
      </c>
      <c r="B542" s="26" t="s">
        <v>204</v>
      </c>
      <c r="C542" s="26">
        <v>12</v>
      </c>
      <c r="D542" s="26" t="s">
        <v>208</v>
      </c>
      <c r="E542" s="26">
        <v>2754</v>
      </c>
      <c r="G542" s="27">
        <v>0.41670000000000001</v>
      </c>
      <c r="I542" s="27">
        <v>0.58330000000000004</v>
      </c>
    </row>
    <row r="543" spans="1:9" s="26" customFormat="1">
      <c r="A543" s="26" t="s">
        <v>295</v>
      </c>
      <c r="B543" s="26" t="s">
        <v>204</v>
      </c>
      <c r="C543" s="26">
        <v>12</v>
      </c>
      <c r="D543" s="26" t="s">
        <v>208</v>
      </c>
      <c r="E543" s="26">
        <v>2754</v>
      </c>
      <c r="G543" s="27">
        <v>0.75</v>
      </c>
      <c r="I543" s="27">
        <v>0.25</v>
      </c>
    </row>
    <row r="544" spans="1:9" s="26" customFormat="1">
      <c r="A544" s="26" t="s">
        <v>292</v>
      </c>
      <c r="B544" s="26" t="s">
        <v>204</v>
      </c>
      <c r="C544" s="26">
        <v>14</v>
      </c>
      <c r="D544" s="26" t="s">
        <v>208</v>
      </c>
      <c r="E544" s="26">
        <v>2754</v>
      </c>
      <c r="G544" s="27">
        <v>0.71430000000000005</v>
      </c>
      <c r="I544" s="27">
        <v>0.28570000000000001</v>
      </c>
    </row>
    <row r="545" spans="1:9" s="26" customFormat="1">
      <c r="A545" s="26" t="s">
        <v>290</v>
      </c>
      <c r="B545" s="26" t="s">
        <v>204</v>
      </c>
      <c r="C545" s="26">
        <v>13</v>
      </c>
      <c r="D545" s="26" t="s">
        <v>208</v>
      </c>
      <c r="E545" s="26">
        <v>2754</v>
      </c>
      <c r="G545" s="27">
        <v>0.61539999999999995</v>
      </c>
      <c r="I545" s="27">
        <v>0.3846</v>
      </c>
    </row>
    <row r="546" spans="1:9" s="26" customFormat="1">
      <c r="A546" s="26" t="s">
        <v>296</v>
      </c>
      <c r="B546" s="26" t="s">
        <v>204</v>
      </c>
      <c r="C546" s="26">
        <v>14</v>
      </c>
      <c r="D546" s="26" t="s">
        <v>208</v>
      </c>
      <c r="E546" s="26">
        <v>2754</v>
      </c>
      <c r="G546" s="27">
        <v>0.57140000000000002</v>
      </c>
      <c r="I546" s="27">
        <v>0.42859999999999998</v>
      </c>
    </row>
    <row r="547" spans="1:9" s="26" customFormat="1">
      <c r="A547" s="26" t="s">
        <v>298</v>
      </c>
      <c r="B547" s="26" t="s">
        <v>204</v>
      </c>
      <c r="C547" s="26">
        <v>12</v>
      </c>
      <c r="D547" s="26" t="s">
        <v>208</v>
      </c>
      <c r="E547" s="26">
        <v>2754</v>
      </c>
      <c r="G547" s="27">
        <v>0.75</v>
      </c>
      <c r="I547" s="27">
        <v>0.25</v>
      </c>
    </row>
    <row r="548" spans="1:9" s="26" customFormat="1">
      <c r="A548" s="26" t="s">
        <v>255</v>
      </c>
      <c r="B548" s="26" t="s">
        <v>204</v>
      </c>
      <c r="C548" s="26">
        <v>10</v>
      </c>
      <c r="D548" s="26" t="s">
        <v>208</v>
      </c>
      <c r="E548" s="26">
        <v>2754</v>
      </c>
      <c r="G548" s="27">
        <v>0.7</v>
      </c>
      <c r="I548" s="27">
        <v>0.3</v>
      </c>
    </row>
    <row r="549" spans="1:9" s="26" customFormat="1">
      <c r="A549" s="26" t="s">
        <v>293</v>
      </c>
      <c r="B549" s="26" t="s">
        <v>204</v>
      </c>
      <c r="C549" s="26">
        <v>16</v>
      </c>
      <c r="D549" s="26" t="s">
        <v>208</v>
      </c>
      <c r="E549" s="26">
        <v>2754</v>
      </c>
      <c r="G549" s="27">
        <v>0.6875</v>
      </c>
      <c r="I549" s="27">
        <v>0.3125</v>
      </c>
    </row>
    <row r="550" spans="1:9" s="26" customFormat="1">
      <c r="A550" s="26" t="s">
        <v>291</v>
      </c>
      <c r="B550" s="26" t="s">
        <v>204</v>
      </c>
      <c r="C550" s="26">
        <v>14</v>
      </c>
      <c r="D550" s="26" t="s">
        <v>208</v>
      </c>
      <c r="E550" s="26">
        <v>2754</v>
      </c>
      <c r="G550" s="27">
        <v>0.71430000000000005</v>
      </c>
      <c r="I550" s="27">
        <v>0.28570000000000001</v>
      </c>
    </row>
    <row r="551" spans="1:9" s="26" customFormat="1">
      <c r="A551" s="26" t="s">
        <v>299</v>
      </c>
      <c r="B551" s="26" t="s">
        <v>204</v>
      </c>
      <c r="C551" s="26">
        <v>14</v>
      </c>
      <c r="D551" s="26" t="s">
        <v>208</v>
      </c>
      <c r="E551" s="26">
        <v>2754</v>
      </c>
      <c r="G551" s="27">
        <v>0.42859999999999998</v>
      </c>
      <c r="I551" s="27">
        <v>0.57140000000000002</v>
      </c>
    </row>
    <row r="552" spans="1:9">
      <c r="A552" t="s">
        <v>253</v>
      </c>
      <c r="B552" t="s">
        <v>204</v>
      </c>
      <c r="C552">
        <v>40</v>
      </c>
      <c r="D552" t="s">
        <v>205</v>
      </c>
      <c r="E552">
        <v>2754</v>
      </c>
      <c r="G552" s="1">
        <v>0.31109999999999999</v>
      </c>
      <c r="I552" s="1">
        <v>0.68889999999999996</v>
      </c>
    </row>
    <row r="553" spans="1:9" s="26" customFormat="1">
      <c r="A553" s="26" t="s">
        <v>291</v>
      </c>
      <c r="B553" s="26" t="s">
        <v>204</v>
      </c>
      <c r="C553" s="26">
        <v>14</v>
      </c>
      <c r="D553" s="26" t="s">
        <v>205</v>
      </c>
      <c r="E553" s="26">
        <v>2754</v>
      </c>
      <c r="G553" s="27">
        <v>0.81540000000000001</v>
      </c>
      <c r="I553" s="27">
        <v>0.18459999999999999</v>
      </c>
    </row>
    <row r="554" spans="1:9" s="26" customFormat="1">
      <c r="A554" s="26" t="s">
        <v>298</v>
      </c>
      <c r="B554" s="26" t="s">
        <v>204</v>
      </c>
      <c r="C554" s="26">
        <v>18</v>
      </c>
      <c r="D554" s="26" t="s">
        <v>205</v>
      </c>
      <c r="E554" s="26">
        <v>2754</v>
      </c>
      <c r="G554" s="27">
        <v>0.87709999999999999</v>
      </c>
      <c r="I554" s="27">
        <v>0.1229</v>
      </c>
    </row>
    <row r="555" spans="1:9" s="26" customFormat="1">
      <c r="A555" s="26" t="s">
        <v>290</v>
      </c>
      <c r="B555" s="26" t="s">
        <v>204</v>
      </c>
      <c r="C555" s="26">
        <v>19</v>
      </c>
      <c r="D555" s="26" t="s">
        <v>205</v>
      </c>
      <c r="E555" s="26">
        <v>2754</v>
      </c>
      <c r="G555" s="27">
        <v>0.65969999999999995</v>
      </c>
      <c r="I555" s="27">
        <v>0.34029999999999999</v>
      </c>
    </row>
    <row r="556" spans="1:9" s="26" customFormat="1">
      <c r="A556" s="26" t="s">
        <v>299</v>
      </c>
      <c r="B556" s="26" t="s">
        <v>204</v>
      </c>
      <c r="C556" s="26">
        <v>16</v>
      </c>
      <c r="D556" s="26" t="s">
        <v>205</v>
      </c>
      <c r="E556" s="26">
        <v>2754</v>
      </c>
      <c r="G556" s="27">
        <v>0.2525</v>
      </c>
      <c r="I556" s="27">
        <v>0.74750000000000005</v>
      </c>
    </row>
    <row r="557" spans="1:9" s="26" customFormat="1">
      <c r="A557" s="26" t="s">
        <v>289</v>
      </c>
      <c r="B557" s="26" t="s">
        <v>204</v>
      </c>
      <c r="C557" s="26">
        <v>15</v>
      </c>
      <c r="D557" s="26" t="s">
        <v>205</v>
      </c>
      <c r="E557" s="26">
        <v>2754</v>
      </c>
      <c r="G557" s="27">
        <v>0.3548</v>
      </c>
      <c r="I557" s="27">
        <v>0.6452</v>
      </c>
    </row>
    <row r="558" spans="1:9" s="26" customFormat="1">
      <c r="A558" s="26" t="s">
        <v>294</v>
      </c>
      <c r="B558" s="26" t="s">
        <v>204</v>
      </c>
      <c r="C558" s="26">
        <v>14</v>
      </c>
      <c r="D558" s="26" t="s">
        <v>205</v>
      </c>
      <c r="E558" s="26">
        <v>2754</v>
      </c>
      <c r="G558" s="27">
        <v>0.72199999999999998</v>
      </c>
      <c r="I558" s="27">
        <v>0.27800000000000002</v>
      </c>
    </row>
    <row r="559" spans="1:9" s="26" customFormat="1">
      <c r="A559" s="26" t="s">
        <v>255</v>
      </c>
      <c r="B559" s="26" t="s">
        <v>204</v>
      </c>
      <c r="C559" s="26">
        <v>13</v>
      </c>
      <c r="D559" s="26" t="s">
        <v>205</v>
      </c>
      <c r="E559" s="26">
        <v>2754</v>
      </c>
      <c r="G559" s="27">
        <v>0.66039999999999999</v>
      </c>
      <c r="I559" s="27">
        <v>0.33960000000000001</v>
      </c>
    </row>
    <row r="560" spans="1:9">
      <c r="A560" t="s">
        <v>292</v>
      </c>
      <c r="B560" t="s">
        <v>204</v>
      </c>
      <c r="C560">
        <v>35</v>
      </c>
      <c r="D560" t="s">
        <v>205</v>
      </c>
      <c r="E560">
        <v>2754</v>
      </c>
      <c r="G560" s="1">
        <v>0.79910000000000003</v>
      </c>
      <c r="I560" s="1">
        <v>0.2009</v>
      </c>
    </row>
    <row r="561" spans="1:9" s="26" customFormat="1">
      <c r="A561" s="26" t="s">
        <v>295</v>
      </c>
      <c r="B561" s="26" t="s">
        <v>204</v>
      </c>
      <c r="C561" s="26">
        <v>21</v>
      </c>
      <c r="D561" s="26" t="s">
        <v>205</v>
      </c>
      <c r="E561" s="26">
        <v>2754</v>
      </c>
      <c r="G561" s="27">
        <v>0.78359999999999996</v>
      </c>
      <c r="I561" s="27">
        <v>0.21640000000000001</v>
      </c>
    </row>
    <row r="562" spans="1:9" s="26" customFormat="1">
      <c r="A562" s="26" t="s">
        <v>296</v>
      </c>
      <c r="B562" s="26" t="s">
        <v>204</v>
      </c>
      <c r="C562" s="26">
        <v>10</v>
      </c>
      <c r="D562" s="26" t="s">
        <v>205</v>
      </c>
      <c r="E562" s="26">
        <v>2754</v>
      </c>
      <c r="G562" s="27">
        <v>0.88519999999999999</v>
      </c>
      <c r="I562" s="27">
        <v>0.1148</v>
      </c>
    </row>
    <row r="563" spans="1:9" s="26" customFormat="1">
      <c r="A563" s="26" t="s">
        <v>297</v>
      </c>
      <c r="B563" s="26" t="s">
        <v>204</v>
      </c>
      <c r="C563" s="26">
        <v>16</v>
      </c>
      <c r="D563" s="26" t="s">
        <v>205</v>
      </c>
      <c r="E563" s="26">
        <v>2754</v>
      </c>
      <c r="G563" s="27">
        <v>0.46479999999999999</v>
      </c>
      <c r="I563" s="27">
        <v>0.53520000000000001</v>
      </c>
    </row>
    <row r="564" spans="1:9" s="26" customFormat="1">
      <c r="A564" s="26" t="s">
        <v>299</v>
      </c>
      <c r="B564" s="26" t="s">
        <v>199</v>
      </c>
      <c r="C564" s="26">
        <v>15</v>
      </c>
      <c r="D564" s="26" t="s">
        <v>202</v>
      </c>
      <c r="E564" s="26">
        <v>2754</v>
      </c>
      <c r="G564" s="27">
        <v>0.49320000000000003</v>
      </c>
      <c r="I564" s="27">
        <v>0.50680000000000003</v>
      </c>
    </row>
    <row r="565" spans="1:9" s="26" customFormat="1">
      <c r="A565" s="26" t="s">
        <v>291</v>
      </c>
      <c r="B565" s="26" t="s">
        <v>199</v>
      </c>
      <c r="C565" s="26">
        <v>19</v>
      </c>
      <c r="D565" s="26" t="s">
        <v>202</v>
      </c>
      <c r="E565" s="26">
        <v>2754</v>
      </c>
      <c r="G565" s="27">
        <v>0.57850000000000001</v>
      </c>
      <c r="I565" s="27">
        <v>0.42149999999999999</v>
      </c>
    </row>
    <row r="566" spans="1:9" s="26" customFormat="1">
      <c r="A566" s="26" t="s">
        <v>292</v>
      </c>
      <c r="B566" s="26" t="s">
        <v>199</v>
      </c>
      <c r="C566" s="26">
        <v>26</v>
      </c>
      <c r="D566" s="26" t="s">
        <v>202</v>
      </c>
      <c r="E566" s="26">
        <v>2754</v>
      </c>
      <c r="G566" s="27">
        <v>0.76100000000000001</v>
      </c>
      <c r="I566" s="27">
        <v>0.23899999999999999</v>
      </c>
    </row>
    <row r="567" spans="1:9" s="26" customFormat="1">
      <c r="A567" s="26" t="s">
        <v>289</v>
      </c>
      <c r="B567" s="26" t="s">
        <v>199</v>
      </c>
      <c r="C567" s="26">
        <v>12</v>
      </c>
      <c r="D567" s="26" t="s">
        <v>202</v>
      </c>
      <c r="E567" s="26">
        <v>2754</v>
      </c>
      <c r="G567" s="27">
        <v>0.80640000000000001</v>
      </c>
      <c r="I567" s="27">
        <v>0.19359999999999999</v>
      </c>
    </row>
    <row r="568" spans="1:9" s="26" customFormat="1">
      <c r="A568" s="26" t="s">
        <v>255</v>
      </c>
      <c r="B568" s="26" t="s">
        <v>199</v>
      </c>
      <c r="C568" s="26">
        <v>15</v>
      </c>
      <c r="D568" s="26" t="s">
        <v>202</v>
      </c>
      <c r="E568" s="26">
        <v>2754</v>
      </c>
      <c r="G568" s="27">
        <v>0.69359999999999999</v>
      </c>
      <c r="I568" s="27">
        <v>0.30640000000000001</v>
      </c>
    </row>
    <row r="569" spans="1:9" s="26" customFormat="1">
      <c r="A569" s="26" t="s">
        <v>290</v>
      </c>
      <c r="B569" s="26" t="s">
        <v>199</v>
      </c>
      <c r="C569" s="26">
        <v>22</v>
      </c>
      <c r="D569" s="26" t="s">
        <v>202</v>
      </c>
      <c r="E569" s="26">
        <v>2754</v>
      </c>
      <c r="F569" s="27">
        <v>3.8100000000000002E-2</v>
      </c>
      <c r="G569" s="27">
        <v>0.83079999999999998</v>
      </c>
      <c r="I569" s="27">
        <v>0.13109999999999999</v>
      </c>
    </row>
    <row r="570" spans="1:9" s="26" customFormat="1">
      <c r="A570" s="26" t="s">
        <v>298</v>
      </c>
      <c r="B570" s="26" t="s">
        <v>199</v>
      </c>
      <c r="C570" s="26">
        <v>22</v>
      </c>
      <c r="D570" s="26" t="s">
        <v>202</v>
      </c>
      <c r="E570" s="26">
        <v>2754</v>
      </c>
      <c r="G570" s="27">
        <v>0.67479999999999996</v>
      </c>
      <c r="I570" s="27">
        <v>0.32519999999999999</v>
      </c>
    </row>
    <row r="571" spans="1:9" s="26" customFormat="1">
      <c r="A571" s="26" t="s">
        <v>294</v>
      </c>
      <c r="B571" s="26" t="s">
        <v>199</v>
      </c>
      <c r="C571" s="26">
        <v>20</v>
      </c>
      <c r="D571" s="26" t="s">
        <v>202</v>
      </c>
      <c r="E571" s="26">
        <v>2754</v>
      </c>
      <c r="G571" s="27">
        <v>0.31480000000000002</v>
      </c>
      <c r="I571" s="27">
        <v>0.68520000000000003</v>
      </c>
    </row>
    <row r="572" spans="1:9" s="26" customFormat="1">
      <c r="A572" s="26" t="s">
        <v>296</v>
      </c>
      <c r="B572" s="26" t="s">
        <v>199</v>
      </c>
      <c r="C572" s="26">
        <v>18</v>
      </c>
      <c r="D572" s="26" t="s">
        <v>202</v>
      </c>
      <c r="E572" s="26">
        <v>2754</v>
      </c>
      <c r="G572" s="27">
        <v>0.95220000000000005</v>
      </c>
      <c r="I572" s="27">
        <v>4.7800000000000002E-2</v>
      </c>
    </row>
    <row r="573" spans="1:9">
      <c r="A573" t="s">
        <v>253</v>
      </c>
      <c r="B573" t="s">
        <v>199</v>
      </c>
      <c r="C573">
        <v>60</v>
      </c>
      <c r="D573" t="s">
        <v>202</v>
      </c>
      <c r="E573">
        <v>2754</v>
      </c>
      <c r="G573" s="1">
        <v>0.30869999999999997</v>
      </c>
      <c r="I573" s="1">
        <v>0.69130000000000003</v>
      </c>
    </row>
    <row r="574" spans="1:9">
      <c r="A574" t="s">
        <v>253</v>
      </c>
      <c r="B574" t="s">
        <v>199</v>
      </c>
      <c r="C574">
        <v>38</v>
      </c>
      <c r="D574" t="s">
        <v>203</v>
      </c>
      <c r="E574">
        <v>2754</v>
      </c>
      <c r="F574" s="1">
        <v>6.3200000000000006E-2</v>
      </c>
      <c r="G574" s="1">
        <v>0.55679999999999996</v>
      </c>
      <c r="I574" s="1">
        <v>0.37990000000000002</v>
      </c>
    </row>
    <row r="575" spans="1:9" s="26" customFormat="1">
      <c r="A575" s="26" t="s">
        <v>298</v>
      </c>
      <c r="B575" s="26" t="s">
        <v>199</v>
      </c>
      <c r="C575" s="26">
        <v>17</v>
      </c>
      <c r="D575" s="26" t="s">
        <v>203</v>
      </c>
      <c r="E575" s="26">
        <v>2754</v>
      </c>
      <c r="G575" s="27">
        <v>0.90600000000000003</v>
      </c>
      <c r="I575" s="27">
        <v>9.4E-2</v>
      </c>
    </row>
    <row r="576" spans="1:9" s="26" customFormat="1">
      <c r="A576" s="26" t="s">
        <v>292</v>
      </c>
      <c r="B576" s="26" t="s">
        <v>199</v>
      </c>
      <c r="C576" s="26">
        <v>21</v>
      </c>
      <c r="D576" s="26" t="s">
        <v>203</v>
      </c>
      <c r="E576" s="26">
        <v>2754</v>
      </c>
      <c r="G576" s="27">
        <v>0.7399</v>
      </c>
      <c r="I576" s="27">
        <v>0.2601</v>
      </c>
    </row>
    <row r="577" spans="1:9" s="26" customFormat="1">
      <c r="A577" s="26" t="s">
        <v>296</v>
      </c>
      <c r="B577" s="26" t="s">
        <v>199</v>
      </c>
      <c r="C577" s="26">
        <v>9</v>
      </c>
      <c r="D577" s="26" t="s">
        <v>203</v>
      </c>
      <c r="E577" s="26">
        <v>2754</v>
      </c>
      <c r="G577" s="27">
        <v>0.46379999999999999</v>
      </c>
      <c r="I577" s="27">
        <v>0.53620000000000001</v>
      </c>
    </row>
    <row r="578" spans="1:9" s="26" customFormat="1">
      <c r="A578" s="26" t="s">
        <v>294</v>
      </c>
      <c r="B578" s="26" t="s">
        <v>199</v>
      </c>
      <c r="C578" s="26">
        <v>25</v>
      </c>
      <c r="D578" s="26" t="s">
        <v>203</v>
      </c>
      <c r="E578" s="26">
        <v>2754</v>
      </c>
      <c r="G578" s="27">
        <v>0.67110000000000003</v>
      </c>
      <c r="I578" s="27">
        <v>0.32890000000000003</v>
      </c>
    </row>
    <row r="579" spans="1:9" s="26" customFormat="1">
      <c r="A579" s="26" t="s">
        <v>291</v>
      </c>
      <c r="B579" s="26" t="s">
        <v>199</v>
      </c>
      <c r="C579" s="26">
        <v>17</v>
      </c>
      <c r="D579" s="26" t="s">
        <v>203</v>
      </c>
      <c r="E579" s="26">
        <v>2754</v>
      </c>
      <c r="G579" s="27">
        <v>0.59279999999999999</v>
      </c>
      <c r="I579" s="27">
        <v>0.40720000000000001</v>
      </c>
    </row>
    <row r="580" spans="1:9" s="26" customFormat="1">
      <c r="A580" s="26" t="s">
        <v>297</v>
      </c>
      <c r="B580" s="26" t="s">
        <v>199</v>
      </c>
      <c r="C580" s="26">
        <v>9</v>
      </c>
      <c r="D580" s="26" t="s">
        <v>203</v>
      </c>
      <c r="E580" s="26">
        <v>2754</v>
      </c>
      <c r="G580" s="27">
        <v>0.68820000000000003</v>
      </c>
      <c r="I580" s="27">
        <v>0.31180000000000002</v>
      </c>
    </row>
    <row r="581" spans="1:9" s="26" customFormat="1">
      <c r="A581" s="26" t="s">
        <v>295</v>
      </c>
      <c r="B581" s="26" t="s">
        <v>199</v>
      </c>
      <c r="C581" s="26">
        <v>14</v>
      </c>
      <c r="D581" s="26" t="s">
        <v>203</v>
      </c>
      <c r="E581" s="26">
        <v>2754</v>
      </c>
      <c r="G581" s="27">
        <v>0.76049999999999995</v>
      </c>
      <c r="I581" s="27">
        <v>0.23949999999999999</v>
      </c>
    </row>
    <row r="582" spans="1:9" s="26" customFormat="1">
      <c r="A582" s="26" t="s">
        <v>293</v>
      </c>
      <c r="B582" s="26" t="s">
        <v>199</v>
      </c>
      <c r="C582" s="26">
        <v>28</v>
      </c>
      <c r="D582" s="26" t="s">
        <v>203</v>
      </c>
      <c r="E582" s="26">
        <v>2754</v>
      </c>
      <c r="F582" s="27">
        <v>5.9200000000000003E-2</v>
      </c>
      <c r="G582" s="27">
        <v>0.76500000000000001</v>
      </c>
      <c r="I582" s="27">
        <v>0.1757</v>
      </c>
    </row>
    <row r="583" spans="1:9" s="26" customFormat="1">
      <c r="A583" s="26" t="s">
        <v>290</v>
      </c>
      <c r="B583" s="26" t="s">
        <v>199</v>
      </c>
      <c r="C583" s="26">
        <v>26</v>
      </c>
      <c r="D583" s="26" t="s">
        <v>203</v>
      </c>
      <c r="E583" s="26">
        <v>2754</v>
      </c>
      <c r="G583" s="27">
        <v>0.61899999999999999</v>
      </c>
      <c r="I583" s="27">
        <v>0.38100000000000001</v>
      </c>
    </row>
    <row r="584" spans="1:9" s="26" customFormat="1">
      <c r="A584" s="26" t="s">
        <v>255</v>
      </c>
      <c r="B584" s="26" t="s">
        <v>199</v>
      </c>
      <c r="C584" s="26">
        <v>7</v>
      </c>
      <c r="D584" s="26" t="s">
        <v>203</v>
      </c>
      <c r="E584" s="26">
        <v>2754</v>
      </c>
      <c r="G584" s="27">
        <v>0.73960000000000004</v>
      </c>
      <c r="I584" s="27">
        <v>0.26040000000000002</v>
      </c>
    </row>
    <row r="585" spans="1:9" s="26" customFormat="1">
      <c r="A585" s="26" t="s">
        <v>299</v>
      </c>
      <c r="B585" s="26" t="s">
        <v>199</v>
      </c>
      <c r="C585" s="26">
        <v>17</v>
      </c>
      <c r="D585" s="26" t="s">
        <v>203</v>
      </c>
      <c r="E585" s="26">
        <v>2754</v>
      </c>
      <c r="G585" s="27">
        <v>0.65920000000000001</v>
      </c>
      <c r="I585" s="27">
        <v>0.34079999999999999</v>
      </c>
    </row>
    <row r="586" spans="1:9" s="26" customFormat="1">
      <c r="A586" s="26" t="s">
        <v>293</v>
      </c>
      <c r="B586" s="26" t="s">
        <v>199</v>
      </c>
      <c r="C586" s="26">
        <v>19</v>
      </c>
      <c r="D586" s="26" t="s">
        <v>202</v>
      </c>
      <c r="E586" s="26">
        <v>2754</v>
      </c>
      <c r="G586" s="27">
        <v>0.58840000000000003</v>
      </c>
      <c r="I586" s="27">
        <v>0.41160000000000002</v>
      </c>
    </row>
    <row r="587" spans="1:9" s="26" customFormat="1">
      <c r="A587" s="26" t="s">
        <v>289</v>
      </c>
      <c r="B587" s="26" t="s">
        <v>199</v>
      </c>
      <c r="C587" s="26">
        <v>11</v>
      </c>
      <c r="D587" s="26" t="s">
        <v>203</v>
      </c>
      <c r="E587" s="26">
        <v>2754</v>
      </c>
      <c r="G587" s="27">
        <v>0.45329999999999998</v>
      </c>
      <c r="I587" s="27">
        <v>0.54669999999999996</v>
      </c>
    </row>
    <row r="588" spans="1:9" s="26" customFormat="1">
      <c r="A588" s="26" t="s">
        <v>297</v>
      </c>
      <c r="B588" s="26" t="s">
        <v>199</v>
      </c>
      <c r="C588" s="26">
        <v>20</v>
      </c>
      <c r="D588" s="26" t="s">
        <v>202</v>
      </c>
      <c r="E588" s="26">
        <v>2754</v>
      </c>
      <c r="G588" s="27">
        <v>0.51990000000000003</v>
      </c>
      <c r="I588" s="27">
        <v>0.48010000000000003</v>
      </c>
    </row>
    <row r="589" spans="1:9" s="26" customFormat="1">
      <c r="A589" s="26" t="s">
        <v>290</v>
      </c>
      <c r="B589" s="26" t="s">
        <v>199</v>
      </c>
      <c r="C589" s="26">
        <v>7</v>
      </c>
      <c r="D589" s="26" t="s">
        <v>200</v>
      </c>
      <c r="E589" s="26">
        <v>2754</v>
      </c>
      <c r="G589" s="27">
        <v>0.98429999999999995</v>
      </c>
      <c r="I589" s="27">
        <v>1.5699999999999999E-2</v>
      </c>
    </row>
    <row r="590" spans="1:9" s="26" customFormat="1">
      <c r="A590" s="26" t="s">
        <v>255</v>
      </c>
      <c r="B590" s="26" t="s">
        <v>199</v>
      </c>
      <c r="C590" s="26">
        <v>13</v>
      </c>
      <c r="D590" s="26" t="s">
        <v>201</v>
      </c>
      <c r="E590" s="26">
        <v>2754</v>
      </c>
      <c r="G590" s="27">
        <v>0.46150000000000002</v>
      </c>
      <c r="I590" s="27">
        <v>0.53849999999999998</v>
      </c>
    </row>
    <row r="591" spans="1:9" s="26" customFormat="1">
      <c r="A591" s="26" t="s">
        <v>299</v>
      </c>
      <c r="B591" s="26" t="s">
        <v>199</v>
      </c>
      <c r="C591" s="26">
        <v>16</v>
      </c>
      <c r="D591" s="26" t="s">
        <v>200</v>
      </c>
      <c r="E591" s="26">
        <v>2754</v>
      </c>
      <c r="G591" s="27">
        <v>0.34920000000000001</v>
      </c>
      <c r="I591" s="27">
        <v>0.65080000000000005</v>
      </c>
    </row>
    <row r="592" spans="1:9" s="26" customFormat="1">
      <c r="A592" s="26" t="s">
        <v>294</v>
      </c>
      <c r="B592" s="26" t="s">
        <v>199</v>
      </c>
      <c r="C592" s="26">
        <v>7</v>
      </c>
      <c r="D592" s="26" t="s">
        <v>200</v>
      </c>
      <c r="E592" s="26">
        <v>2754</v>
      </c>
      <c r="G592" s="27">
        <v>0.7409</v>
      </c>
      <c r="I592" s="27">
        <v>0.2591</v>
      </c>
    </row>
    <row r="593" spans="1:9" s="26" customFormat="1">
      <c r="A593" s="26" t="s">
        <v>291</v>
      </c>
      <c r="B593" s="26" t="s">
        <v>199</v>
      </c>
      <c r="C593" s="26">
        <v>6</v>
      </c>
      <c r="D593" s="26" t="s">
        <v>200</v>
      </c>
      <c r="E593" s="26">
        <v>2754</v>
      </c>
      <c r="G593" s="27">
        <v>0.69389999999999996</v>
      </c>
      <c r="I593" s="27">
        <v>0.30609999999999998</v>
      </c>
    </row>
    <row r="594" spans="1:9" s="26" customFormat="1">
      <c r="A594" s="26" t="s">
        <v>298</v>
      </c>
      <c r="B594" s="26" t="s">
        <v>199</v>
      </c>
      <c r="C594" s="26">
        <v>3</v>
      </c>
      <c r="D594" s="26" t="s">
        <v>200</v>
      </c>
      <c r="E594" s="26">
        <v>2754</v>
      </c>
      <c r="G594" s="27">
        <v>4.41E-2</v>
      </c>
      <c r="I594" s="27">
        <v>0.95589999999999997</v>
      </c>
    </row>
    <row r="595" spans="1:9" s="26" customFormat="1">
      <c r="A595" s="26" t="s">
        <v>297</v>
      </c>
      <c r="B595" s="26" t="s">
        <v>199</v>
      </c>
      <c r="C595" s="26">
        <v>11</v>
      </c>
      <c r="D595" s="26" t="s">
        <v>200</v>
      </c>
      <c r="E595" s="26">
        <v>2754</v>
      </c>
      <c r="G595" s="27">
        <v>0.57040000000000002</v>
      </c>
      <c r="I595" s="27">
        <v>0.42959999999999998</v>
      </c>
    </row>
    <row r="596" spans="1:9" s="26" customFormat="1">
      <c r="A596" s="26" t="s">
        <v>295</v>
      </c>
      <c r="B596" s="26" t="s">
        <v>199</v>
      </c>
      <c r="C596" s="26">
        <v>21</v>
      </c>
      <c r="D596" s="26" t="s">
        <v>200</v>
      </c>
      <c r="E596" s="26">
        <v>2754</v>
      </c>
      <c r="F596" s="27">
        <v>0.16339999999999999</v>
      </c>
      <c r="G596" s="27">
        <v>0.62150000000000005</v>
      </c>
      <c r="I596" s="27">
        <v>0.21510000000000001</v>
      </c>
    </row>
    <row r="597" spans="1:9" s="26" customFormat="1">
      <c r="A597" s="26" t="s">
        <v>289</v>
      </c>
      <c r="B597" s="26" t="s">
        <v>199</v>
      </c>
      <c r="C597" s="26">
        <v>11</v>
      </c>
      <c r="D597" s="26" t="s">
        <v>200</v>
      </c>
      <c r="E597" s="26">
        <v>2754</v>
      </c>
      <c r="G597" s="27">
        <v>0.36359999999999998</v>
      </c>
      <c r="I597" s="27">
        <v>0.63639999999999997</v>
      </c>
    </row>
    <row r="598" spans="1:9" s="26" customFormat="1">
      <c r="A598" s="26" t="s">
        <v>255</v>
      </c>
      <c r="B598" s="26" t="s">
        <v>199</v>
      </c>
      <c r="C598" s="26">
        <v>12</v>
      </c>
      <c r="D598" s="26" t="s">
        <v>200</v>
      </c>
      <c r="E598" s="26">
        <v>2754</v>
      </c>
      <c r="G598" s="27">
        <v>0.7177</v>
      </c>
      <c r="I598" s="27">
        <v>0.2823</v>
      </c>
    </row>
    <row r="599" spans="1:9" s="26" customFormat="1">
      <c r="A599" s="26" t="s">
        <v>292</v>
      </c>
      <c r="B599" s="26" t="s">
        <v>199</v>
      </c>
      <c r="C599" s="26">
        <v>15</v>
      </c>
      <c r="D599" s="26" t="s">
        <v>200</v>
      </c>
      <c r="E599" s="26">
        <v>2754</v>
      </c>
      <c r="G599" s="27">
        <v>0.1716</v>
      </c>
      <c r="I599" s="27">
        <v>0.82840000000000003</v>
      </c>
    </row>
    <row r="600" spans="1:9">
      <c r="A600" t="s">
        <v>253</v>
      </c>
      <c r="B600" t="s">
        <v>199</v>
      </c>
      <c r="C600">
        <v>47</v>
      </c>
      <c r="D600" t="s">
        <v>200</v>
      </c>
      <c r="E600">
        <v>2754</v>
      </c>
      <c r="G600" s="1">
        <v>0.16569999999999999</v>
      </c>
      <c r="I600" s="1">
        <v>0.83430000000000004</v>
      </c>
    </row>
    <row r="601" spans="1:9" s="26" customFormat="1">
      <c r="A601" s="26" t="s">
        <v>293</v>
      </c>
      <c r="B601" s="26" t="s">
        <v>199</v>
      </c>
      <c r="C601" s="26">
        <v>22</v>
      </c>
      <c r="D601" s="26" t="s">
        <v>200</v>
      </c>
      <c r="E601" s="26">
        <v>2754</v>
      </c>
      <c r="G601" s="27">
        <v>0.78259999999999996</v>
      </c>
      <c r="I601" s="27">
        <v>0.21740000000000001</v>
      </c>
    </row>
    <row r="602" spans="1:9" s="26" customFormat="1">
      <c r="A602" s="26" t="s">
        <v>296</v>
      </c>
      <c r="B602" s="26" t="s">
        <v>199</v>
      </c>
      <c r="C602" s="26">
        <v>3</v>
      </c>
      <c r="D602" s="26" t="s">
        <v>200</v>
      </c>
      <c r="E602" s="26">
        <v>2754</v>
      </c>
      <c r="G602" s="27">
        <v>1</v>
      </c>
    </row>
    <row r="603" spans="1:9" s="26" customFormat="1">
      <c r="A603" s="26" t="s">
        <v>295</v>
      </c>
      <c r="B603" s="26" t="s">
        <v>199</v>
      </c>
      <c r="C603" s="26">
        <v>21</v>
      </c>
      <c r="D603" s="26" t="s">
        <v>202</v>
      </c>
      <c r="E603" s="26">
        <v>2754</v>
      </c>
      <c r="F603" s="27">
        <v>5.91E-2</v>
      </c>
      <c r="G603" s="27">
        <v>0.42170000000000002</v>
      </c>
      <c r="I603" s="27">
        <v>0.51919999999999999</v>
      </c>
    </row>
    <row r="604" spans="1:9" s="26" customFormat="1">
      <c r="A604" s="26" t="s">
        <v>289</v>
      </c>
      <c r="B604" s="26" t="s">
        <v>199</v>
      </c>
      <c r="C604" s="26">
        <v>8</v>
      </c>
      <c r="D604" s="26" t="s">
        <v>201</v>
      </c>
      <c r="E604" s="26">
        <v>2754</v>
      </c>
      <c r="G604" s="27">
        <v>0.5</v>
      </c>
      <c r="I604" s="27">
        <v>0.5</v>
      </c>
    </row>
    <row r="605" spans="1:9" s="26" customFormat="1">
      <c r="A605" s="26" t="s">
        <v>297</v>
      </c>
      <c r="B605" s="26" t="s">
        <v>199</v>
      </c>
      <c r="C605" s="26">
        <v>13</v>
      </c>
      <c r="D605" s="26" t="s">
        <v>201</v>
      </c>
      <c r="E605" s="26">
        <v>2754</v>
      </c>
      <c r="G605" s="27">
        <v>0.69230000000000003</v>
      </c>
      <c r="I605" s="27">
        <v>0.30769999999999997</v>
      </c>
    </row>
    <row r="606" spans="1:9" s="26" customFormat="1">
      <c r="A606" s="26" t="s">
        <v>294</v>
      </c>
      <c r="B606" s="26" t="s">
        <v>199</v>
      </c>
      <c r="C606" s="26">
        <v>19</v>
      </c>
      <c r="D606" s="26" t="s">
        <v>201</v>
      </c>
      <c r="E606" s="26">
        <v>2754</v>
      </c>
      <c r="G606" s="27">
        <v>0.31580000000000003</v>
      </c>
      <c r="I606" s="27">
        <v>0.68420000000000003</v>
      </c>
    </row>
    <row r="607" spans="1:9" s="26" customFormat="1">
      <c r="A607" s="26" t="s">
        <v>298</v>
      </c>
      <c r="B607" s="26" t="s">
        <v>199</v>
      </c>
      <c r="C607" s="26">
        <v>17</v>
      </c>
      <c r="D607" s="26" t="s">
        <v>201</v>
      </c>
      <c r="E607" s="26">
        <v>2754</v>
      </c>
      <c r="G607" s="27">
        <v>0.70589999999999997</v>
      </c>
      <c r="I607" s="27">
        <v>0.29409999999999997</v>
      </c>
    </row>
    <row r="608" spans="1:9">
      <c r="A608" t="s">
        <v>290</v>
      </c>
      <c r="B608" t="s">
        <v>199</v>
      </c>
      <c r="C608">
        <v>32</v>
      </c>
      <c r="D608" t="s">
        <v>201</v>
      </c>
      <c r="E608">
        <v>2754</v>
      </c>
      <c r="G608" s="1">
        <v>0.65620000000000001</v>
      </c>
      <c r="I608" s="1">
        <v>0.34379999999999999</v>
      </c>
    </row>
    <row r="609" spans="1:9" s="26" customFormat="1">
      <c r="A609" s="26" t="s">
        <v>295</v>
      </c>
      <c r="B609" s="26" t="s">
        <v>199</v>
      </c>
      <c r="C609" s="26">
        <v>20</v>
      </c>
      <c r="D609" s="26" t="s">
        <v>201</v>
      </c>
      <c r="E609" s="26">
        <v>2754</v>
      </c>
      <c r="G609" s="27">
        <v>0.75</v>
      </c>
      <c r="H609" s="27">
        <v>0.05</v>
      </c>
      <c r="I609" s="27">
        <v>0.2</v>
      </c>
    </row>
    <row r="610" spans="1:9" s="26" customFormat="1">
      <c r="A610" s="26" t="s">
        <v>291</v>
      </c>
      <c r="B610" s="26" t="s">
        <v>199</v>
      </c>
      <c r="C610" s="26">
        <v>21</v>
      </c>
      <c r="D610" s="26" t="s">
        <v>201</v>
      </c>
      <c r="E610" s="26">
        <v>2754</v>
      </c>
      <c r="G610" s="27">
        <v>0.61899999999999999</v>
      </c>
      <c r="I610" s="27">
        <v>0.38100000000000001</v>
      </c>
    </row>
    <row r="611" spans="1:9" s="26" customFormat="1">
      <c r="A611" s="26" t="s">
        <v>299</v>
      </c>
      <c r="B611" s="26" t="s">
        <v>199</v>
      </c>
      <c r="C611" s="26">
        <v>11</v>
      </c>
      <c r="D611" s="26" t="s">
        <v>201</v>
      </c>
      <c r="E611" s="26">
        <v>2754</v>
      </c>
      <c r="G611" s="27">
        <v>0.45450000000000002</v>
      </c>
      <c r="I611" s="27">
        <v>0.54549999999999998</v>
      </c>
    </row>
    <row r="612" spans="1:9">
      <c r="A612" t="s">
        <v>293</v>
      </c>
      <c r="B612" t="s">
        <v>199</v>
      </c>
      <c r="C612">
        <v>36</v>
      </c>
      <c r="D612" t="s">
        <v>201</v>
      </c>
      <c r="E612">
        <v>2754</v>
      </c>
      <c r="G612" s="1">
        <v>0.69440000000000002</v>
      </c>
      <c r="I612" s="1">
        <v>0.30559999999999998</v>
      </c>
    </row>
    <row r="613" spans="1:9">
      <c r="A613" t="s">
        <v>292</v>
      </c>
      <c r="B613" t="s">
        <v>199</v>
      </c>
      <c r="C613">
        <v>31</v>
      </c>
      <c r="D613" t="s">
        <v>201</v>
      </c>
      <c r="E613">
        <v>2754</v>
      </c>
      <c r="G613" s="1">
        <v>0.5806</v>
      </c>
      <c r="I613" s="1">
        <v>0.4194</v>
      </c>
    </row>
    <row r="614" spans="1:9">
      <c r="A614" t="s">
        <v>253</v>
      </c>
      <c r="B614" t="s">
        <v>199</v>
      </c>
      <c r="C614">
        <v>33</v>
      </c>
      <c r="D614" t="s">
        <v>201</v>
      </c>
      <c r="E614">
        <v>2754</v>
      </c>
      <c r="G614" s="1">
        <v>0.36359999999999998</v>
      </c>
      <c r="I614" s="1">
        <v>0.63639999999999997</v>
      </c>
    </row>
    <row r="615" spans="1:9" s="26" customFormat="1">
      <c r="A615" s="26" t="s">
        <v>296</v>
      </c>
      <c r="B615" s="26" t="s">
        <v>199</v>
      </c>
      <c r="C615" s="26">
        <v>13</v>
      </c>
      <c r="D615" s="26" t="s">
        <v>201</v>
      </c>
      <c r="E615" s="26">
        <v>2754</v>
      </c>
      <c r="G615" s="27">
        <v>0.69230000000000003</v>
      </c>
      <c r="I615" s="27">
        <v>0.30769999999999997</v>
      </c>
    </row>
    <row r="616" spans="1:9" s="26" customFormat="1">
      <c r="A616" s="26" t="s">
        <v>291</v>
      </c>
      <c r="B616" s="26" t="s">
        <v>209</v>
      </c>
      <c r="C616" s="26">
        <v>12</v>
      </c>
      <c r="D616" s="26" t="s">
        <v>210</v>
      </c>
      <c r="E616" s="26">
        <v>2754</v>
      </c>
      <c r="G616" s="27">
        <v>0.6522</v>
      </c>
      <c r="I616" s="27">
        <v>0.3478</v>
      </c>
    </row>
    <row r="617" spans="1:9" s="26" customFormat="1">
      <c r="A617" s="26" t="s">
        <v>293</v>
      </c>
      <c r="B617" s="26" t="s">
        <v>209</v>
      </c>
      <c r="C617" s="26">
        <v>25</v>
      </c>
      <c r="D617" s="26" t="s">
        <v>210</v>
      </c>
      <c r="E617" s="26">
        <v>2754</v>
      </c>
      <c r="G617" s="27">
        <v>0.86280000000000001</v>
      </c>
      <c r="I617" s="27">
        <v>0.13719999999999999</v>
      </c>
    </row>
    <row r="618" spans="1:9" s="26" customFormat="1">
      <c r="A618" s="26" t="s">
        <v>289</v>
      </c>
      <c r="B618" s="26" t="s">
        <v>209</v>
      </c>
      <c r="C618" s="26">
        <v>11</v>
      </c>
      <c r="D618" s="26" t="s">
        <v>210</v>
      </c>
      <c r="E618" s="26">
        <v>2754</v>
      </c>
      <c r="G618" s="27">
        <v>0.5323</v>
      </c>
      <c r="I618" s="27">
        <v>0.4677</v>
      </c>
    </row>
    <row r="619" spans="1:9" s="26" customFormat="1">
      <c r="A619" s="26" t="s">
        <v>290</v>
      </c>
      <c r="B619" s="26" t="s">
        <v>209</v>
      </c>
      <c r="C619" s="26">
        <v>14</v>
      </c>
      <c r="D619" s="26" t="s">
        <v>210</v>
      </c>
      <c r="E619" s="26">
        <v>2754</v>
      </c>
      <c r="G619" s="27">
        <v>0.69930000000000003</v>
      </c>
      <c r="I619" s="27">
        <v>0.30070000000000002</v>
      </c>
    </row>
    <row r="620" spans="1:9" s="26" customFormat="1">
      <c r="A620" s="26" t="s">
        <v>295</v>
      </c>
      <c r="B620" s="26" t="s">
        <v>209</v>
      </c>
      <c r="C620" s="26">
        <v>13</v>
      </c>
      <c r="D620" s="26" t="s">
        <v>210</v>
      </c>
      <c r="E620" s="26">
        <v>2754</v>
      </c>
      <c r="G620" s="27">
        <v>0.57369999999999999</v>
      </c>
      <c r="I620" s="27">
        <v>0.42630000000000001</v>
      </c>
    </row>
    <row r="621" spans="1:9" s="26" customFormat="1">
      <c r="A621" s="26" t="s">
        <v>295</v>
      </c>
      <c r="B621" s="26" t="s">
        <v>209</v>
      </c>
      <c r="C621" s="26">
        <v>25</v>
      </c>
      <c r="D621" s="26" t="s">
        <v>211</v>
      </c>
      <c r="E621" s="26">
        <v>2754</v>
      </c>
      <c r="G621" s="27">
        <v>0.78139999999999998</v>
      </c>
      <c r="I621" s="27">
        <v>0.21859999999999999</v>
      </c>
    </row>
    <row r="622" spans="1:9" s="26" customFormat="1">
      <c r="A622" s="26" t="s">
        <v>292</v>
      </c>
      <c r="B622" s="26" t="s">
        <v>209</v>
      </c>
      <c r="C622" s="26">
        <v>19</v>
      </c>
      <c r="D622" s="26" t="s">
        <v>210</v>
      </c>
      <c r="E622" s="26">
        <v>2754</v>
      </c>
      <c r="G622" s="27">
        <v>0.73</v>
      </c>
      <c r="I622" s="27">
        <v>0.27</v>
      </c>
    </row>
    <row r="623" spans="1:9">
      <c r="A623" t="s">
        <v>253</v>
      </c>
      <c r="B623" t="s">
        <v>209</v>
      </c>
      <c r="C623">
        <v>41</v>
      </c>
      <c r="D623" t="s">
        <v>210</v>
      </c>
      <c r="E623">
        <v>2754</v>
      </c>
      <c r="G623" s="1">
        <v>0.38469999999999999</v>
      </c>
      <c r="I623" s="1">
        <v>0.61529999999999996</v>
      </c>
    </row>
    <row r="624" spans="1:9" s="26" customFormat="1">
      <c r="A624" s="26" t="s">
        <v>297</v>
      </c>
      <c r="B624" s="26" t="s">
        <v>209</v>
      </c>
      <c r="C624" s="26">
        <v>20</v>
      </c>
      <c r="D624" s="26" t="s">
        <v>210</v>
      </c>
      <c r="E624" s="26">
        <v>2754</v>
      </c>
      <c r="G624" s="27">
        <v>0.54510000000000003</v>
      </c>
      <c r="I624" s="27">
        <v>0.45490000000000003</v>
      </c>
    </row>
    <row r="625" spans="1:9" s="26" customFormat="1">
      <c r="A625" s="26" t="s">
        <v>297</v>
      </c>
      <c r="B625" s="26" t="s">
        <v>209</v>
      </c>
      <c r="C625" s="26">
        <v>18</v>
      </c>
      <c r="D625" s="26" t="s">
        <v>211</v>
      </c>
      <c r="E625" s="26">
        <v>2754</v>
      </c>
      <c r="G625" s="27">
        <v>0.58940000000000003</v>
      </c>
      <c r="I625" s="27">
        <v>0.41060000000000002</v>
      </c>
    </row>
    <row r="626" spans="1:9" s="26" customFormat="1">
      <c r="A626" s="26" t="s">
        <v>298</v>
      </c>
      <c r="B626" s="26" t="s">
        <v>209</v>
      </c>
      <c r="C626" s="26">
        <v>6</v>
      </c>
      <c r="D626" s="26" t="s">
        <v>210</v>
      </c>
      <c r="E626" s="26">
        <v>2754</v>
      </c>
      <c r="G626" s="27">
        <v>0.66669999999999996</v>
      </c>
      <c r="I626" s="27">
        <v>0.33329999999999999</v>
      </c>
    </row>
    <row r="627" spans="1:9" s="26" customFormat="1">
      <c r="A627" s="26" t="s">
        <v>255</v>
      </c>
      <c r="B627" s="26" t="s">
        <v>209</v>
      </c>
      <c r="C627" s="26">
        <v>14</v>
      </c>
      <c r="D627" s="26" t="s">
        <v>210</v>
      </c>
      <c r="E627" s="26">
        <v>2754</v>
      </c>
      <c r="G627" s="27">
        <v>0.66849999999999998</v>
      </c>
      <c r="I627" s="27">
        <v>0.33150000000000002</v>
      </c>
    </row>
    <row r="628" spans="1:9" s="26" customFormat="1">
      <c r="A628" s="26" t="s">
        <v>296</v>
      </c>
      <c r="B628" s="26" t="s">
        <v>209</v>
      </c>
      <c r="C628" s="26">
        <v>6</v>
      </c>
      <c r="D628" s="26" t="s">
        <v>210</v>
      </c>
      <c r="E628" s="26">
        <v>2754</v>
      </c>
      <c r="G628" s="27">
        <v>0.71899999999999997</v>
      </c>
      <c r="I628" s="27">
        <v>0.28100000000000003</v>
      </c>
    </row>
    <row r="629" spans="1:9" s="26" customFormat="1">
      <c r="A629" s="26" t="s">
        <v>299</v>
      </c>
      <c r="B629" s="26" t="s">
        <v>209</v>
      </c>
      <c r="C629" s="26">
        <v>13</v>
      </c>
      <c r="D629" s="26" t="s">
        <v>210</v>
      </c>
      <c r="E629" s="26">
        <v>2754</v>
      </c>
      <c r="G629" s="27">
        <v>0.58209999999999995</v>
      </c>
      <c r="I629" s="27">
        <v>0.41789999999999999</v>
      </c>
    </row>
    <row r="630" spans="1:9" s="26" customFormat="1">
      <c r="A630" s="26" t="s">
        <v>294</v>
      </c>
      <c r="B630" s="26" t="s">
        <v>209</v>
      </c>
      <c r="C630" s="26">
        <v>12</v>
      </c>
      <c r="D630" s="26" t="s">
        <v>210</v>
      </c>
      <c r="E630" s="26">
        <v>2754</v>
      </c>
      <c r="G630" s="27">
        <v>0.88680000000000003</v>
      </c>
      <c r="I630" s="27">
        <v>0.1132</v>
      </c>
    </row>
    <row r="631" spans="1:9" s="26" customFormat="1">
      <c r="A631" s="26" t="s">
        <v>255</v>
      </c>
      <c r="B631" s="26" t="s">
        <v>209</v>
      </c>
      <c r="C631" s="26">
        <v>18</v>
      </c>
      <c r="D631" s="26" t="s">
        <v>211</v>
      </c>
      <c r="E631" s="26">
        <v>2754</v>
      </c>
      <c r="G631" s="27">
        <v>0.80940000000000001</v>
      </c>
      <c r="I631" s="27">
        <v>0.19059999999999999</v>
      </c>
    </row>
    <row r="632" spans="1:9" s="26" customFormat="1">
      <c r="A632" s="26" t="s">
        <v>293</v>
      </c>
      <c r="B632" s="26" t="s">
        <v>209</v>
      </c>
      <c r="C632" s="26">
        <v>26</v>
      </c>
      <c r="D632" s="26" t="s">
        <v>211</v>
      </c>
      <c r="E632" s="26">
        <v>2754</v>
      </c>
      <c r="G632" s="27">
        <v>0.70169999999999999</v>
      </c>
      <c r="I632" s="27">
        <v>0.29830000000000001</v>
      </c>
    </row>
    <row r="633" spans="1:9" s="26" customFormat="1">
      <c r="A633" s="26" t="s">
        <v>298</v>
      </c>
      <c r="B633" s="26" t="s">
        <v>209</v>
      </c>
      <c r="C633" s="26">
        <v>15</v>
      </c>
      <c r="D633" s="26" t="s">
        <v>211</v>
      </c>
      <c r="E633" s="26">
        <v>2754</v>
      </c>
      <c r="G633" s="27">
        <v>0.70740000000000003</v>
      </c>
      <c r="I633" s="27">
        <v>0.29260000000000003</v>
      </c>
    </row>
    <row r="634" spans="1:9" s="26" customFormat="1">
      <c r="A634" s="26" t="s">
        <v>289</v>
      </c>
      <c r="B634" s="26" t="s">
        <v>209</v>
      </c>
      <c r="C634" s="26">
        <v>19</v>
      </c>
      <c r="D634" s="26" t="s">
        <v>211</v>
      </c>
      <c r="E634" s="26">
        <v>2754</v>
      </c>
      <c r="G634" s="27">
        <v>0.52590000000000003</v>
      </c>
      <c r="I634" s="27">
        <v>0.47410000000000002</v>
      </c>
    </row>
    <row r="635" spans="1:9" s="26" customFormat="1">
      <c r="A635" s="26" t="s">
        <v>290</v>
      </c>
      <c r="B635" s="26" t="s">
        <v>209</v>
      </c>
      <c r="C635" s="26">
        <v>20</v>
      </c>
      <c r="D635" s="26" t="s">
        <v>211</v>
      </c>
      <c r="E635" s="26">
        <v>2754</v>
      </c>
      <c r="G635" s="27">
        <v>0.71479999999999999</v>
      </c>
      <c r="I635" s="27">
        <v>0.28520000000000001</v>
      </c>
    </row>
    <row r="636" spans="1:9" s="26" customFormat="1">
      <c r="A636" s="26" t="s">
        <v>296</v>
      </c>
      <c r="B636" s="26" t="s">
        <v>209</v>
      </c>
      <c r="C636" s="26">
        <v>18</v>
      </c>
      <c r="D636" s="26" t="s">
        <v>211</v>
      </c>
      <c r="E636" s="26">
        <v>2754</v>
      </c>
      <c r="G636" s="27">
        <v>0.60850000000000004</v>
      </c>
      <c r="I636" s="27">
        <v>0.39150000000000001</v>
      </c>
    </row>
    <row r="637" spans="1:9" s="26" customFormat="1">
      <c r="A637" s="26" t="s">
        <v>299</v>
      </c>
      <c r="B637" s="26" t="s">
        <v>209</v>
      </c>
      <c r="C637" s="26">
        <v>9</v>
      </c>
      <c r="D637" s="26" t="s">
        <v>211</v>
      </c>
      <c r="E637" s="26">
        <v>2754</v>
      </c>
      <c r="G637" s="27">
        <v>0.88239999999999996</v>
      </c>
      <c r="I637" s="27">
        <v>0.1176</v>
      </c>
    </row>
    <row r="638" spans="1:9" s="26" customFormat="1">
      <c r="A638" s="26" t="s">
        <v>292</v>
      </c>
      <c r="B638" s="26" t="s">
        <v>209</v>
      </c>
      <c r="C638" s="26">
        <v>19</v>
      </c>
      <c r="D638" s="26" t="s">
        <v>211</v>
      </c>
      <c r="E638" s="26">
        <v>2754</v>
      </c>
      <c r="G638" s="27">
        <v>0.84599999999999997</v>
      </c>
      <c r="I638" s="27">
        <v>0.154</v>
      </c>
    </row>
    <row r="639" spans="1:9" s="26" customFormat="1">
      <c r="A639" s="26" t="s">
        <v>291</v>
      </c>
      <c r="B639" s="26" t="s">
        <v>209</v>
      </c>
      <c r="C639" s="26">
        <v>13</v>
      </c>
      <c r="D639" s="26" t="s">
        <v>211</v>
      </c>
      <c r="E639" s="26">
        <v>2754</v>
      </c>
      <c r="G639" s="27">
        <v>0.54159999999999997</v>
      </c>
      <c r="I639" s="27">
        <v>0.45839999999999997</v>
      </c>
    </row>
    <row r="640" spans="1:9" s="26" customFormat="1">
      <c r="A640" s="26" t="s">
        <v>292</v>
      </c>
      <c r="B640" s="26" t="s">
        <v>209</v>
      </c>
      <c r="C640" s="26">
        <v>24</v>
      </c>
      <c r="D640" s="26" t="s">
        <v>212</v>
      </c>
      <c r="E640" s="26">
        <v>2754</v>
      </c>
      <c r="G640" s="27">
        <v>0.95320000000000005</v>
      </c>
      <c r="I640" s="27">
        <v>4.6800000000000001E-2</v>
      </c>
    </row>
    <row r="641" spans="1:9">
      <c r="A641" t="s">
        <v>253</v>
      </c>
      <c r="B641" t="s">
        <v>209</v>
      </c>
      <c r="C641">
        <v>49</v>
      </c>
      <c r="D641" t="s">
        <v>211</v>
      </c>
      <c r="E641">
        <v>2754</v>
      </c>
      <c r="G641" s="1">
        <v>0.42699999999999999</v>
      </c>
      <c r="I641" s="1">
        <v>0.57299999999999995</v>
      </c>
    </row>
    <row r="642" spans="1:9" s="26" customFormat="1">
      <c r="A642" s="26" t="s">
        <v>290</v>
      </c>
      <c r="B642" s="26" t="s">
        <v>209</v>
      </c>
      <c r="C642" s="26">
        <v>11</v>
      </c>
      <c r="D642" s="26" t="s">
        <v>212</v>
      </c>
      <c r="E642" s="26">
        <v>2754</v>
      </c>
      <c r="G642" s="27">
        <v>0.70009999999999994</v>
      </c>
      <c r="I642" s="27">
        <v>0.2999</v>
      </c>
    </row>
    <row r="643" spans="1:9" s="26" customFormat="1">
      <c r="A643" s="26" t="s">
        <v>289</v>
      </c>
      <c r="B643" s="26" t="s">
        <v>209</v>
      </c>
      <c r="C643" s="26">
        <v>11</v>
      </c>
      <c r="D643" s="26" t="s">
        <v>212</v>
      </c>
      <c r="E643" s="26">
        <v>2754</v>
      </c>
      <c r="G643" s="27">
        <v>0.24310000000000001</v>
      </c>
      <c r="I643" s="27">
        <v>0.75690000000000002</v>
      </c>
    </row>
    <row r="644" spans="1:9" s="26" customFormat="1">
      <c r="A644" s="26" t="s">
        <v>295</v>
      </c>
      <c r="B644" s="26" t="s">
        <v>209</v>
      </c>
      <c r="C644" s="26">
        <v>27</v>
      </c>
      <c r="D644" s="26" t="s">
        <v>212</v>
      </c>
      <c r="E644" s="26">
        <v>2754</v>
      </c>
      <c r="G644" s="27">
        <v>0.51049999999999995</v>
      </c>
      <c r="I644" s="27">
        <v>0.48949999999999999</v>
      </c>
    </row>
    <row r="645" spans="1:9" s="26" customFormat="1">
      <c r="A645" s="26" t="s">
        <v>296</v>
      </c>
      <c r="B645" s="26" t="s">
        <v>209</v>
      </c>
      <c r="C645" s="26">
        <v>17</v>
      </c>
      <c r="D645" s="26" t="s">
        <v>212</v>
      </c>
      <c r="E645" s="26">
        <v>2754</v>
      </c>
      <c r="G645" s="27">
        <v>0.57820000000000005</v>
      </c>
      <c r="I645" s="27">
        <v>0.42180000000000001</v>
      </c>
    </row>
    <row r="646" spans="1:9" s="26" customFormat="1">
      <c r="A646" s="26" t="s">
        <v>294</v>
      </c>
      <c r="B646" s="26" t="s">
        <v>209</v>
      </c>
      <c r="C646" s="26">
        <v>25</v>
      </c>
      <c r="D646" s="26" t="s">
        <v>212</v>
      </c>
      <c r="E646" s="26">
        <v>2754</v>
      </c>
      <c r="G646" s="27">
        <v>0.53039999999999998</v>
      </c>
      <c r="I646" s="27">
        <v>0.46960000000000002</v>
      </c>
    </row>
    <row r="647" spans="1:9">
      <c r="A647" t="s">
        <v>294</v>
      </c>
      <c r="B647" t="s">
        <v>209</v>
      </c>
      <c r="C647">
        <v>34</v>
      </c>
      <c r="D647" t="s">
        <v>211</v>
      </c>
      <c r="E647">
        <v>2754</v>
      </c>
      <c r="G647" s="1">
        <v>0.71240000000000003</v>
      </c>
      <c r="I647" s="1">
        <v>0.28760000000000002</v>
      </c>
    </row>
    <row r="648" spans="1:9" s="26" customFormat="1">
      <c r="A648" s="26" t="s">
        <v>298</v>
      </c>
      <c r="B648" s="26" t="s">
        <v>209</v>
      </c>
      <c r="C648" s="26">
        <v>12</v>
      </c>
      <c r="D648" s="26" t="s">
        <v>212</v>
      </c>
      <c r="E648" s="26">
        <v>2754</v>
      </c>
      <c r="G648" s="27">
        <v>0.75480000000000003</v>
      </c>
      <c r="I648" s="27">
        <v>0.2452</v>
      </c>
    </row>
    <row r="649" spans="1:9" s="26" customFormat="1">
      <c r="A649" s="26" t="s">
        <v>293</v>
      </c>
      <c r="B649" s="26" t="s">
        <v>209</v>
      </c>
      <c r="C649" s="26">
        <v>21</v>
      </c>
      <c r="D649" s="26" t="s">
        <v>212</v>
      </c>
      <c r="E649" s="26">
        <v>2754</v>
      </c>
      <c r="G649" s="27">
        <v>0.55869999999999997</v>
      </c>
      <c r="I649" s="27">
        <v>0.44130000000000003</v>
      </c>
    </row>
    <row r="650" spans="1:9" s="26" customFormat="1">
      <c r="A650" s="26" t="s">
        <v>297</v>
      </c>
      <c r="B650" s="26" t="s">
        <v>209</v>
      </c>
      <c r="C650" s="26">
        <v>15</v>
      </c>
      <c r="D650" s="26" t="s">
        <v>212</v>
      </c>
      <c r="E650" s="26">
        <v>2754</v>
      </c>
      <c r="G650" s="27">
        <v>0.67269999999999996</v>
      </c>
      <c r="I650" s="27">
        <v>0.32729999999999998</v>
      </c>
    </row>
    <row r="651" spans="1:9" s="26" customFormat="1">
      <c r="A651" s="26" t="s">
        <v>255</v>
      </c>
      <c r="B651" s="26" t="s">
        <v>209</v>
      </c>
      <c r="C651" s="26">
        <v>15</v>
      </c>
      <c r="D651" s="26" t="s">
        <v>212</v>
      </c>
      <c r="E651" s="26">
        <v>2754</v>
      </c>
      <c r="G651" s="27">
        <v>0.52449999999999997</v>
      </c>
      <c r="I651" s="27">
        <v>0.47549999999999998</v>
      </c>
    </row>
    <row r="652" spans="1:9">
      <c r="A652" t="s">
        <v>253</v>
      </c>
      <c r="B652" t="s">
        <v>209</v>
      </c>
      <c r="C652">
        <v>42</v>
      </c>
      <c r="D652" t="s">
        <v>212</v>
      </c>
      <c r="E652">
        <v>2754</v>
      </c>
      <c r="G652" s="1">
        <v>0.4415</v>
      </c>
      <c r="I652" s="1">
        <v>0.5585</v>
      </c>
    </row>
    <row r="653" spans="1:9" s="26" customFormat="1">
      <c r="A653" s="26" t="s">
        <v>299</v>
      </c>
      <c r="B653" s="26" t="s">
        <v>209</v>
      </c>
      <c r="C653" s="26">
        <v>11</v>
      </c>
      <c r="D653" s="26" t="s">
        <v>212</v>
      </c>
      <c r="E653" s="26">
        <v>2754</v>
      </c>
      <c r="G653" s="27">
        <v>0.31090000000000001</v>
      </c>
      <c r="I653" s="27">
        <v>0.68910000000000005</v>
      </c>
    </row>
    <row r="654" spans="1:9" s="26" customFormat="1">
      <c r="A654" s="26" t="s">
        <v>291</v>
      </c>
      <c r="B654" s="26" t="s">
        <v>209</v>
      </c>
      <c r="C654" s="26">
        <v>19</v>
      </c>
      <c r="D654" s="26" t="s">
        <v>212</v>
      </c>
      <c r="E654" s="26">
        <v>2754</v>
      </c>
      <c r="G654" s="27">
        <v>0.32879999999999998</v>
      </c>
      <c r="I654" s="27">
        <v>0.67120000000000002</v>
      </c>
    </row>
    <row r="656" spans="1:9">
      <c r="A656" t="s">
        <v>300</v>
      </c>
    </row>
    <row r="657" spans="1:9">
      <c r="A657" t="s">
        <v>214</v>
      </c>
      <c r="B657" t="s">
        <v>189</v>
      </c>
      <c r="C657" t="s">
        <v>195</v>
      </c>
      <c r="D657" t="s">
        <v>190</v>
      </c>
      <c r="E657" t="s">
        <v>196</v>
      </c>
      <c r="F657" t="s">
        <v>228</v>
      </c>
      <c r="G657" t="s">
        <v>215</v>
      </c>
      <c r="H657" t="s">
        <v>223</v>
      </c>
      <c r="I657" t="s">
        <v>216</v>
      </c>
    </row>
    <row r="658" spans="1:9">
      <c r="A658" t="s">
        <v>198</v>
      </c>
      <c r="B658" t="s">
        <v>197</v>
      </c>
      <c r="C658">
        <v>2754</v>
      </c>
      <c r="D658" t="s">
        <v>198</v>
      </c>
      <c r="E658">
        <v>2754</v>
      </c>
      <c r="F658" s="1">
        <v>2.8E-3</v>
      </c>
      <c r="G658" s="1">
        <v>0.58909999999999996</v>
      </c>
      <c r="H658" s="1">
        <v>6.9999999999999999E-4</v>
      </c>
      <c r="I658" s="1">
        <v>0.40739999999999998</v>
      </c>
    </row>
    <row r="659" spans="1:9">
      <c r="A659" t="s">
        <v>236</v>
      </c>
      <c r="B659" t="s">
        <v>204</v>
      </c>
      <c r="C659">
        <v>37</v>
      </c>
      <c r="D659" t="s">
        <v>208</v>
      </c>
      <c r="E659">
        <v>2754</v>
      </c>
      <c r="G659" s="1">
        <v>0.62160000000000004</v>
      </c>
      <c r="I659" s="1">
        <v>0.37840000000000001</v>
      </c>
    </row>
    <row r="660" spans="1:9">
      <c r="A660" t="s">
        <v>236</v>
      </c>
      <c r="B660" t="s">
        <v>204</v>
      </c>
      <c r="C660">
        <v>94</v>
      </c>
      <c r="D660" t="s">
        <v>205</v>
      </c>
      <c r="E660">
        <v>2754</v>
      </c>
      <c r="G660" s="1">
        <v>0.64359999999999995</v>
      </c>
      <c r="I660" s="1">
        <v>0.35639999999999999</v>
      </c>
    </row>
    <row r="661" spans="1:9">
      <c r="A661" t="s">
        <v>235</v>
      </c>
      <c r="B661" t="s">
        <v>204</v>
      </c>
      <c r="C661">
        <v>153</v>
      </c>
      <c r="D661" t="s">
        <v>205</v>
      </c>
      <c r="E661">
        <v>2754</v>
      </c>
      <c r="G661" s="1">
        <v>0.61609999999999998</v>
      </c>
      <c r="I661" s="1">
        <v>0.38390000000000002</v>
      </c>
    </row>
    <row r="662" spans="1:9">
      <c r="A662" t="s">
        <v>236</v>
      </c>
      <c r="B662" t="s">
        <v>204</v>
      </c>
      <c r="C662">
        <v>68</v>
      </c>
      <c r="D662" t="s">
        <v>206</v>
      </c>
      <c r="E662">
        <v>2754</v>
      </c>
      <c r="G662" s="1">
        <v>0.70409999999999995</v>
      </c>
      <c r="I662" s="1">
        <v>0.2959</v>
      </c>
    </row>
    <row r="663" spans="1:9">
      <c r="A663" t="s">
        <v>235</v>
      </c>
      <c r="B663" t="s">
        <v>204</v>
      </c>
      <c r="C663">
        <v>140</v>
      </c>
      <c r="D663" t="s">
        <v>206</v>
      </c>
      <c r="E663">
        <v>2754</v>
      </c>
      <c r="G663" s="1">
        <v>0.79210000000000003</v>
      </c>
      <c r="I663" s="1">
        <v>0.2079</v>
      </c>
    </row>
    <row r="664" spans="1:9">
      <c r="A664" t="s">
        <v>236</v>
      </c>
      <c r="B664" t="s">
        <v>204</v>
      </c>
      <c r="C664">
        <v>237</v>
      </c>
      <c r="D664" t="s">
        <v>207</v>
      </c>
      <c r="E664">
        <v>2754</v>
      </c>
      <c r="F664" s="1">
        <v>3.5000000000000001E-3</v>
      </c>
      <c r="G664" s="1">
        <v>0.66539999999999999</v>
      </c>
      <c r="I664" s="1">
        <v>0.33110000000000001</v>
      </c>
    </row>
    <row r="665" spans="1:9">
      <c r="A665" t="s">
        <v>235</v>
      </c>
      <c r="B665" t="s">
        <v>204</v>
      </c>
      <c r="C665">
        <v>122</v>
      </c>
      <c r="D665" t="s">
        <v>207</v>
      </c>
      <c r="E665">
        <v>2754</v>
      </c>
      <c r="G665" s="1">
        <v>0.51749999999999996</v>
      </c>
      <c r="I665" s="1">
        <v>0.48249999999999998</v>
      </c>
    </row>
    <row r="666" spans="1:9">
      <c r="A666" t="s">
        <v>235</v>
      </c>
      <c r="B666" t="s">
        <v>204</v>
      </c>
      <c r="C666">
        <v>159</v>
      </c>
      <c r="D666" t="s">
        <v>208</v>
      </c>
      <c r="E666">
        <v>2754</v>
      </c>
      <c r="G666" s="1">
        <v>0.54090000000000005</v>
      </c>
      <c r="I666" s="1">
        <v>0.45910000000000001</v>
      </c>
    </row>
    <row r="667" spans="1:9">
      <c r="A667" t="s">
        <v>236</v>
      </c>
      <c r="B667" t="s">
        <v>199</v>
      </c>
      <c r="C667">
        <v>108</v>
      </c>
      <c r="D667" t="s">
        <v>203</v>
      </c>
      <c r="E667">
        <v>2754</v>
      </c>
      <c r="G667" s="1">
        <v>0.64490000000000003</v>
      </c>
      <c r="I667" s="1">
        <v>0.35510000000000003</v>
      </c>
    </row>
    <row r="668" spans="1:9">
      <c r="A668" t="s">
        <v>235</v>
      </c>
      <c r="B668" t="s">
        <v>199</v>
      </c>
      <c r="C668">
        <v>127</v>
      </c>
      <c r="D668" t="s">
        <v>203</v>
      </c>
      <c r="E668">
        <v>2754</v>
      </c>
      <c r="F668" s="1">
        <v>2.9399999999999999E-2</v>
      </c>
      <c r="G668" s="1">
        <v>0.66759999999999997</v>
      </c>
      <c r="I668" s="1">
        <v>0.30309999999999998</v>
      </c>
    </row>
    <row r="669" spans="1:9">
      <c r="A669" t="s">
        <v>235</v>
      </c>
      <c r="B669" t="s">
        <v>199</v>
      </c>
      <c r="C669">
        <v>168</v>
      </c>
      <c r="D669" t="s">
        <v>202</v>
      </c>
      <c r="E669">
        <v>2754</v>
      </c>
      <c r="F669" s="1">
        <v>1.37E-2</v>
      </c>
      <c r="G669" s="1">
        <v>0.61360000000000003</v>
      </c>
      <c r="I669" s="1">
        <v>0.37269999999999998</v>
      </c>
    </row>
    <row r="670" spans="1:9">
      <c r="A670" t="s">
        <v>236</v>
      </c>
      <c r="B670" t="s">
        <v>199</v>
      </c>
      <c r="C670">
        <v>58</v>
      </c>
      <c r="D670" t="s">
        <v>200</v>
      </c>
      <c r="E670">
        <v>2754</v>
      </c>
      <c r="F670" s="1">
        <v>5.2200000000000003E-2</v>
      </c>
      <c r="G670" s="1">
        <v>0.45810000000000001</v>
      </c>
      <c r="I670" s="1">
        <v>0.48970000000000002</v>
      </c>
    </row>
    <row r="671" spans="1:9">
      <c r="A671" t="s">
        <v>235</v>
      </c>
      <c r="B671" t="s">
        <v>199</v>
      </c>
      <c r="C671">
        <v>114</v>
      </c>
      <c r="D671" t="s">
        <v>200</v>
      </c>
      <c r="E671">
        <v>2754</v>
      </c>
      <c r="G671" s="1">
        <v>0.60140000000000005</v>
      </c>
      <c r="I671" s="1">
        <v>0.39860000000000001</v>
      </c>
    </row>
    <row r="672" spans="1:9">
      <c r="A672" t="s">
        <v>236</v>
      </c>
      <c r="B672" t="s">
        <v>199</v>
      </c>
      <c r="C672">
        <v>119</v>
      </c>
      <c r="D672" t="s">
        <v>202</v>
      </c>
      <c r="E672">
        <v>2754</v>
      </c>
      <c r="G672" s="1">
        <v>0.52680000000000005</v>
      </c>
      <c r="I672" s="1">
        <v>0.47320000000000001</v>
      </c>
    </row>
    <row r="673" spans="1:9">
      <c r="A673" t="s">
        <v>235</v>
      </c>
      <c r="B673" t="s">
        <v>199</v>
      </c>
      <c r="C673">
        <v>267</v>
      </c>
      <c r="D673" t="s">
        <v>201</v>
      </c>
      <c r="E673">
        <v>2754</v>
      </c>
      <c r="G673" s="1">
        <v>0.58050000000000002</v>
      </c>
      <c r="H673" s="1">
        <v>3.7000000000000002E-3</v>
      </c>
      <c r="I673" s="1">
        <v>0.41570000000000001</v>
      </c>
    </row>
    <row r="674" spans="1:9">
      <c r="A674" t="s">
        <v>236</v>
      </c>
      <c r="B674" t="s">
        <v>209</v>
      </c>
      <c r="C674">
        <v>110</v>
      </c>
      <c r="D674" t="s">
        <v>211</v>
      </c>
      <c r="E674">
        <v>2754</v>
      </c>
      <c r="G674" s="1">
        <v>0.7772</v>
      </c>
      <c r="I674" s="1">
        <v>0.2228</v>
      </c>
    </row>
    <row r="675" spans="1:9">
      <c r="A675" t="s">
        <v>235</v>
      </c>
      <c r="B675" t="s">
        <v>209</v>
      </c>
      <c r="C675">
        <v>168</v>
      </c>
      <c r="D675" t="s">
        <v>211</v>
      </c>
      <c r="E675">
        <v>2754</v>
      </c>
      <c r="G675" s="1">
        <v>0.58699999999999997</v>
      </c>
      <c r="I675" s="1">
        <v>0.41299999999999998</v>
      </c>
    </row>
    <row r="676" spans="1:9">
      <c r="A676" t="s">
        <v>235</v>
      </c>
      <c r="B676" t="s">
        <v>209</v>
      </c>
      <c r="C676">
        <v>192</v>
      </c>
      <c r="D676" t="s">
        <v>212</v>
      </c>
      <c r="E676">
        <v>2754</v>
      </c>
      <c r="G676" s="1">
        <v>0.52480000000000004</v>
      </c>
      <c r="I676" s="1">
        <v>0.47520000000000001</v>
      </c>
    </row>
    <row r="677" spans="1:9">
      <c r="A677" t="s">
        <v>236</v>
      </c>
      <c r="B677" t="s">
        <v>209</v>
      </c>
      <c r="C677">
        <v>58</v>
      </c>
      <c r="D677" t="s">
        <v>212</v>
      </c>
      <c r="E677">
        <v>2754</v>
      </c>
      <c r="G677" s="1">
        <v>0.71660000000000001</v>
      </c>
      <c r="I677" s="1">
        <v>0.28339999999999999</v>
      </c>
    </row>
    <row r="678" spans="1:9">
      <c r="A678" t="s">
        <v>235</v>
      </c>
      <c r="B678" t="s">
        <v>209</v>
      </c>
      <c r="C678">
        <v>73</v>
      </c>
      <c r="D678" t="s">
        <v>210</v>
      </c>
      <c r="E678">
        <v>2754</v>
      </c>
      <c r="G678" s="1">
        <v>0.5796</v>
      </c>
      <c r="I678" s="1">
        <v>0.4204</v>
      </c>
    </row>
    <row r="679" spans="1:9">
      <c r="A679" t="s">
        <v>236</v>
      </c>
      <c r="B679" t="s">
        <v>209</v>
      </c>
      <c r="C679">
        <v>120</v>
      </c>
      <c r="D679" t="s">
        <v>210</v>
      </c>
      <c r="E679">
        <v>2754</v>
      </c>
      <c r="G679" s="1">
        <v>0.65710000000000002</v>
      </c>
      <c r="I679" s="1">
        <v>0.34289999999999998</v>
      </c>
    </row>
    <row r="681" spans="1:9">
      <c r="A681" t="s">
        <v>301</v>
      </c>
    </row>
    <row r="682" spans="1:9">
      <c r="A682" t="s">
        <v>189</v>
      </c>
      <c r="B682" t="s">
        <v>195</v>
      </c>
      <c r="C682" t="s">
        <v>190</v>
      </c>
      <c r="D682" t="s">
        <v>196</v>
      </c>
      <c r="E682" t="s">
        <v>228</v>
      </c>
      <c r="F682" t="s">
        <v>215</v>
      </c>
      <c r="G682" t="s">
        <v>223</v>
      </c>
      <c r="H682" t="s">
        <v>216</v>
      </c>
    </row>
    <row r="683" spans="1:9">
      <c r="A683" t="s">
        <v>197</v>
      </c>
      <c r="B683">
        <v>1050</v>
      </c>
      <c r="C683" t="s">
        <v>198</v>
      </c>
      <c r="D683">
        <v>1050</v>
      </c>
      <c r="E683" s="1">
        <v>2E-3</v>
      </c>
      <c r="F683" s="1">
        <v>0.12670000000000001</v>
      </c>
      <c r="G683" s="1">
        <v>1.1000000000000001E-3</v>
      </c>
      <c r="H683" s="1">
        <v>0.87029999999999996</v>
      </c>
    </row>
    <row r="684" spans="1:9">
      <c r="A684" t="s">
        <v>204</v>
      </c>
      <c r="B684">
        <v>97</v>
      </c>
      <c r="C684" t="s">
        <v>205</v>
      </c>
      <c r="D684">
        <v>1050</v>
      </c>
      <c r="F684" s="1">
        <v>0.17280000000000001</v>
      </c>
      <c r="H684" s="1">
        <v>0.82720000000000005</v>
      </c>
    </row>
    <row r="685" spans="1:9">
      <c r="A685" t="s">
        <v>204</v>
      </c>
      <c r="B685">
        <v>56</v>
      </c>
      <c r="C685" t="s">
        <v>206</v>
      </c>
      <c r="D685">
        <v>1050</v>
      </c>
      <c r="F685" s="1">
        <v>8.7900000000000006E-2</v>
      </c>
      <c r="H685" s="1">
        <v>0.91210000000000002</v>
      </c>
    </row>
    <row r="686" spans="1:9">
      <c r="A686" t="s">
        <v>204</v>
      </c>
      <c r="B686">
        <v>138</v>
      </c>
      <c r="C686" t="s">
        <v>207</v>
      </c>
      <c r="D686">
        <v>1050</v>
      </c>
      <c r="F686" s="1">
        <v>0.1968</v>
      </c>
      <c r="G686" s="1">
        <v>6.1999999999999998E-3</v>
      </c>
      <c r="H686" s="1">
        <v>0.79710000000000003</v>
      </c>
    </row>
    <row r="687" spans="1:9">
      <c r="A687" t="s">
        <v>204</v>
      </c>
      <c r="B687">
        <v>87</v>
      </c>
      <c r="C687" t="s">
        <v>208</v>
      </c>
      <c r="D687">
        <v>1050</v>
      </c>
      <c r="F687" s="1">
        <v>0.1149</v>
      </c>
      <c r="H687" s="1">
        <v>0.8851</v>
      </c>
    </row>
    <row r="688" spans="1:9">
      <c r="A688" t="s">
        <v>199</v>
      </c>
      <c r="B688">
        <v>73</v>
      </c>
      <c r="C688" t="s">
        <v>200</v>
      </c>
      <c r="D688">
        <v>1050</v>
      </c>
      <c r="F688" s="1">
        <v>0.2026</v>
      </c>
      <c r="H688" s="1">
        <v>0.7974</v>
      </c>
    </row>
    <row r="689" spans="1:9">
      <c r="A689" t="s">
        <v>199</v>
      </c>
      <c r="B689">
        <v>111</v>
      </c>
      <c r="C689" t="s">
        <v>201</v>
      </c>
      <c r="D689">
        <v>1050</v>
      </c>
      <c r="E689" s="1">
        <v>8.9999999999999993E-3</v>
      </c>
      <c r="F689" s="1">
        <v>0.1081</v>
      </c>
      <c r="H689" s="1">
        <v>0.88290000000000002</v>
      </c>
    </row>
    <row r="690" spans="1:9">
      <c r="A690" t="s">
        <v>199</v>
      </c>
      <c r="B690">
        <v>119</v>
      </c>
      <c r="C690" t="s">
        <v>202</v>
      </c>
      <c r="D690">
        <v>1050</v>
      </c>
      <c r="F690" s="1">
        <v>7.8799999999999995E-2</v>
      </c>
      <c r="H690" s="1">
        <v>0.92120000000000002</v>
      </c>
    </row>
    <row r="691" spans="1:9">
      <c r="A691" t="s">
        <v>199</v>
      </c>
      <c r="B691">
        <v>85</v>
      </c>
      <c r="C691" t="s">
        <v>203</v>
      </c>
      <c r="D691">
        <v>1050</v>
      </c>
      <c r="F691" s="1">
        <v>0.1124</v>
      </c>
      <c r="H691" s="1">
        <v>0.88759999999999994</v>
      </c>
    </row>
    <row r="692" spans="1:9">
      <c r="A692" t="s">
        <v>209</v>
      </c>
      <c r="B692">
        <v>82</v>
      </c>
      <c r="C692" t="s">
        <v>210</v>
      </c>
      <c r="D692">
        <v>1050</v>
      </c>
      <c r="E692" s="1">
        <v>3.5000000000000003E-2</v>
      </c>
      <c r="F692" s="1">
        <v>7.7200000000000005E-2</v>
      </c>
      <c r="G692" s="1">
        <v>1.6500000000000001E-2</v>
      </c>
      <c r="H692" s="1">
        <v>0.87129999999999996</v>
      </c>
    </row>
    <row r="693" spans="1:9">
      <c r="A693" t="s">
        <v>209</v>
      </c>
      <c r="B693">
        <v>95</v>
      </c>
      <c r="C693" t="s">
        <v>211</v>
      </c>
      <c r="D693">
        <v>1050</v>
      </c>
      <c r="F693" s="1">
        <v>6.8099999999999994E-2</v>
      </c>
      <c r="H693" s="1">
        <v>0.93189999999999995</v>
      </c>
    </row>
    <row r="694" spans="1:9">
      <c r="A694" t="s">
        <v>209</v>
      </c>
      <c r="B694">
        <v>107</v>
      </c>
      <c r="C694" t="s">
        <v>212</v>
      </c>
      <c r="D694">
        <v>1050</v>
      </c>
      <c r="F694" s="1">
        <v>8.1299999999999997E-2</v>
      </c>
      <c r="H694" s="1">
        <v>0.91869999999999996</v>
      </c>
    </row>
    <row r="696" spans="1:9">
      <c r="A696" t="s">
        <v>302</v>
      </c>
    </row>
    <row r="697" spans="1:9">
      <c r="A697" t="s">
        <v>214</v>
      </c>
      <c r="B697" t="s">
        <v>189</v>
      </c>
      <c r="C697" t="s">
        <v>195</v>
      </c>
      <c r="D697" t="s">
        <v>190</v>
      </c>
      <c r="E697" t="s">
        <v>196</v>
      </c>
      <c r="F697" t="s">
        <v>228</v>
      </c>
      <c r="G697" t="s">
        <v>215</v>
      </c>
      <c r="H697" t="s">
        <v>223</v>
      </c>
      <c r="I697" t="s">
        <v>216</v>
      </c>
    </row>
    <row r="698" spans="1:9">
      <c r="A698" t="s">
        <v>198</v>
      </c>
      <c r="B698" t="s">
        <v>197</v>
      </c>
      <c r="C698">
        <v>1050</v>
      </c>
      <c r="D698" t="s">
        <v>198</v>
      </c>
      <c r="E698">
        <v>1050</v>
      </c>
      <c r="F698" s="1">
        <v>2E-3</v>
      </c>
      <c r="G698" s="1">
        <v>0.12670000000000001</v>
      </c>
      <c r="H698" s="1">
        <v>1.1000000000000001E-3</v>
      </c>
      <c r="I698" s="1">
        <v>0.87029999999999996</v>
      </c>
    </row>
    <row r="699" spans="1:9">
      <c r="A699" t="s">
        <v>235</v>
      </c>
      <c r="B699" t="s">
        <v>204</v>
      </c>
      <c r="C699">
        <v>73</v>
      </c>
      <c r="D699" t="s">
        <v>208</v>
      </c>
      <c r="E699">
        <v>1050</v>
      </c>
      <c r="G699" s="1">
        <v>0.12330000000000001</v>
      </c>
      <c r="I699" s="1">
        <v>0.87670000000000003</v>
      </c>
    </row>
    <row r="700" spans="1:9">
      <c r="A700" t="s">
        <v>236</v>
      </c>
      <c r="B700" t="s">
        <v>204</v>
      </c>
      <c r="C700">
        <v>31</v>
      </c>
      <c r="D700" t="s">
        <v>205</v>
      </c>
      <c r="E700">
        <v>1050</v>
      </c>
      <c r="G700" s="1">
        <v>0.30919999999999997</v>
      </c>
      <c r="I700" s="1">
        <v>0.69079999999999997</v>
      </c>
    </row>
    <row r="701" spans="1:9">
      <c r="A701" t="s">
        <v>235</v>
      </c>
      <c r="B701" t="s">
        <v>204</v>
      </c>
      <c r="C701">
        <v>64</v>
      </c>
      <c r="D701" t="s">
        <v>205</v>
      </c>
      <c r="E701">
        <v>1050</v>
      </c>
      <c r="G701" s="1">
        <v>0.1452</v>
      </c>
      <c r="I701" s="1">
        <v>0.8548</v>
      </c>
    </row>
    <row r="702" spans="1:9" s="26" customFormat="1">
      <c r="A702" s="26" t="s">
        <v>236</v>
      </c>
      <c r="B702" s="26" t="s">
        <v>204</v>
      </c>
      <c r="C702" s="26">
        <v>21</v>
      </c>
      <c r="D702" s="26" t="s">
        <v>206</v>
      </c>
      <c r="E702" s="26">
        <v>1050</v>
      </c>
      <c r="G702" s="27">
        <v>0.15040000000000001</v>
      </c>
      <c r="I702" s="27">
        <v>0.84960000000000002</v>
      </c>
    </row>
    <row r="703" spans="1:9" s="26" customFormat="1">
      <c r="A703" s="26" t="s">
        <v>235</v>
      </c>
      <c r="B703" s="26" t="s">
        <v>204</v>
      </c>
      <c r="C703" s="26">
        <v>29</v>
      </c>
      <c r="D703" s="26" t="s">
        <v>206</v>
      </c>
      <c r="E703" s="26">
        <v>1050</v>
      </c>
      <c r="G703" s="27">
        <v>6.5600000000000006E-2</v>
      </c>
      <c r="I703" s="27">
        <v>0.93440000000000001</v>
      </c>
    </row>
    <row r="704" spans="1:9">
      <c r="A704" t="s">
        <v>236</v>
      </c>
      <c r="B704" t="s">
        <v>204</v>
      </c>
      <c r="C704">
        <v>79</v>
      </c>
      <c r="D704" t="s">
        <v>207</v>
      </c>
      <c r="E704">
        <v>1050</v>
      </c>
      <c r="G704" s="1">
        <v>0.221</v>
      </c>
      <c r="H704" s="1">
        <v>2.1299999999999999E-2</v>
      </c>
      <c r="I704" s="1">
        <v>0.75770000000000004</v>
      </c>
    </row>
    <row r="705" spans="1:9">
      <c r="A705" t="s">
        <v>235</v>
      </c>
      <c r="B705" t="s">
        <v>204</v>
      </c>
      <c r="C705">
        <v>50</v>
      </c>
      <c r="D705" t="s">
        <v>207</v>
      </c>
      <c r="E705">
        <v>1050</v>
      </c>
      <c r="G705" s="1">
        <v>0.18609999999999999</v>
      </c>
      <c r="I705" s="1">
        <v>0.81389999999999996</v>
      </c>
    </row>
    <row r="706" spans="1:9" s="26" customFormat="1">
      <c r="A706" s="26" t="s">
        <v>236</v>
      </c>
      <c r="B706" s="26" t="s">
        <v>204</v>
      </c>
      <c r="C706" s="26">
        <v>14</v>
      </c>
      <c r="D706" s="26" t="s">
        <v>208</v>
      </c>
      <c r="E706" s="26">
        <v>1050</v>
      </c>
      <c r="G706" s="27">
        <v>7.1400000000000005E-2</v>
      </c>
      <c r="I706" s="27">
        <v>0.92859999999999998</v>
      </c>
    </row>
    <row r="707" spans="1:9">
      <c r="A707" t="s">
        <v>235</v>
      </c>
      <c r="B707" t="s">
        <v>199</v>
      </c>
      <c r="C707">
        <v>41</v>
      </c>
      <c r="D707" t="s">
        <v>203</v>
      </c>
      <c r="E707">
        <v>1050</v>
      </c>
      <c r="G707" s="1">
        <v>9.6100000000000005E-2</v>
      </c>
      <c r="I707" s="1">
        <v>0.90390000000000004</v>
      </c>
    </row>
    <row r="708" spans="1:9">
      <c r="A708" t="s">
        <v>236</v>
      </c>
      <c r="B708" t="s">
        <v>199</v>
      </c>
      <c r="C708">
        <v>44</v>
      </c>
      <c r="D708" t="s">
        <v>203</v>
      </c>
      <c r="E708">
        <v>1050</v>
      </c>
      <c r="G708" s="1">
        <v>0.13519999999999999</v>
      </c>
      <c r="I708" s="1">
        <v>0.86480000000000001</v>
      </c>
    </row>
    <row r="709" spans="1:9">
      <c r="A709" t="s">
        <v>235</v>
      </c>
      <c r="B709" t="s">
        <v>199</v>
      </c>
      <c r="C709">
        <v>62</v>
      </c>
      <c r="D709" t="s">
        <v>202</v>
      </c>
      <c r="E709">
        <v>1050</v>
      </c>
      <c r="G709" s="1">
        <v>7.1999999999999995E-2</v>
      </c>
      <c r="I709" s="1">
        <v>0.92800000000000005</v>
      </c>
    </row>
    <row r="710" spans="1:9" s="26" customFormat="1">
      <c r="A710" s="26" t="s">
        <v>236</v>
      </c>
      <c r="B710" s="26" t="s">
        <v>199</v>
      </c>
      <c r="C710" s="26">
        <v>25</v>
      </c>
      <c r="D710" s="26" t="s">
        <v>200</v>
      </c>
      <c r="E710" s="26">
        <v>1050</v>
      </c>
      <c r="G710" s="27">
        <v>0.37419999999999998</v>
      </c>
      <c r="I710" s="27">
        <v>0.62580000000000002</v>
      </c>
    </row>
    <row r="711" spans="1:9">
      <c r="A711" t="s">
        <v>235</v>
      </c>
      <c r="B711" t="s">
        <v>199</v>
      </c>
      <c r="C711">
        <v>45</v>
      </c>
      <c r="D711" t="s">
        <v>200</v>
      </c>
      <c r="E711">
        <v>1050</v>
      </c>
      <c r="G711" s="1">
        <v>5.7000000000000002E-3</v>
      </c>
      <c r="I711" s="1">
        <v>0.99429999999999996</v>
      </c>
    </row>
    <row r="712" spans="1:9">
      <c r="A712" t="s">
        <v>236</v>
      </c>
      <c r="B712" t="s">
        <v>199</v>
      </c>
      <c r="C712">
        <v>55</v>
      </c>
      <c r="D712" t="s">
        <v>202</v>
      </c>
      <c r="E712">
        <v>1050</v>
      </c>
      <c r="G712" s="1">
        <v>8.8999999999999996E-2</v>
      </c>
      <c r="I712" s="1">
        <v>0.91100000000000003</v>
      </c>
    </row>
    <row r="713" spans="1:9">
      <c r="A713" t="s">
        <v>235</v>
      </c>
      <c r="B713" t="s">
        <v>199</v>
      </c>
      <c r="C713">
        <v>111</v>
      </c>
      <c r="D713" t="s">
        <v>201</v>
      </c>
      <c r="E713">
        <v>1050</v>
      </c>
      <c r="F713" s="1">
        <v>8.9999999999999993E-3</v>
      </c>
      <c r="G713" s="1">
        <v>0.1081</v>
      </c>
      <c r="I713" s="1">
        <v>0.88290000000000002</v>
      </c>
    </row>
    <row r="714" spans="1:9" s="26" customFormat="1">
      <c r="A714" s="26" t="s">
        <v>236</v>
      </c>
      <c r="B714" s="26" t="s">
        <v>209</v>
      </c>
      <c r="C714" s="26">
        <v>25</v>
      </c>
      <c r="D714" s="26" t="s">
        <v>211</v>
      </c>
      <c r="E714" s="26">
        <v>1050</v>
      </c>
      <c r="G714" s="27">
        <v>0.14419999999999999</v>
      </c>
      <c r="I714" s="27">
        <v>0.85580000000000001</v>
      </c>
    </row>
    <row r="715" spans="1:9">
      <c r="A715" t="s">
        <v>235</v>
      </c>
      <c r="B715" t="s">
        <v>209</v>
      </c>
      <c r="C715">
        <v>69</v>
      </c>
      <c r="D715" t="s">
        <v>211</v>
      </c>
      <c r="E715">
        <v>1050</v>
      </c>
      <c r="G715" s="1">
        <v>4.6199999999999998E-2</v>
      </c>
      <c r="I715" s="1">
        <v>0.95379999999999998</v>
      </c>
    </row>
    <row r="716" spans="1:9">
      <c r="A716" t="s">
        <v>235</v>
      </c>
      <c r="B716" t="s">
        <v>209</v>
      </c>
      <c r="C716">
        <v>90</v>
      </c>
      <c r="D716" t="s">
        <v>212</v>
      </c>
      <c r="E716">
        <v>1050</v>
      </c>
      <c r="G716" s="1">
        <v>7.7799999999999994E-2</v>
      </c>
      <c r="I716" s="1">
        <v>0.92220000000000002</v>
      </c>
    </row>
    <row r="717" spans="1:9" s="26" customFormat="1">
      <c r="A717" s="26" t="s">
        <v>236</v>
      </c>
      <c r="B717" s="26" t="s">
        <v>209</v>
      </c>
      <c r="C717" s="26">
        <v>17</v>
      </c>
      <c r="D717" s="26" t="s">
        <v>212</v>
      </c>
      <c r="E717" s="26">
        <v>1050</v>
      </c>
      <c r="G717" s="27">
        <v>0.11550000000000001</v>
      </c>
      <c r="I717" s="27">
        <v>0.88449999999999995</v>
      </c>
    </row>
    <row r="718" spans="1:9">
      <c r="A718" t="s">
        <v>235</v>
      </c>
      <c r="B718" t="s">
        <v>209</v>
      </c>
      <c r="C718">
        <v>32</v>
      </c>
      <c r="D718" t="s">
        <v>210</v>
      </c>
      <c r="E718">
        <v>1050</v>
      </c>
      <c r="G718" s="1">
        <v>6.8099999999999994E-2</v>
      </c>
      <c r="I718" s="1">
        <v>0.93189999999999995</v>
      </c>
    </row>
    <row r="719" spans="1:9">
      <c r="A719" t="s">
        <v>236</v>
      </c>
      <c r="B719" t="s">
        <v>209</v>
      </c>
      <c r="C719">
        <v>46</v>
      </c>
      <c r="D719" t="s">
        <v>210</v>
      </c>
      <c r="E719">
        <v>1050</v>
      </c>
      <c r="F719" s="1">
        <v>7.7100000000000002E-2</v>
      </c>
      <c r="G719" s="1">
        <v>9.3100000000000002E-2</v>
      </c>
      <c r="H719" s="1">
        <v>3.6400000000000002E-2</v>
      </c>
      <c r="I719" s="1">
        <v>0.79339999999999999</v>
      </c>
    </row>
    <row r="721" spans="1:14">
      <c r="A721" t="s">
        <v>303</v>
      </c>
    </row>
    <row r="722" spans="1:14">
      <c r="A722" t="s">
        <v>189</v>
      </c>
      <c r="B722" t="s">
        <v>195</v>
      </c>
      <c r="C722" t="s">
        <v>190</v>
      </c>
      <c r="D722" t="s">
        <v>196</v>
      </c>
      <c r="E722" t="s">
        <v>304</v>
      </c>
      <c r="F722" t="s">
        <v>305</v>
      </c>
      <c r="G722" t="s">
        <v>306</v>
      </c>
      <c r="H722" t="s">
        <v>307</v>
      </c>
      <c r="I722" t="s">
        <v>228</v>
      </c>
      <c r="J722" t="s">
        <v>308</v>
      </c>
      <c r="K722" t="s">
        <v>309</v>
      </c>
      <c r="L722" t="s">
        <v>223</v>
      </c>
      <c r="M722" t="s">
        <v>310</v>
      </c>
      <c r="N722" t="s">
        <v>311</v>
      </c>
    </row>
    <row r="723" spans="1:14">
      <c r="A723" t="s">
        <v>197</v>
      </c>
      <c r="B723">
        <v>1048</v>
      </c>
      <c r="C723" t="s">
        <v>198</v>
      </c>
      <c r="D723">
        <v>1048</v>
      </c>
      <c r="E723" s="1">
        <v>6.6E-3</v>
      </c>
      <c r="F723" s="1">
        <v>0.22450000000000001</v>
      </c>
      <c r="G723" s="1">
        <v>0.32640000000000002</v>
      </c>
      <c r="H723" s="1">
        <v>0.22900000000000001</v>
      </c>
      <c r="I723" s="1">
        <v>1E-4</v>
      </c>
      <c r="J723" s="1">
        <v>4.5600000000000002E-2</v>
      </c>
      <c r="K723" s="1">
        <v>3.1199999999999999E-2</v>
      </c>
      <c r="L723" s="1">
        <v>5.1000000000000004E-3</v>
      </c>
      <c r="M723" s="1">
        <v>0.28670000000000001</v>
      </c>
      <c r="N723" s="1">
        <v>4.9599999999999998E-2</v>
      </c>
    </row>
    <row r="724" spans="1:14">
      <c r="A724" t="s">
        <v>204</v>
      </c>
      <c r="B724">
        <v>97</v>
      </c>
      <c r="C724" t="s">
        <v>205</v>
      </c>
      <c r="D724">
        <v>1048</v>
      </c>
      <c r="F724" s="1">
        <v>0.13930000000000001</v>
      </c>
      <c r="G724" s="1">
        <v>0.32050000000000001</v>
      </c>
      <c r="H724" s="1">
        <v>0.21099999999999999</v>
      </c>
      <c r="J724" s="1">
        <v>6.1400000000000003E-2</v>
      </c>
      <c r="K724" s="1">
        <v>2.0500000000000001E-2</v>
      </c>
      <c r="M724" s="1">
        <v>0.31340000000000001</v>
      </c>
      <c r="N724" s="1">
        <v>5.0200000000000002E-2</v>
      </c>
    </row>
    <row r="725" spans="1:14">
      <c r="A725" t="s">
        <v>204</v>
      </c>
      <c r="B725">
        <v>56</v>
      </c>
      <c r="C725" t="s">
        <v>206</v>
      </c>
      <c r="D725">
        <v>1048</v>
      </c>
      <c r="F725" s="1">
        <v>0.16980000000000001</v>
      </c>
      <c r="G725" s="1">
        <v>0.3</v>
      </c>
      <c r="H725" s="1">
        <v>0.20610000000000001</v>
      </c>
      <c r="J725" s="1">
        <v>7.8700000000000006E-2</v>
      </c>
      <c r="M725" s="1">
        <v>0.20300000000000001</v>
      </c>
      <c r="N725" s="1">
        <v>9.9900000000000003E-2</v>
      </c>
    </row>
    <row r="726" spans="1:14">
      <c r="A726" t="s">
        <v>204</v>
      </c>
      <c r="B726">
        <v>137</v>
      </c>
      <c r="C726" t="s">
        <v>207</v>
      </c>
      <c r="D726">
        <v>1048</v>
      </c>
      <c r="E726" s="1">
        <v>2.0999999999999999E-3</v>
      </c>
      <c r="F726" s="1">
        <v>0.27450000000000002</v>
      </c>
      <c r="G726" s="1">
        <v>0.33960000000000001</v>
      </c>
      <c r="H726" s="1">
        <v>0.36359999999999998</v>
      </c>
      <c r="J726" s="1">
        <v>1.0200000000000001E-2</v>
      </c>
      <c r="K726" s="1">
        <v>1.6000000000000001E-3</v>
      </c>
      <c r="M726" s="1">
        <v>0.2843</v>
      </c>
      <c r="N726" s="1">
        <v>4.99E-2</v>
      </c>
    </row>
    <row r="727" spans="1:14">
      <c r="A727" t="s">
        <v>204</v>
      </c>
      <c r="B727">
        <v>87</v>
      </c>
      <c r="C727" t="s">
        <v>208</v>
      </c>
      <c r="D727">
        <v>1048</v>
      </c>
      <c r="E727" s="1">
        <v>1.15E-2</v>
      </c>
      <c r="F727" s="1">
        <v>0.1724</v>
      </c>
      <c r="G727" s="1">
        <v>0.37930000000000003</v>
      </c>
      <c r="H727" s="1">
        <v>0.21840000000000001</v>
      </c>
      <c r="J727" s="1">
        <v>5.7500000000000002E-2</v>
      </c>
      <c r="K727" s="1">
        <v>4.5999999999999999E-2</v>
      </c>
      <c r="M727" s="1">
        <v>0.18390000000000001</v>
      </c>
      <c r="N727" s="1">
        <v>6.9000000000000006E-2</v>
      </c>
    </row>
    <row r="728" spans="1:14">
      <c r="A728" t="s">
        <v>199</v>
      </c>
      <c r="B728">
        <v>73</v>
      </c>
      <c r="C728" t="s">
        <v>200</v>
      </c>
      <c r="D728">
        <v>1048</v>
      </c>
      <c r="F728" s="1">
        <v>0.25530000000000003</v>
      </c>
      <c r="G728" s="1">
        <v>0.3528</v>
      </c>
      <c r="H728" s="1">
        <v>0.27689999999999998</v>
      </c>
      <c r="I728" s="1">
        <v>1.2999999999999999E-3</v>
      </c>
      <c r="J728" s="1">
        <v>4.1300000000000003E-2</v>
      </c>
      <c r="K728" s="1">
        <v>0.04</v>
      </c>
      <c r="M728" s="1">
        <v>0.42099999999999999</v>
      </c>
      <c r="N728" s="1">
        <v>2.5999999999999999E-3</v>
      </c>
    </row>
    <row r="729" spans="1:14">
      <c r="A729" t="s">
        <v>199</v>
      </c>
      <c r="B729">
        <v>111</v>
      </c>
      <c r="C729" t="s">
        <v>201</v>
      </c>
      <c r="D729">
        <v>1048</v>
      </c>
      <c r="E729" s="1">
        <v>8.9999999999999993E-3</v>
      </c>
      <c r="F729" s="1">
        <v>0.2072</v>
      </c>
      <c r="G729" s="1">
        <v>0.31530000000000002</v>
      </c>
      <c r="H729" s="1">
        <v>0.18920000000000001</v>
      </c>
      <c r="J729" s="1">
        <v>5.4100000000000002E-2</v>
      </c>
      <c r="K729" s="1">
        <v>7.2099999999999997E-2</v>
      </c>
      <c r="L729" s="1">
        <v>8.9999999999999993E-3</v>
      </c>
      <c r="M729" s="1">
        <v>0.29730000000000001</v>
      </c>
      <c r="N729" s="1">
        <v>7.2099999999999997E-2</v>
      </c>
    </row>
    <row r="730" spans="1:14">
      <c r="A730" t="s">
        <v>199</v>
      </c>
      <c r="B730">
        <v>119</v>
      </c>
      <c r="C730" t="s">
        <v>202</v>
      </c>
      <c r="D730">
        <v>1048</v>
      </c>
      <c r="E730" s="1">
        <v>2.1600000000000001E-2</v>
      </c>
      <c r="F730" s="1">
        <v>0.2989</v>
      </c>
      <c r="G730" s="1">
        <v>0.33029999999999998</v>
      </c>
      <c r="H730" s="1">
        <v>0.22189999999999999</v>
      </c>
      <c r="J730" s="1">
        <v>5.5599999999999997E-2</v>
      </c>
      <c r="K730" s="1">
        <v>1.0800000000000001E-2</v>
      </c>
      <c r="M730" s="1">
        <v>0.22969999999999999</v>
      </c>
      <c r="N730" s="1">
        <v>2.1600000000000001E-2</v>
      </c>
    </row>
    <row r="731" spans="1:14">
      <c r="A731" t="s">
        <v>199</v>
      </c>
      <c r="B731">
        <v>85</v>
      </c>
      <c r="C731" t="s">
        <v>203</v>
      </c>
      <c r="D731">
        <v>1048</v>
      </c>
      <c r="E731" s="1">
        <v>3.0000000000000001E-3</v>
      </c>
      <c r="F731" s="1">
        <v>0.22209999999999999</v>
      </c>
      <c r="G731" s="1">
        <v>0.2661</v>
      </c>
      <c r="H731" s="1">
        <v>0.2747</v>
      </c>
      <c r="J731" s="1">
        <v>4.3799999999999999E-2</v>
      </c>
      <c r="K731" s="1">
        <v>3.5999999999999997E-2</v>
      </c>
      <c r="L731" s="1">
        <v>0.02</v>
      </c>
      <c r="M731" s="1">
        <v>0.22439999999999999</v>
      </c>
      <c r="N731" s="1">
        <v>4.5600000000000002E-2</v>
      </c>
    </row>
    <row r="732" spans="1:14">
      <c r="A732" t="s">
        <v>209</v>
      </c>
      <c r="B732">
        <v>82</v>
      </c>
      <c r="C732" t="s">
        <v>210</v>
      </c>
      <c r="D732">
        <v>1048</v>
      </c>
      <c r="E732" s="1">
        <v>1.7500000000000002E-2</v>
      </c>
      <c r="F732" s="1">
        <v>0.10929999999999999</v>
      </c>
      <c r="G732" s="1">
        <v>0.46960000000000002</v>
      </c>
      <c r="H732" s="1">
        <v>0.1812</v>
      </c>
      <c r="I732" s="1">
        <v>1.7500000000000002E-2</v>
      </c>
      <c r="J732" s="1">
        <v>1.7500000000000002E-2</v>
      </c>
      <c r="K732" s="1">
        <v>3.4000000000000002E-2</v>
      </c>
      <c r="M732" s="1">
        <v>0.13500000000000001</v>
      </c>
      <c r="N732" s="1">
        <v>0.15440000000000001</v>
      </c>
    </row>
    <row r="733" spans="1:14">
      <c r="A733" t="s">
        <v>209</v>
      </c>
      <c r="B733">
        <v>95</v>
      </c>
      <c r="C733" t="s">
        <v>211</v>
      </c>
      <c r="D733">
        <v>1048</v>
      </c>
      <c r="F733" s="1">
        <v>0.10680000000000001</v>
      </c>
      <c r="G733" s="1">
        <v>0.23799999999999999</v>
      </c>
      <c r="H733" s="1">
        <v>0.3044</v>
      </c>
      <c r="J733" s="1">
        <v>2.46E-2</v>
      </c>
      <c r="K733" s="1">
        <v>4.1300000000000003E-2</v>
      </c>
      <c r="M733" s="1">
        <v>0.27460000000000001</v>
      </c>
      <c r="N733" s="1">
        <v>8.48E-2</v>
      </c>
    </row>
    <row r="734" spans="1:14">
      <c r="A734" t="s">
        <v>209</v>
      </c>
      <c r="B734">
        <v>106</v>
      </c>
      <c r="C734" t="s">
        <v>212</v>
      </c>
      <c r="D734">
        <v>1048</v>
      </c>
      <c r="F734" s="1">
        <v>0.2797</v>
      </c>
      <c r="G734" s="1">
        <v>0.33539999999999998</v>
      </c>
      <c r="H734" s="1">
        <v>0.11749999999999999</v>
      </c>
      <c r="J734" s="1">
        <v>4.2999999999999997E-2</v>
      </c>
      <c r="K734" s="1">
        <v>3.4099999999999998E-2</v>
      </c>
      <c r="L734" s="1">
        <v>2.1499999999999998E-2</v>
      </c>
      <c r="M734" s="1">
        <v>0.36620000000000003</v>
      </c>
      <c r="N734" s="1">
        <v>3.2300000000000002E-2</v>
      </c>
    </row>
    <row r="736" spans="1:14">
      <c r="A736" t="s">
        <v>312</v>
      </c>
    </row>
    <row r="737" spans="1:15">
      <c r="A737" t="s">
        <v>214</v>
      </c>
      <c r="B737" t="s">
        <v>189</v>
      </c>
      <c r="C737" t="s">
        <v>195</v>
      </c>
      <c r="D737" t="s">
        <v>190</v>
      </c>
      <c r="E737" t="s">
        <v>196</v>
      </c>
      <c r="F737" t="s">
        <v>304</v>
      </c>
      <c r="G737" t="s">
        <v>305</v>
      </c>
      <c r="H737" t="s">
        <v>306</v>
      </c>
      <c r="I737" t="s">
        <v>307</v>
      </c>
      <c r="J737" t="s">
        <v>228</v>
      </c>
      <c r="K737" t="s">
        <v>308</v>
      </c>
      <c r="L737" t="s">
        <v>309</v>
      </c>
      <c r="M737" t="s">
        <v>223</v>
      </c>
      <c r="N737" t="s">
        <v>310</v>
      </c>
      <c r="O737" t="s">
        <v>311</v>
      </c>
    </row>
    <row r="738" spans="1:15">
      <c r="A738" t="s">
        <v>198</v>
      </c>
      <c r="B738" t="s">
        <v>197</v>
      </c>
      <c r="C738">
        <v>1048</v>
      </c>
      <c r="D738" t="s">
        <v>198</v>
      </c>
      <c r="E738">
        <v>1048</v>
      </c>
      <c r="F738" s="1">
        <v>6.6E-3</v>
      </c>
      <c r="G738" s="1">
        <v>0.22450000000000001</v>
      </c>
      <c r="H738" s="1">
        <v>0.32640000000000002</v>
      </c>
      <c r="I738" s="1">
        <v>0.22900000000000001</v>
      </c>
      <c r="J738" s="1">
        <v>1E-4</v>
      </c>
      <c r="K738" s="1">
        <v>4.5600000000000002E-2</v>
      </c>
      <c r="L738" s="1">
        <v>3.1199999999999999E-2</v>
      </c>
      <c r="M738" s="1">
        <v>5.1000000000000004E-3</v>
      </c>
      <c r="N738" s="1">
        <v>0.28670000000000001</v>
      </c>
      <c r="O738" s="1">
        <v>4.9599999999999998E-2</v>
      </c>
    </row>
    <row r="739" spans="1:15">
      <c r="A739" t="s">
        <v>235</v>
      </c>
      <c r="B739" t="s">
        <v>204</v>
      </c>
      <c r="C739">
        <v>73</v>
      </c>
      <c r="D739" t="s">
        <v>208</v>
      </c>
      <c r="E739">
        <v>1048</v>
      </c>
      <c r="F739" s="1">
        <v>1.37E-2</v>
      </c>
      <c r="G739" s="1">
        <v>0.1918</v>
      </c>
      <c r="H739" s="1">
        <v>0.35620000000000002</v>
      </c>
      <c r="I739" s="1">
        <v>0.24660000000000001</v>
      </c>
      <c r="K739" s="1">
        <v>6.8500000000000005E-2</v>
      </c>
      <c r="L739" s="1">
        <v>2.7400000000000001E-2</v>
      </c>
      <c r="N739" s="1">
        <v>0.1507</v>
      </c>
      <c r="O739" s="1">
        <v>5.4800000000000001E-2</v>
      </c>
    </row>
    <row r="740" spans="1:15">
      <c r="A740" t="s">
        <v>236</v>
      </c>
      <c r="B740" t="s">
        <v>204</v>
      </c>
      <c r="C740">
        <v>31</v>
      </c>
      <c r="D740" t="s">
        <v>205</v>
      </c>
      <c r="E740">
        <v>1048</v>
      </c>
      <c r="G740" s="1">
        <v>0.17419999999999999</v>
      </c>
      <c r="H740" s="1">
        <v>0.34989999999999999</v>
      </c>
      <c r="I740" s="1">
        <v>0.15709999999999999</v>
      </c>
      <c r="K740" s="1">
        <v>0.20280000000000001</v>
      </c>
      <c r="N740" s="1">
        <v>0.14510000000000001</v>
      </c>
      <c r="O740" s="1">
        <v>6.5299999999999997E-2</v>
      </c>
    </row>
    <row r="741" spans="1:15">
      <c r="A741" t="s">
        <v>235</v>
      </c>
      <c r="B741" t="s">
        <v>204</v>
      </c>
      <c r="C741">
        <v>64</v>
      </c>
      <c r="D741" t="s">
        <v>205</v>
      </c>
      <c r="E741">
        <v>1048</v>
      </c>
      <c r="G741" s="1">
        <v>0.1328</v>
      </c>
      <c r="H741" s="1">
        <v>0.31019999999999998</v>
      </c>
      <c r="I741" s="1">
        <v>0.22359999999999999</v>
      </c>
      <c r="K741" s="1">
        <v>3.2000000000000001E-2</v>
      </c>
      <c r="L741" s="1">
        <v>2.5000000000000001E-2</v>
      </c>
      <c r="N741" s="1">
        <v>0.3508</v>
      </c>
      <c r="O741" s="1">
        <v>4.7300000000000002E-2</v>
      </c>
    </row>
    <row r="742" spans="1:15" s="26" customFormat="1">
      <c r="A742" s="26" t="s">
        <v>236</v>
      </c>
      <c r="B742" s="26" t="s">
        <v>204</v>
      </c>
      <c r="C742" s="26">
        <v>21</v>
      </c>
      <c r="D742" s="26" t="s">
        <v>206</v>
      </c>
      <c r="E742" s="26">
        <v>1048</v>
      </c>
      <c r="G742" s="27">
        <v>0.2656</v>
      </c>
      <c r="H742" s="27">
        <v>0.2389</v>
      </c>
      <c r="I742" s="27">
        <v>0.17710000000000001</v>
      </c>
      <c r="K742" s="27">
        <v>4.4299999999999999E-2</v>
      </c>
      <c r="N742" s="27">
        <v>0.2122</v>
      </c>
      <c r="O742" s="27">
        <v>6.1800000000000001E-2</v>
      </c>
    </row>
    <row r="743" spans="1:15" s="26" customFormat="1">
      <c r="A743" s="26" t="s">
        <v>235</v>
      </c>
      <c r="B743" s="26" t="s">
        <v>204</v>
      </c>
      <c r="C743" s="26">
        <v>29</v>
      </c>
      <c r="D743" s="26" t="s">
        <v>206</v>
      </c>
      <c r="E743" s="26">
        <v>1048</v>
      </c>
      <c r="G743" s="27">
        <v>0.1147</v>
      </c>
      <c r="H743" s="27">
        <v>0.33879999999999999</v>
      </c>
      <c r="I743" s="27">
        <v>0.22420000000000001</v>
      </c>
      <c r="K743" s="27">
        <v>7.6499999999999999E-2</v>
      </c>
      <c r="N743" s="27">
        <v>0.23499999999999999</v>
      </c>
      <c r="O743" s="27">
        <v>0.1147</v>
      </c>
    </row>
    <row r="744" spans="1:15">
      <c r="A744" t="s">
        <v>236</v>
      </c>
      <c r="B744" t="s">
        <v>204</v>
      </c>
      <c r="C744">
        <v>78</v>
      </c>
      <c r="D744" t="s">
        <v>207</v>
      </c>
      <c r="E744">
        <v>1048</v>
      </c>
      <c r="F744" s="1">
        <v>7.4000000000000003E-3</v>
      </c>
      <c r="G744" s="1">
        <v>0.2356</v>
      </c>
      <c r="H744" s="1">
        <v>0.249</v>
      </c>
      <c r="I744" s="1">
        <v>0.3523</v>
      </c>
      <c r="K744" s="1">
        <v>2.5100000000000001E-2</v>
      </c>
      <c r="L744" s="1">
        <v>5.4999999999999997E-3</v>
      </c>
      <c r="N744" s="1">
        <v>0.3664</v>
      </c>
      <c r="O744" s="1">
        <v>2.2599999999999999E-2</v>
      </c>
    </row>
    <row r="745" spans="1:15">
      <c r="A745" t="s">
        <v>235</v>
      </c>
      <c r="B745" t="s">
        <v>204</v>
      </c>
      <c r="C745">
        <v>50</v>
      </c>
      <c r="D745" t="s">
        <v>207</v>
      </c>
      <c r="E745">
        <v>1048</v>
      </c>
      <c r="G745" s="1">
        <v>0.29570000000000002</v>
      </c>
      <c r="H745" s="1">
        <v>0.375</v>
      </c>
      <c r="I745" s="1">
        <v>0.37280000000000002</v>
      </c>
      <c r="K745" s="1">
        <v>4.1999999999999997E-3</v>
      </c>
      <c r="N745" s="1">
        <v>0.25069999999999998</v>
      </c>
      <c r="O745" s="1">
        <v>6.2700000000000006E-2</v>
      </c>
    </row>
    <row r="746" spans="1:15" s="26" customFormat="1">
      <c r="A746" s="26" t="s">
        <v>236</v>
      </c>
      <c r="B746" s="26" t="s">
        <v>204</v>
      </c>
      <c r="C746" s="26">
        <v>14</v>
      </c>
      <c r="D746" s="26" t="s">
        <v>208</v>
      </c>
      <c r="E746" s="26">
        <v>1048</v>
      </c>
      <c r="G746" s="27">
        <v>7.1400000000000005E-2</v>
      </c>
      <c r="H746" s="27">
        <v>0.5</v>
      </c>
      <c r="I746" s="27">
        <v>7.1400000000000005E-2</v>
      </c>
      <c r="L746" s="27">
        <v>0.1429</v>
      </c>
      <c r="N746" s="27">
        <v>0.35709999999999997</v>
      </c>
      <c r="O746" s="27">
        <v>0.1429</v>
      </c>
    </row>
    <row r="747" spans="1:15">
      <c r="A747" t="s">
        <v>235</v>
      </c>
      <c r="B747" t="s">
        <v>199</v>
      </c>
      <c r="C747">
        <v>41</v>
      </c>
      <c r="D747" t="s">
        <v>203</v>
      </c>
      <c r="E747">
        <v>1048</v>
      </c>
      <c r="G747" s="1">
        <v>0.2054</v>
      </c>
      <c r="H747" s="1">
        <v>0.30759999999999998</v>
      </c>
      <c r="I747" s="1">
        <v>0.20399999999999999</v>
      </c>
      <c r="K747" s="1">
        <v>3.0499999999999999E-2</v>
      </c>
      <c r="L747" s="1">
        <v>6.1800000000000001E-2</v>
      </c>
      <c r="N747" s="1">
        <v>0.22040000000000001</v>
      </c>
      <c r="O747" s="1">
        <v>4.8399999999999999E-2</v>
      </c>
    </row>
    <row r="748" spans="1:15">
      <c r="A748" t="s">
        <v>236</v>
      </c>
      <c r="B748" t="s">
        <v>199</v>
      </c>
      <c r="C748">
        <v>44</v>
      </c>
      <c r="D748" t="s">
        <v>203</v>
      </c>
      <c r="E748">
        <v>1048</v>
      </c>
      <c r="F748" s="1">
        <v>7.3000000000000001E-3</v>
      </c>
      <c r="G748" s="1">
        <v>0.2455</v>
      </c>
      <c r="H748" s="1">
        <v>0.20810000000000001</v>
      </c>
      <c r="I748" s="1">
        <v>0.37369999999999998</v>
      </c>
      <c r="K748" s="1">
        <v>6.2399999999999997E-2</v>
      </c>
      <c r="M748" s="1">
        <v>4.7899999999999998E-2</v>
      </c>
      <c r="N748" s="1">
        <v>0.23</v>
      </c>
      <c r="O748" s="1">
        <v>4.1599999999999998E-2</v>
      </c>
    </row>
    <row r="749" spans="1:15">
      <c r="A749" t="s">
        <v>235</v>
      </c>
      <c r="B749" t="s">
        <v>199</v>
      </c>
      <c r="C749">
        <v>62</v>
      </c>
      <c r="D749" t="s">
        <v>202</v>
      </c>
      <c r="E749">
        <v>1048</v>
      </c>
      <c r="G749" s="1">
        <v>0.28420000000000001</v>
      </c>
      <c r="H749" s="1">
        <v>0.25729999999999997</v>
      </c>
      <c r="I749" s="1">
        <v>0.30990000000000001</v>
      </c>
      <c r="K749" s="1">
        <v>9.1700000000000004E-2</v>
      </c>
      <c r="L749" s="1">
        <v>2.2100000000000002E-2</v>
      </c>
      <c r="N749" s="1">
        <v>0.20780000000000001</v>
      </c>
      <c r="O749" s="1">
        <v>2.2100000000000002E-2</v>
      </c>
    </row>
    <row r="750" spans="1:15" s="26" customFormat="1">
      <c r="A750" s="26" t="s">
        <v>236</v>
      </c>
      <c r="B750" s="26" t="s">
        <v>199</v>
      </c>
      <c r="C750" s="26">
        <v>25</v>
      </c>
      <c r="D750" s="26" t="s">
        <v>200</v>
      </c>
      <c r="E750" s="26">
        <v>1048</v>
      </c>
      <c r="G750" s="27">
        <v>0.2535</v>
      </c>
      <c r="H750" s="27">
        <v>0.61350000000000005</v>
      </c>
      <c r="I750" s="27">
        <v>7.4000000000000003E-3</v>
      </c>
      <c r="K750" s="27">
        <v>7.2300000000000003E-2</v>
      </c>
      <c r="N750" s="27">
        <v>0.27560000000000001</v>
      </c>
      <c r="O750" s="27">
        <v>2.5000000000000001E-3</v>
      </c>
    </row>
    <row r="751" spans="1:15">
      <c r="A751" t="s">
        <v>235</v>
      </c>
      <c r="B751" t="s">
        <v>199</v>
      </c>
      <c r="C751">
        <v>45</v>
      </c>
      <c r="D751" t="s">
        <v>200</v>
      </c>
      <c r="E751">
        <v>1048</v>
      </c>
      <c r="G751" s="1">
        <v>0.25679999999999997</v>
      </c>
      <c r="H751" s="1">
        <v>5.1200000000000002E-2</v>
      </c>
      <c r="I751" s="1">
        <v>0.59119999999999995</v>
      </c>
      <c r="J751" s="1">
        <v>2.8E-3</v>
      </c>
      <c r="K751" s="1">
        <v>5.7000000000000002E-3</v>
      </c>
      <c r="L751" s="1">
        <v>8.3699999999999997E-2</v>
      </c>
      <c r="N751" s="1">
        <v>0.59279999999999999</v>
      </c>
      <c r="O751" s="1">
        <v>2.8E-3</v>
      </c>
    </row>
    <row r="752" spans="1:15">
      <c r="A752" t="s">
        <v>236</v>
      </c>
      <c r="B752" t="s">
        <v>199</v>
      </c>
      <c r="C752">
        <v>55</v>
      </c>
      <c r="D752" t="s">
        <v>202</v>
      </c>
      <c r="E752">
        <v>1048</v>
      </c>
      <c r="F752" s="1">
        <v>4.3999999999999997E-2</v>
      </c>
      <c r="G752" s="1">
        <v>0.30480000000000002</v>
      </c>
      <c r="H752" s="1">
        <v>0.3957</v>
      </c>
      <c r="I752" s="1">
        <v>0.1439</v>
      </c>
      <c r="K752" s="1">
        <v>2.1999999999999999E-2</v>
      </c>
      <c r="N752" s="1">
        <v>0.23980000000000001</v>
      </c>
      <c r="O752" s="1">
        <v>2.1999999999999999E-2</v>
      </c>
    </row>
    <row r="753" spans="1:15">
      <c r="A753" t="s">
        <v>235</v>
      </c>
      <c r="B753" t="s">
        <v>199</v>
      </c>
      <c r="C753">
        <v>111</v>
      </c>
      <c r="D753" t="s">
        <v>201</v>
      </c>
      <c r="E753">
        <v>1048</v>
      </c>
      <c r="F753" s="1">
        <v>8.9999999999999993E-3</v>
      </c>
      <c r="G753" s="1">
        <v>0.2072</v>
      </c>
      <c r="H753" s="1">
        <v>0.31530000000000002</v>
      </c>
      <c r="I753" s="1">
        <v>0.18920000000000001</v>
      </c>
      <c r="K753" s="1">
        <v>5.4100000000000002E-2</v>
      </c>
      <c r="L753" s="1">
        <v>7.2099999999999997E-2</v>
      </c>
      <c r="M753" s="1">
        <v>8.9999999999999993E-3</v>
      </c>
      <c r="N753" s="1">
        <v>0.29730000000000001</v>
      </c>
      <c r="O753" s="1">
        <v>7.2099999999999997E-2</v>
      </c>
    </row>
    <row r="754" spans="1:15" s="26" customFormat="1">
      <c r="A754" s="26" t="s">
        <v>236</v>
      </c>
      <c r="B754" s="26" t="s">
        <v>209</v>
      </c>
      <c r="C754" s="26">
        <v>25</v>
      </c>
      <c r="D754" s="26" t="s">
        <v>211</v>
      </c>
      <c r="E754" s="26">
        <v>1048</v>
      </c>
      <c r="H754" s="27">
        <v>0.4012</v>
      </c>
      <c r="I754" s="27">
        <v>0.31059999999999999</v>
      </c>
      <c r="K754" s="27">
        <v>5.33E-2</v>
      </c>
      <c r="L754" s="27">
        <v>1.8800000000000001E-2</v>
      </c>
      <c r="N754" s="27">
        <v>0.2505</v>
      </c>
      <c r="O754" s="27">
        <v>9.0899999999999995E-2</v>
      </c>
    </row>
    <row r="755" spans="1:15">
      <c r="A755" t="s">
        <v>235</v>
      </c>
      <c r="B755" t="s">
        <v>209</v>
      </c>
      <c r="C755">
        <v>69</v>
      </c>
      <c r="D755" t="s">
        <v>211</v>
      </c>
      <c r="E755">
        <v>1048</v>
      </c>
      <c r="G755" s="1">
        <v>0.1211</v>
      </c>
      <c r="H755" s="1">
        <v>0.19289999999999999</v>
      </c>
      <c r="I755" s="1">
        <v>0.30880000000000002</v>
      </c>
      <c r="K755" s="1">
        <v>1.6400000000000001E-2</v>
      </c>
      <c r="L755" s="1">
        <v>4.9099999999999998E-2</v>
      </c>
      <c r="N755" s="1">
        <v>0.28760000000000002</v>
      </c>
      <c r="O755" s="1">
        <v>8.4599999999999995E-2</v>
      </c>
    </row>
    <row r="756" spans="1:15">
      <c r="A756" t="s">
        <v>235</v>
      </c>
      <c r="B756" t="s">
        <v>209</v>
      </c>
      <c r="C756">
        <v>89</v>
      </c>
      <c r="D756" t="s">
        <v>212</v>
      </c>
      <c r="E756">
        <v>1048</v>
      </c>
      <c r="G756" s="1">
        <v>0.27900000000000003</v>
      </c>
      <c r="H756" s="1">
        <v>0.34</v>
      </c>
      <c r="I756" s="1">
        <v>0.1187</v>
      </c>
      <c r="K756" s="1">
        <v>4.7399999999999998E-2</v>
      </c>
      <c r="L756" s="1">
        <v>2.3699999999999999E-2</v>
      </c>
      <c r="M756" s="1">
        <v>2.3699999999999999E-2</v>
      </c>
      <c r="N756" s="1">
        <v>0.38100000000000001</v>
      </c>
      <c r="O756" s="1">
        <v>3.56E-2</v>
      </c>
    </row>
    <row r="757" spans="1:15" s="26" customFormat="1">
      <c r="A757" s="26" t="s">
        <v>236</v>
      </c>
      <c r="B757" s="26" t="s">
        <v>209</v>
      </c>
      <c r="C757" s="26">
        <v>17</v>
      </c>
      <c r="D757" s="26" t="s">
        <v>212</v>
      </c>
      <c r="E757" s="26">
        <v>1048</v>
      </c>
      <c r="G757" s="27">
        <v>0.28610000000000002</v>
      </c>
      <c r="H757" s="27">
        <v>0.29020000000000001</v>
      </c>
      <c r="I757" s="27">
        <v>0.10630000000000001</v>
      </c>
      <c r="L757" s="27">
        <v>0.13519999999999999</v>
      </c>
      <c r="N757" s="27">
        <v>0.22259999999999999</v>
      </c>
    </row>
    <row r="758" spans="1:15">
      <c r="A758" t="s">
        <v>235</v>
      </c>
      <c r="B758" t="s">
        <v>209</v>
      </c>
      <c r="C758">
        <v>32</v>
      </c>
      <c r="D758" t="s">
        <v>210</v>
      </c>
      <c r="E758">
        <v>1048</v>
      </c>
      <c r="F758" s="1">
        <v>3.4099999999999998E-2</v>
      </c>
      <c r="G758" s="1">
        <v>6.6199999999999995E-2</v>
      </c>
      <c r="H758" s="1">
        <v>0.34060000000000001</v>
      </c>
      <c r="I758" s="1">
        <v>0.2044</v>
      </c>
      <c r="J758" s="1">
        <v>3.4099999999999998E-2</v>
      </c>
      <c r="K758" s="1">
        <v>3.4099999999999998E-2</v>
      </c>
      <c r="L758" s="1">
        <v>3.4099999999999998E-2</v>
      </c>
      <c r="N758" s="1">
        <v>0.15040000000000001</v>
      </c>
      <c r="O758" s="1">
        <v>0.22040000000000001</v>
      </c>
    </row>
    <row r="759" spans="1:15">
      <c r="A759" t="s">
        <v>236</v>
      </c>
      <c r="B759" t="s">
        <v>209</v>
      </c>
      <c r="C759">
        <v>46</v>
      </c>
      <c r="D759" t="s">
        <v>210</v>
      </c>
      <c r="E759">
        <v>1048</v>
      </c>
      <c r="G759" s="1">
        <v>0.16600000000000001</v>
      </c>
      <c r="H759" s="1">
        <v>0.59530000000000005</v>
      </c>
      <c r="I759" s="1">
        <v>0.1681</v>
      </c>
      <c r="L759" s="1">
        <v>1.8200000000000001E-2</v>
      </c>
      <c r="N759" s="1">
        <v>0.12740000000000001</v>
      </c>
      <c r="O759" s="1">
        <v>9.0999999999999998E-2</v>
      </c>
    </row>
    <row r="761" spans="1:15">
      <c r="A761" t="s">
        <v>313</v>
      </c>
    </row>
    <row r="762" spans="1:15">
      <c r="A762" t="s">
        <v>189</v>
      </c>
      <c r="B762" t="s">
        <v>190</v>
      </c>
      <c r="C762" t="s">
        <v>191</v>
      </c>
      <c r="D762" t="s">
        <v>192</v>
      </c>
      <c r="E762" t="s">
        <v>193</v>
      </c>
      <c r="F762" t="s">
        <v>194</v>
      </c>
      <c r="G762" t="s">
        <v>195</v>
      </c>
      <c r="H762" t="s">
        <v>196</v>
      </c>
    </row>
    <row r="763" spans="1:15">
      <c r="A763" t="s">
        <v>197</v>
      </c>
      <c r="B763" t="s">
        <v>198</v>
      </c>
      <c r="C763">
        <v>25.19530464566655</v>
      </c>
      <c r="D763">
        <v>20</v>
      </c>
      <c r="E763">
        <v>1</v>
      </c>
      <c r="F763">
        <v>360</v>
      </c>
      <c r="G763">
        <v>966</v>
      </c>
      <c r="H763">
        <v>966</v>
      </c>
    </row>
    <row r="764" spans="1:15">
      <c r="A764" t="s">
        <v>199</v>
      </c>
      <c r="B764" t="s">
        <v>200</v>
      </c>
      <c r="C764">
        <v>22.626243848324648</v>
      </c>
      <c r="D764">
        <v>20</v>
      </c>
      <c r="E764">
        <v>5</v>
      </c>
      <c r="F764">
        <v>180</v>
      </c>
      <c r="G764">
        <v>73</v>
      </c>
      <c r="H764">
        <v>966</v>
      </c>
    </row>
    <row r="765" spans="1:15">
      <c r="A765" t="s">
        <v>199</v>
      </c>
      <c r="B765" t="s">
        <v>201</v>
      </c>
      <c r="C765">
        <v>19.541666666666671</v>
      </c>
      <c r="D765">
        <v>15</v>
      </c>
      <c r="E765">
        <v>3</v>
      </c>
      <c r="F765">
        <v>60</v>
      </c>
      <c r="G765">
        <v>96</v>
      </c>
      <c r="H765">
        <v>966</v>
      </c>
    </row>
    <row r="766" spans="1:15">
      <c r="A766" t="s">
        <v>199</v>
      </c>
      <c r="B766" t="s">
        <v>202</v>
      </c>
      <c r="C766">
        <v>20.570434140277719</v>
      </c>
      <c r="D766">
        <v>20</v>
      </c>
      <c r="E766">
        <v>1</v>
      </c>
      <c r="F766">
        <v>90</v>
      </c>
      <c r="G766">
        <v>98</v>
      </c>
      <c r="H766">
        <v>966</v>
      </c>
    </row>
    <row r="767" spans="1:15">
      <c r="A767" t="s">
        <v>199</v>
      </c>
      <c r="B767" t="s">
        <v>203</v>
      </c>
      <c r="C767">
        <v>34.172478670913591</v>
      </c>
      <c r="D767">
        <v>30</v>
      </c>
      <c r="E767">
        <v>1</v>
      </c>
      <c r="F767">
        <v>180</v>
      </c>
      <c r="G767">
        <v>77</v>
      </c>
      <c r="H767">
        <v>966</v>
      </c>
    </row>
    <row r="768" spans="1:15">
      <c r="A768" t="s">
        <v>204</v>
      </c>
      <c r="B768" t="s">
        <v>205</v>
      </c>
      <c r="C768">
        <v>25.95477040094439</v>
      </c>
      <c r="D768">
        <v>20</v>
      </c>
      <c r="E768">
        <v>2</v>
      </c>
      <c r="F768">
        <v>180</v>
      </c>
      <c r="G768">
        <v>91</v>
      </c>
      <c r="H768">
        <v>966</v>
      </c>
    </row>
    <row r="769" spans="1:8">
      <c r="A769" t="s">
        <v>204</v>
      </c>
      <c r="B769" t="s">
        <v>206</v>
      </c>
      <c r="C769">
        <v>26.144010878993441</v>
      </c>
      <c r="D769">
        <v>20</v>
      </c>
      <c r="E769">
        <v>1</v>
      </c>
      <c r="F769">
        <v>120</v>
      </c>
      <c r="G769">
        <v>71</v>
      </c>
      <c r="H769">
        <v>966</v>
      </c>
    </row>
    <row r="770" spans="1:8">
      <c r="A770" t="s">
        <v>204</v>
      </c>
      <c r="B770" t="s">
        <v>207</v>
      </c>
      <c r="C770">
        <v>29.49294397801555</v>
      </c>
      <c r="D770">
        <v>30</v>
      </c>
      <c r="E770">
        <v>1</v>
      </c>
      <c r="F770">
        <v>155</v>
      </c>
      <c r="G770">
        <v>131</v>
      </c>
      <c r="H770">
        <v>966</v>
      </c>
    </row>
    <row r="771" spans="1:8">
      <c r="A771" t="s">
        <v>204</v>
      </c>
      <c r="B771" t="s">
        <v>208</v>
      </c>
      <c r="C771">
        <v>32.527027027027017</v>
      </c>
      <c r="D771">
        <v>20</v>
      </c>
      <c r="E771">
        <v>2</v>
      </c>
      <c r="F771">
        <v>360</v>
      </c>
      <c r="G771">
        <v>74</v>
      </c>
      <c r="H771">
        <v>966</v>
      </c>
    </row>
    <row r="772" spans="1:8">
      <c r="A772" t="s">
        <v>209</v>
      </c>
      <c r="B772" t="s">
        <v>210</v>
      </c>
      <c r="C772">
        <v>31.526264598102241</v>
      </c>
      <c r="D772">
        <v>25</v>
      </c>
      <c r="E772">
        <v>5</v>
      </c>
      <c r="F772">
        <v>150</v>
      </c>
      <c r="G772">
        <v>73</v>
      </c>
      <c r="H772">
        <v>966</v>
      </c>
    </row>
    <row r="773" spans="1:8">
      <c r="A773" t="s">
        <v>209</v>
      </c>
      <c r="B773" t="s">
        <v>211</v>
      </c>
      <c r="C773">
        <v>33.797313937919967</v>
      </c>
      <c r="D773">
        <v>30</v>
      </c>
      <c r="E773">
        <v>5</v>
      </c>
      <c r="F773">
        <v>240</v>
      </c>
      <c r="G773">
        <v>97</v>
      </c>
      <c r="H773">
        <v>966</v>
      </c>
    </row>
    <row r="774" spans="1:8">
      <c r="A774" t="s">
        <v>209</v>
      </c>
      <c r="B774" t="s">
        <v>212</v>
      </c>
      <c r="C774">
        <v>22.968165252230239</v>
      </c>
      <c r="D774">
        <v>20</v>
      </c>
      <c r="E774">
        <v>2</v>
      </c>
      <c r="F774">
        <v>90</v>
      </c>
      <c r="G774">
        <v>85</v>
      </c>
      <c r="H774">
        <v>966</v>
      </c>
    </row>
    <row r="776" spans="1:8">
      <c r="A776" t="s">
        <v>314</v>
      </c>
    </row>
    <row r="777" spans="1:8">
      <c r="A777" t="s">
        <v>189</v>
      </c>
      <c r="B777" t="s">
        <v>195</v>
      </c>
      <c r="C777" t="s">
        <v>190</v>
      </c>
      <c r="D777" t="s">
        <v>196</v>
      </c>
      <c r="E777" t="s">
        <v>228</v>
      </c>
      <c r="F777" t="s">
        <v>215</v>
      </c>
      <c r="G777" t="s">
        <v>223</v>
      </c>
      <c r="H777" t="s">
        <v>216</v>
      </c>
    </row>
    <row r="778" spans="1:8">
      <c r="A778" t="s">
        <v>197</v>
      </c>
      <c r="B778">
        <v>968</v>
      </c>
      <c r="C778" t="s">
        <v>198</v>
      </c>
      <c r="D778">
        <v>968</v>
      </c>
      <c r="E778" s="1">
        <v>4.5999999999999999E-3</v>
      </c>
      <c r="F778" s="1">
        <v>0.3715</v>
      </c>
      <c r="G778" s="1">
        <v>2.3E-3</v>
      </c>
      <c r="H778" s="1">
        <v>0.62160000000000004</v>
      </c>
    </row>
    <row r="779" spans="1:8">
      <c r="A779" t="s">
        <v>204</v>
      </c>
      <c r="B779">
        <v>91</v>
      </c>
      <c r="C779" t="s">
        <v>205</v>
      </c>
      <c r="D779">
        <v>968</v>
      </c>
      <c r="E779" s="1">
        <v>2.3999999999999998E-3</v>
      </c>
      <c r="F779" s="1">
        <v>0.43580000000000002</v>
      </c>
      <c r="H779" s="1">
        <v>0.56179999999999997</v>
      </c>
    </row>
    <row r="780" spans="1:8">
      <c r="A780" t="s">
        <v>204</v>
      </c>
      <c r="B780">
        <v>72</v>
      </c>
      <c r="C780" t="s">
        <v>206</v>
      </c>
      <c r="D780">
        <v>968</v>
      </c>
      <c r="F780" s="1">
        <v>0.63719999999999999</v>
      </c>
      <c r="H780" s="1">
        <v>0.36280000000000001</v>
      </c>
    </row>
    <row r="781" spans="1:8">
      <c r="A781" t="s">
        <v>204</v>
      </c>
      <c r="B781">
        <v>131</v>
      </c>
      <c r="C781" t="s">
        <v>207</v>
      </c>
      <c r="D781">
        <v>968</v>
      </c>
      <c r="E781" s="1">
        <v>3.5999999999999999E-3</v>
      </c>
      <c r="F781" s="1">
        <v>0.18779999999999999</v>
      </c>
      <c r="H781" s="1">
        <v>0.80859999999999999</v>
      </c>
    </row>
    <row r="782" spans="1:8">
      <c r="A782" t="s">
        <v>204</v>
      </c>
      <c r="B782">
        <v>74</v>
      </c>
      <c r="C782" t="s">
        <v>208</v>
      </c>
      <c r="D782">
        <v>968</v>
      </c>
      <c r="F782" s="1">
        <v>0.33779999999999999</v>
      </c>
      <c r="H782" s="1">
        <v>0.66220000000000001</v>
      </c>
    </row>
    <row r="783" spans="1:8">
      <c r="A783" t="s">
        <v>199</v>
      </c>
      <c r="B783">
        <v>73</v>
      </c>
      <c r="C783" t="s">
        <v>200</v>
      </c>
      <c r="D783">
        <v>968</v>
      </c>
      <c r="F783" s="1">
        <v>0.32679999999999998</v>
      </c>
      <c r="H783" s="1">
        <v>0.67320000000000002</v>
      </c>
    </row>
    <row r="784" spans="1:8">
      <c r="A784" t="s">
        <v>199</v>
      </c>
      <c r="B784">
        <v>96</v>
      </c>
      <c r="C784" t="s">
        <v>201</v>
      </c>
      <c r="D784">
        <v>968</v>
      </c>
      <c r="E784" s="1">
        <v>1.04E-2</v>
      </c>
      <c r="F784" s="1">
        <v>0.4375</v>
      </c>
      <c r="G784" s="1">
        <v>1.04E-2</v>
      </c>
      <c r="H784" s="1">
        <v>0.54169999999999996</v>
      </c>
    </row>
    <row r="785" spans="1:9">
      <c r="A785" t="s">
        <v>199</v>
      </c>
      <c r="B785">
        <v>98</v>
      </c>
      <c r="C785" t="s">
        <v>202</v>
      </c>
      <c r="D785">
        <v>968</v>
      </c>
      <c r="F785" s="1">
        <v>0.36170000000000002</v>
      </c>
      <c r="H785" s="1">
        <v>0.63829999999999998</v>
      </c>
    </row>
    <row r="786" spans="1:9">
      <c r="A786" t="s">
        <v>199</v>
      </c>
      <c r="B786">
        <v>77</v>
      </c>
      <c r="C786" t="s">
        <v>203</v>
      </c>
      <c r="D786">
        <v>968</v>
      </c>
      <c r="E786" s="1">
        <v>2.69E-2</v>
      </c>
      <c r="F786" s="1">
        <v>0.44169999999999998</v>
      </c>
      <c r="G786" s="1">
        <v>9.4999999999999998E-3</v>
      </c>
      <c r="H786" s="1">
        <v>0.52200000000000002</v>
      </c>
    </row>
    <row r="787" spans="1:9">
      <c r="A787" t="s">
        <v>209</v>
      </c>
      <c r="B787">
        <v>74</v>
      </c>
      <c r="C787" t="s">
        <v>210</v>
      </c>
      <c r="D787">
        <v>968</v>
      </c>
      <c r="F787" s="1">
        <v>0.42859999999999998</v>
      </c>
      <c r="H787" s="1">
        <v>0.57140000000000002</v>
      </c>
    </row>
    <row r="788" spans="1:9">
      <c r="A788" t="s">
        <v>209</v>
      </c>
      <c r="B788">
        <v>97</v>
      </c>
      <c r="C788" t="s">
        <v>211</v>
      </c>
      <c r="D788">
        <v>968</v>
      </c>
      <c r="E788" s="1">
        <v>1.2E-2</v>
      </c>
      <c r="F788" s="1">
        <v>0.47620000000000001</v>
      </c>
      <c r="H788" s="1">
        <v>0.51180000000000003</v>
      </c>
    </row>
    <row r="789" spans="1:9">
      <c r="A789" t="s">
        <v>209</v>
      </c>
      <c r="B789">
        <v>85</v>
      </c>
      <c r="C789" t="s">
        <v>212</v>
      </c>
      <c r="D789">
        <v>968</v>
      </c>
      <c r="F789" s="1">
        <v>0.3367</v>
      </c>
      <c r="H789" s="1">
        <v>0.6633</v>
      </c>
    </row>
    <row r="791" spans="1:9">
      <c r="A791" t="s">
        <v>315</v>
      </c>
    </row>
    <row r="792" spans="1:9">
      <c r="A792" t="s">
        <v>214</v>
      </c>
      <c r="B792" t="s">
        <v>189</v>
      </c>
      <c r="C792" t="s">
        <v>195</v>
      </c>
      <c r="D792" t="s">
        <v>190</v>
      </c>
      <c r="E792" t="s">
        <v>196</v>
      </c>
      <c r="F792" t="s">
        <v>228</v>
      </c>
      <c r="G792" t="s">
        <v>215</v>
      </c>
      <c r="H792" t="s">
        <v>223</v>
      </c>
      <c r="I792" t="s">
        <v>216</v>
      </c>
    </row>
    <row r="793" spans="1:9">
      <c r="A793" t="s">
        <v>198</v>
      </c>
      <c r="B793" t="s">
        <v>197</v>
      </c>
      <c r="C793">
        <v>968</v>
      </c>
      <c r="D793" t="s">
        <v>198</v>
      </c>
      <c r="E793">
        <v>968</v>
      </c>
      <c r="F793" s="1">
        <v>4.5999999999999999E-3</v>
      </c>
      <c r="G793" s="1">
        <v>0.3715</v>
      </c>
      <c r="H793" s="1">
        <v>2.3E-3</v>
      </c>
      <c r="I793" s="1">
        <v>0.62160000000000004</v>
      </c>
    </row>
    <row r="794" spans="1:9">
      <c r="A794" t="s">
        <v>235</v>
      </c>
      <c r="B794" t="s">
        <v>204</v>
      </c>
      <c r="C794">
        <v>63</v>
      </c>
      <c r="D794" t="s">
        <v>208</v>
      </c>
      <c r="E794">
        <v>968</v>
      </c>
      <c r="G794" s="1">
        <v>0.3175</v>
      </c>
      <c r="I794" s="1">
        <v>0.6825</v>
      </c>
    </row>
    <row r="795" spans="1:9">
      <c r="A795" t="s">
        <v>236</v>
      </c>
      <c r="B795" t="s">
        <v>204</v>
      </c>
      <c r="C795">
        <v>32</v>
      </c>
      <c r="D795" t="s">
        <v>205</v>
      </c>
      <c r="E795">
        <v>968</v>
      </c>
      <c r="F795" s="1">
        <v>1.37E-2</v>
      </c>
      <c r="G795" s="1">
        <v>0.51390000000000002</v>
      </c>
      <c r="I795" s="1">
        <v>0.47239999999999999</v>
      </c>
    </row>
    <row r="796" spans="1:9">
      <c r="A796" t="s">
        <v>235</v>
      </c>
      <c r="B796" t="s">
        <v>204</v>
      </c>
      <c r="C796">
        <v>58</v>
      </c>
      <c r="D796" t="s">
        <v>205</v>
      </c>
      <c r="E796">
        <v>968</v>
      </c>
      <c r="G796" s="1">
        <v>0.42009999999999997</v>
      </c>
      <c r="I796" s="1">
        <v>0.57989999999999997</v>
      </c>
    </row>
    <row r="797" spans="1:9" s="26" customFormat="1">
      <c r="A797" s="26" t="s">
        <v>236</v>
      </c>
      <c r="B797" s="26" t="s">
        <v>204</v>
      </c>
      <c r="C797" s="26">
        <v>21</v>
      </c>
      <c r="D797" s="26" t="s">
        <v>206</v>
      </c>
      <c r="E797" s="26">
        <v>968</v>
      </c>
      <c r="G797" s="27">
        <v>0.75219999999999998</v>
      </c>
      <c r="I797" s="27">
        <v>0.24779999999999999</v>
      </c>
    </row>
    <row r="798" spans="1:9">
      <c r="A798" t="s">
        <v>235</v>
      </c>
      <c r="B798" t="s">
        <v>204</v>
      </c>
      <c r="C798">
        <v>47</v>
      </c>
      <c r="D798" t="s">
        <v>206</v>
      </c>
      <c r="E798">
        <v>968</v>
      </c>
      <c r="G798" s="1">
        <v>0.60470000000000002</v>
      </c>
      <c r="I798" s="1">
        <v>0.39529999999999998</v>
      </c>
    </row>
    <row r="799" spans="1:9">
      <c r="A799" t="s">
        <v>236</v>
      </c>
      <c r="B799" t="s">
        <v>204</v>
      </c>
      <c r="C799">
        <v>81</v>
      </c>
      <c r="D799" t="s">
        <v>207</v>
      </c>
      <c r="E799">
        <v>968</v>
      </c>
      <c r="F799" s="1">
        <v>8.8000000000000005E-3</v>
      </c>
      <c r="G799" s="1">
        <v>0.37469999999999998</v>
      </c>
      <c r="I799" s="1">
        <v>0.61650000000000005</v>
      </c>
    </row>
    <row r="800" spans="1:9">
      <c r="A800" t="s">
        <v>235</v>
      </c>
      <c r="B800" t="s">
        <v>204</v>
      </c>
      <c r="C800">
        <v>45</v>
      </c>
      <c r="D800" t="s">
        <v>207</v>
      </c>
      <c r="E800">
        <v>968</v>
      </c>
      <c r="G800" s="1">
        <v>4.6800000000000001E-2</v>
      </c>
      <c r="I800" s="1">
        <v>0.95320000000000005</v>
      </c>
    </row>
    <row r="801" spans="1:9" s="26" customFormat="1">
      <c r="A801" s="26" t="s">
        <v>236</v>
      </c>
      <c r="B801" s="26" t="s">
        <v>204</v>
      </c>
      <c r="C801" s="26">
        <v>11</v>
      </c>
      <c r="D801" s="26" t="s">
        <v>208</v>
      </c>
      <c r="E801" s="26">
        <v>968</v>
      </c>
      <c r="G801" s="27">
        <v>0.45450000000000002</v>
      </c>
      <c r="I801" s="27">
        <v>0.54549999999999998</v>
      </c>
    </row>
    <row r="802" spans="1:9">
      <c r="A802" t="s">
        <v>235</v>
      </c>
      <c r="B802" t="s">
        <v>199</v>
      </c>
      <c r="C802">
        <v>44</v>
      </c>
      <c r="D802" t="s">
        <v>203</v>
      </c>
      <c r="E802">
        <v>968</v>
      </c>
      <c r="F802" s="1">
        <v>4.2799999999999998E-2</v>
      </c>
      <c r="G802" s="1">
        <v>0.47549999999999998</v>
      </c>
      <c r="I802" s="1">
        <v>0.48170000000000002</v>
      </c>
    </row>
    <row r="803" spans="1:9">
      <c r="A803" t="s">
        <v>236</v>
      </c>
      <c r="B803" t="s">
        <v>199</v>
      </c>
      <c r="C803">
        <v>32</v>
      </c>
      <c r="D803" t="s">
        <v>203</v>
      </c>
      <c r="E803">
        <v>968</v>
      </c>
      <c r="G803" s="1">
        <v>0.33700000000000002</v>
      </c>
      <c r="H803" s="1">
        <v>2.75E-2</v>
      </c>
      <c r="I803" s="1">
        <v>0.63560000000000005</v>
      </c>
    </row>
    <row r="804" spans="1:9">
      <c r="A804" t="s">
        <v>235</v>
      </c>
      <c r="B804" t="s">
        <v>199</v>
      </c>
      <c r="C804">
        <v>60</v>
      </c>
      <c r="D804" t="s">
        <v>202</v>
      </c>
      <c r="E804">
        <v>968</v>
      </c>
      <c r="G804" s="1">
        <v>0.37290000000000001</v>
      </c>
      <c r="I804" s="1">
        <v>0.62709999999999999</v>
      </c>
    </row>
    <row r="805" spans="1:9" s="26" customFormat="1">
      <c r="A805" s="26" t="s">
        <v>236</v>
      </c>
      <c r="B805" s="26" t="s">
        <v>199</v>
      </c>
      <c r="C805" s="26">
        <v>24</v>
      </c>
      <c r="D805" s="26" t="s">
        <v>200</v>
      </c>
      <c r="E805" s="26">
        <v>968</v>
      </c>
      <c r="G805" s="27">
        <v>0.1123</v>
      </c>
      <c r="I805" s="27">
        <v>0.88770000000000004</v>
      </c>
    </row>
    <row r="806" spans="1:9">
      <c r="A806" t="s">
        <v>235</v>
      </c>
      <c r="B806" t="s">
        <v>199</v>
      </c>
      <c r="C806">
        <v>46</v>
      </c>
      <c r="D806" t="s">
        <v>200</v>
      </c>
      <c r="E806">
        <v>968</v>
      </c>
      <c r="G806" s="1">
        <v>0.51839999999999997</v>
      </c>
      <c r="I806" s="1">
        <v>0.48159999999999997</v>
      </c>
    </row>
    <row r="807" spans="1:9">
      <c r="A807" t="s">
        <v>236</v>
      </c>
      <c r="B807" t="s">
        <v>199</v>
      </c>
      <c r="C807">
        <v>37</v>
      </c>
      <c r="D807" t="s">
        <v>202</v>
      </c>
      <c r="E807">
        <v>968</v>
      </c>
      <c r="G807" s="1">
        <v>0.3579</v>
      </c>
      <c r="I807" s="1">
        <v>0.6421</v>
      </c>
    </row>
    <row r="808" spans="1:9">
      <c r="A808" t="s">
        <v>235</v>
      </c>
      <c r="B808" t="s">
        <v>199</v>
      </c>
      <c r="C808">
        <v>96</v>
      </c>
      <c r="D808" t="s">
        <v>201</v>
      </c>
      <c r="E808">
        <v>968</v>
      </c>
      <c r="F808" s="1">
        <v>1.04E-2</v>
      </c>
      <c r="G808" s="1">
        <v>0.4375</v>
      </c>
      <c r="H808" s="1">
        <v>1.04E-2</v>
      </c>
      <c r="I808" s="1">
        <v>0.54169999999999996</v>
      </c>
    </row>
    <row r="809" spans="1:9">
      <c r="A809" t="s">
        <v>236</v>
      </c>
      <c r="B809" t="s">
        <v>209</v>
      </c>
      <c r="C809">
        <v>39</v>
      </c>
      <c r="D809" t="s">
        <v>211</v>
      </c>
      <c r="E809">
        <v>968</v>
      </c>
      <c r="F809" s="1">
        <v>3.3599999999999998E-2</v>
      </c>
      <c r="G809" s="1">
        <v>0.55349999999999999</v>
      </c>
      <c r="I809" s="1">
        <v>0.41289999999999999</v>
      </c>
    </row>
    <row r="810" spans="1:9">
      <c r="A810" t="s">
        <v>235</v>
      </c>
      <c r="B810" t="s">
        <v>209</v>
      </c>
      <c r="C810">
        <v>56</v>
      </c>
      <c r="D810" t="s">
        <v>211</v>
      </c>
      <c r="E810">
        <v>968</v>
      </c>
      <c r="G810" s="1">
        <v>0.42980000000000002</v>
      </c>
      <c r="I810" s="1">
        <v>0.57020000000000004</v>
      </c>
    </row>
    <row r="811" spans="1:9">
      <c r="A811" t="s">
        <v>235</v>
      </c>
      <c r="B811" t="s">
        <v>209</v>
      </c>
      <c r="C811">
        <v>67</v>
      </c>
      <c r="D811" t="s">
        <v>212</v>
      </c>
      <c r="E811">
        <v>968</v>
      </c>
      <c r="G811" s="1">
        <v>0.32900000000000001</v>
      </c>
      <c r="I811" s="1">
        <v>0.67100000000000004</v>
      </c>
    </row>
    <row r="812" spans="1:9" s="26" customFormat="1">
      <c r="A812" s="26" t="s">
        <v>236</v>
      </c>
      <c r="B812" s="26" t="s">
        <v>209</v>
      </c>
      <c r="C812" s="26">
        <v>18</v>
      </c>
      <c r="D812" s="26" t="s">
        <v>212</v>
      </c>
      <c r="E812" s="26">
        <v>968</v>
      </c>
      <c r="G812" s="27">
        <v>0.38450000000000001</v>
      </c>
      <c r="I812" s="27">
        <v>0.61550000000000005</v>
      </c>
    </row>
    <row r="813" spans="1:9">
      <c r="A813" t="s">
        <v>236</v>
      </c>
      <c r="B813" t="s">
        <v>209</v>
      </c>
      <c r="C813">
        <v>38</v>
      </c>
      <c r="D813" t="s">
        <v>210</v>
      </c>
      <c r="E813">
        <v>968</v>
      </c>
      <c r="G813" s="1">
        <v>0.378</v>
      </c>
      <c r="I813" s="1">
        <v>0.622</v>
      </c>
    </row>
    <row r="814" spans="1:9">
      <c r="A814" t="s">
        <v>235</v>
      </c>
      <c r="B814" t="s">
        <v>209</v>
      </c>
      <c r="C814">
        <v>32</v>
      </c>
      <c r="D814" t="s">
        <v>210</v>
      </c>
      <c r="E814">
        <v>968</v>
      </c>
      <c r="G814" s="1">
        <v>0.45240000000000002</v>
      </c>
      <c r="I814" s="1">
        <v>0.54759999999999998</v>
      </c>
    </row>
    <row r="816" spans="1:9">
      <c r="A816" t="s">
        <v>316</v>
      </c>
    </row>
    <row r="817" spans="1:8">
      <c r="A817" t="s">
        <v>189</v>
      </c>
      <c r="B817" t="s">
        <v>195</v>
      </c>
      <c r="C817" t="s">
        <v>190</v>
      </c>
      <c r="D817" t="s">
        <v>196</v>
      </c>
      <c r="E817" t="s">
        <v>228</v>
      </c>
      <c r="F817" t="s">
        <v>215</v>
      </c>
      <c r="G817" t="s">
        <v>216</v>
      </c>
    </row>
    <row r="818" spans="1:8">
      <c r="A818" t="s">
        <v>197</v>
      </c>
      <c r="B818">
        <v>577</v>
      </c>
      <c r="C818" t="s">
        <v>198</v>
      </c>
      <c r="D818">
        <v>577</v>
      </c>
      <c r="E818" s="1">
        <v>2E-3</v>
      </c>
      <c r="F818" s="1">
        <v>4.4699999999999997E-2</v>
      </c>
      <c r="G818" s="1">
        <v>0.95330000000000004</v>
      </c>
    </row>
    <row r="819" spans="1:8">
      <c r="A819" t="s">
        <v>204</v>
      </c>
      <c r="B819">
        <v>54</v>
      </c>
      <c r="C819" t="s">
        <v>205</v>
      </c>
      <c r="D819">
        <v>577</v>
      </c>
      <c r="F819" s="1">
        <v>8.9399999999999993E-2</v>
      </c>
      <c r="G819" s="1">
        <v>0.91059999999999997</v>
      </c>
    </row>
    <row r="820" spans="1:8" s="26" customFormat="1">
      <c r="A820" s="26" t="s">
        <v>204</v>
      </c>
      <c r="B820" s="26">
        <v>26</v>
      </c>
      <c r="C820" s="26" t="s">
        <v>206</v>
      </c>
      <c r="D820" s="26">
        <v>577</v>
      </c>
      <c r="G820" s="27">
        <v>1</v>
      </c>
    </row>
    <row r="821" spans="1:8">
      <c r="A821" t="s">
        <v>204</v>
      </c>
      <c r="B821">
        <v>90</v>
      </c>
      <c r="C821" t="s">
        <v>207</v>
      </c>
      <c r="D821">
        <v>577</v>
      </c>
      <c r="F821" s="1">
        <v>1.1599999999999999E-2</v>
      </c>
      <c r="G821" s="1">
        <v>0.98839999999999995</v>
      </c>
    </row>
    <row r="822" spans="1:8">
      <c r="A822" t="s">
        <v>204</v>
      </c>
      <c r="B822">
        <v>49</v>
      </c>
      <c r="C822" t="s">
        <v>208</v>
      </c>
      <c r="D822">
        <v>577</v>
      </c>
      <c r="F822" s="1">
        <v>4.0800000000000003E-2</v>
      </c>
      <c r="G822" s="1">
        <v>0.95920000000000005</v>
      </c>
    </row>
    <row r="823" spans="1:8">
      <c r="A823" t="s">
        <v>199</v>
      </c>
      <c r="B823">
        <v>45</v>
      </c>
      <c r="C823" t="s">
        <v>200</v>
      </c>
      <c r="D823">
        <v>577</v>
      </c>
      <c r="G823" s="1">
        <v>1</v>
      </c>
    </row>
    <row r="824" spans="1:8">
      <c r="A824" t="s">
        <v>199</v>
      </c>
      <c r="B824">
        <v>52</v>
      </c>
      <c r="C824" t="s">
        <v>201</v>
      </c>
      <c r="D824">
        <v>577</v>
      </c>
      <c r="F824" s="1">
        <v>3.85E-2</v>
      </c>
      <c r="G824" s="1">
        <v>0.96150000000000002</v>
      </c>
    </row>
    <row r="825" spans="1:8">
      <c r="A825" t="s">
        <v>199</v>
      </c>
      <c r="B825">
        <v>63</v>
      </c>
      <c r="C825" t="s">
        <v>202</v>
      </c>
      <c r="D825">
        <v>577</v>
      </c>
      <c r="F825" s="1">
        <v>5.5399999999999998E-2</v>
      </c>
      <c r="G825" s="1">
        <v>0.9446</v>
      </c>
    </row>
    <row r="826" spans="1:8">
      <c r="A826" t="s">
        <v>199</v>
      </c>
      <c r="B826">
        <v>47</v>
      </c>
      <c r="C826" t="s">
        <v>203</v>
      </c>
      <c r="D826">
        <v>577</v>
      </c>
      <c r="F826" s="1">
        <v>5.7700000000000001E-2</v>
      </c>
      <c r="G826" s="1">
        <v>0.94230000000000003</v>
      </c>
    </row>
    <row r="827" spans="1:8">
      <c r="A827" t="s">
        <v>209</v>
      </c>
      <c r="B827">
        <v>45</v>
      </c>
      <c r="C827" t="s">
        <v>210</v>
      </c>
      <c r="D827">
        <v>577</v>
      </c>
      <c r="F827" s="1">
        <v>0.1057</v>
      </c>
      <c r="G827" s="1">
        <v>0.89429999999999998</v>
      </c>
    </row>
    <row r="828" spans="1:8">
      <c r="A828" t="s">
        <v>209</v>
      </c>
      <c r="B828">
        <v>51</v>
      </c>
      <c r="C828" t="s">
        <v>211</v>
      </c>
      <c r="D828">
        <v>577</v>
      </c>
      <c r="F828" s="1">
        <v>2.35E-2</v>
      </c>
      <c r="G828" s="1">
        <v>0.97650000000000003</v>
      </c>
    </row>
    <row r="829" spans="1:8">
      <c r="A829" t="s">
        <v>209</v>
      </c>
      <c r="B829">
        <v>55</v>
      </c>
      <c r="C829" t="s">
        <v>212</v>
      </c>
      <c r="D829">
        <v>577</v>
      </c>
      <c r="E829" s="1">
        <v>1.7500000000000002E-2</v>
      </c>
      <c r="F829" s="1">
        <v>4.2099999999999999E-2</v>
      </c>
      <c r="G829" s="1">
        <v>0.94040000000000001</v>
      </c>
    </row>
    <row r="831" spans="1:8">
      <c r="A831" t="s">
        <v>317</v>
      </c>
    </row>
    <row r="832" spans="1:8">
      <c r="A832" t="s">
        <v>214</v>
      </c>
      <c r="B832" t="s">
        <v>189</v>
      </c>
      <c r="C832" t="s">
        <v>195</v>
      </c>
      <c r="D832" t="s">
        <v>190</v>
      </c>
      <c r="E832" t="s">
        <v>196</v>
      </c>
      <c r="F832" t="s">
        <v>228</v>
      </c>
      <c r="G832" t="s">
        <v>215</v>
      </c>
      <c r="H832" t="s">
        <v>216</v>
      </c>
    </row>
    <row r="833" spans="1:8">
      <c r="A833" t="s">
        <v>198</v>
      </c>
      <c r="B833" t="s">
        <v>197</v>
      </c>
      <c r="C833">
        <v>577</v>
      </c>
      <c r="D833" t="s">
        <v>198</v>
      </c>
      <c r="E833">
        <v>577</v>
      </c>
      <c r="F833" s="1">
        <v>2E-3</v>
      </c>
      <c r="G833" s="1">
        <v>4.4699999999999997E-2</v>
      </c>
      <c r="H833" s="1">
        <v>0.95330000000000004</v>
      </c>
    </row>
    <row r="834" spans="1:8" s="26" customFormat="1">
      <c r="A834" s="26" t="s">
        <v>236</v>
      </c>
      <c r="B834" s="26" t="s">
        <v>204</v>
      </c>
      <c r="C834" s="26">
        <v>6</v>
      </c>
      <c r="D834" s="26" t="s">
        <v>208</v>
      </c>
      <c r="E834" s="26">
        <v>577</v>
      </c>
      <c r="H834" s="27">
        <v>1</v>
      </c>
    </row>
    <row r="835" spans="1:8" s="26" customFormat="1">
      <c r="A835" s="26" t="s">
        <v>236</v>
      </c>
      <c r="B835" s="26" t="s">
        <v>204</v>
      </c>
      <c r="C835" s="26">
        <v>17</v>
      </c>
      <c r="D835" s="26" t="s">
        <v>205</v>
      </c>
      <c r="E835" s="26">
        <v>577</v>
      </c>
      <c r="H835" s="27">
        <v>1</v>
      </c>
    </row>
    <row r="836" spans="1:8">
      <c r="A836" t="s">
        <v>235</v>
      </c>
      <c r="B836" t="s">
        <v>204</v>
      </c>
      <c r="C836">
        <v>36</v>
      </c>
      <c r="D836" t="s">
        <v>205</v>
      </c>
      <c r="E836">
        <v>577</v>
      </c>
      <c r="G836" s="1">
        <v>0.1056</v>
      </c>
      <c r="H836" s="1">
        <v>0.89439999999999997</v>
      </c>
    </row>
    <row r="837" spans="1:8" s="26" customFormat="1">
      <c r="A837" s="26" t="s">
        <v>236</v>
      </c>
      <c r="B837" s="26" t="s">
        <v>204</v>
      </c>
      <c r="C837" s="26">
        <v>5</v>
      </c>
      <c r="D837" s="26" t="s">
        <v>206</v>
      </c>
      <c r="E837" s="26">
        <v>577</v>
      </c>
      <c r="H837" s="27">
        <v>1</v>
      </c>
    </row>
    <row r="838" spans="1:8" s="26" customFormat="1">
      <c r="A838" s="26" t="s">
        <v>235</v>
      </c>
      <c r="B838" s="26" t="s">
        <v>204</v>
      </c>
      <c r="C838" s="26">
        <v>19</v>
      </c>
      <c r="D838" s="26" t="s">
        <v>206</v>
      </c>
      <c r="E838" s="26">
        <v>577</v>
      </c>
      <c r="H838" s="27">
        <v>1</v>
      </c>
    </row>
    <row r="839" spans="1:8">
      <c r="A839" t="s">
        <v>236</v>
      </c>
      <c r="B839" t="s">
        <v>204</v>
      </c>
      <c r="C839">
        <v>54</v>
      </c>
      <c r="D839" t="s">
        <v>207</v>
      </c>
      <c r="E839">
        <v>577</v>
      </c>
      <c r="G839" s="1">
        <v>3.7600000000000001E-2</v>
      </c>
      <c r="H839" s="1">
        <v>0.96240000000000003</v>
      </c>
    </row>
    <row r="840" spans="1:8">
      <c r="A840" t="s">
        <v>235</v>
      </c>
      <c r="B840" t="s">
        <v>204</v>
      </c>
      <c r="C840">
        <v>34</v>
      </c>
      <c r="D840" t="s">
        <v>207</v>
      </c>
      <c r="E840">
        <v>577</v>
      </c>
      <c r="H840" s="1">
        <v>1</v>
      </c>
    </row>
    <row r="841" spans="1:8">
      <c r="A841" t="s">
        <v>235</v>
      </c>
      <c r="B841" t="s">
        <v>204</v>
      </c>
      <c r="C841">
        <v>43</v>
      </c>
      <c r="D841" t="s">
        <v>208</v>
      </c>
      <c r="E841">
        <v>577</v>
      </c>
      <c r="G841" s="1">
        <v>4.65E-2</v>
      </c>
      <c r="H841" s="1">
        <v>0.95350000000000001</v>
      </c>
    </row>
    <row r="842" spans="1:8" s="26" customFormat="1">
      <c r="A842" s="26" t="s">
        <v>236</v>
      </c>
      <c r="B842" s="26" t="s">
        <v>199</v>
      </c>
      <c r="C842" s="26">
        <v>21</v>
      </c>
      <c r="D842" s="26" t="s">
        <v>203</v>
      </c>
      <c r="E842" s="26">
        <v>577</v>
      </c>
      <c r="G842" s="27">
        <v>5.0700000000000002E-2</v>
      </c>
      <c r="H842" s="27">
        <v>0.94930000000000003</v>
      </c>
    </row>
    <row r="843" spans="1:8" s="26" customFormat="1">
      <c r="A843" s="26" t="s">
        <v>235</v>
      </c>
      <c r="B843" s="26" t="s">
        <v>199</v>
      </c>
      <c r="C843" s="26">
        <v>26</v>
      </c>
      <c r="D843" s="26" t="s">
        <v>203</v>
      </c>
      <c r="E843" s="26">
        <v>577</v>
      </c>
      <c r="G843" s="27">
        <v>6.2799999999999995E-2</v>
      </c>
      <c r="H843" s="27">
        <v>0.93720000000000003</v>
      </c>
    </row>
    <row r="844" spans="1:8">
      <c r="A844" t="s">
        <v>235</v>
      </c>
      <c r="B844" t="s">
        <v>199</v>
      </c>
      <c r="C844">
        <v>38</v>
      </c>
      <c r="D844" t="s">
        <v>202</v>
      </c>
      <c r="E844">
        <v>577</v>
      </c>
      <c r="G844" s="1">
        <v>6.0699999999999997E-2</v>
      </c>
      <c r="H844" s="1">
        <v>0.93930000000000002</v>
      </c>
    </row>
    <row r="845" spans="1:8" s="26" customFormat="1">
      <c r="A845" s="26" t="s">
        <v>236</v>
      </c>
      <c r="B845" s="26" t="s">
        <v>199</v>
      </c>
      <c r="C845" s="26">
        <v>19</v>
      </c>
      <c r="D845" s="26" t="s">
        <v>200</v>
      </c>
      <c r="E845" s="26">
        <v>577</v>
      </c>
      <c r="H845" s="27">
        <v>1</v>
      </c>
    </row>
    <row r="846" spans="1:8" s="26" customFormat="1">
      <c r="A846" s="26" t="s">
        <v>235</v>
      </c>
      <c r="B846" s="26" t="s">
        <v>199</v>
      </c>
      <c r="C846" s="26">
        <v>24</v>
      </c>
      <c r="D846" s="26" t="s">
        <v>200</v>
      </c>
      <c r="E846" s="26">
        <v>577</v>
      </c>
      <c r="H846" s="27">
        <v>1</v>
      </c>
    </row>
    <row r="847" spans="1:8" s="26" customFormat="1">
      <c r="A847" s="26" t="s">
        <v>236</v>
      </c>
      <c r="B847" s="26" t="s">
        <v>199</v>
      </c>
      <c r="C847" s="26">
        <v>24</v>
      </c>
      <c r="D847" s="26" t="s">
        <v>202</v>
      </c>
      <c r="E847" s="26">
        <v>577</v>
      </c>
      <c r="H847" s="27">
        <v>1</v>
      </c>
    </row>
    <row r="848" spans="1:8">
      <c r="A848" t="s">
        <v>235</v>
      </c>
      <c r="B848" t="s">
        <v>199</v>
      </c>
      <c r="C848">
        <v>52</v>
      </c>
      <c r="D848" t="s">
        <v>201</v>
      </c>
      <c r="E848">
        <v>577</v>
      </c>
      <c r="G848" s="1">
        <v>3.85E-2</v>
      </c>
      <c r="H848" s="1">
        <v>0.96150000000000002</v>
      </c>
    </row>
    <row r="849" spans="1:16" s="26" customFormat="1">
      <c r="A849" s="26" t="s">
        <v>236</v>
      </c>
      <c r="B849" s="26" t="s">
        <v>209</v>
      </c>
      <c r="C849" s="26">
        <v>18</v>
      </c>
      <c r="D849" s="26" t="s">
        <v>211</v>
      </c>
      <c r="E849" s="26">
        <v>577</v>
      </c>
      <c r="G849" s="27">
        <v>8.14E-2</v>
      </c>
      <c r="H849" s="27">
        <v>0.91859999999999997</v>
      </c>
    </row>
    <row r="850" spans="1:16">
      <c r="A850" t="s">
        <v>235</v>
      </c>
      <c r="B850" t="s">
        <v>209</v>
      </c>
      <c r="C850">
        <v>32</v>
      </c>
      <c r="D850" t="s">
        <v>211</v>
      </c>
      <c r="E850">
        <v>577</v>
      </c>
      <c r="H850" s="1">
        <v>1</v>
      </c>
    </row>
    <row r="851" spans="1:16">
      <c r="A851" t="s">
        <v>235</v>
      </c>
      <c r="B851" t="s">
        <v>209</v>
      </c>
      <c r="C851">
        <v>45</v>
      </c>
      <c r="D851" t="s">
        <v>212</v>
      </c>
      <c r="E851">
        <v>577</v>
      </c>
      <c r="G851" s="1">
        <v>4.8300000000000003E-2</v>
      </c>
      <c r="H851" s="1">
        <v>0.95169999999999999</v>
      </c>
    </row>
    <row r="852" spans="1:16" s="26" customFormat="1">
      <c r="A852" s="26" t="s">
        <v>236</v>
      </c>
      <c r="B852" s="26" t="s">
        <v>209</v>
      </c>
      <c r="C852" s="26">
        <v>10</v>
      </c>
      <c r="D852" s="26" t="s">
        <v>212</v>
      </c>
      <c r="E852" s="26">
        <v>577</v>
      </c>
      <c r="F852" s="27">
        <v>0.13639999999999999</v>
      </c>
      <c r="H852" s="27">
        <v>0.86360000000000003</v>
      </c>
    </row>
    <row r="853" spans="1:16" s="26" customFormat="1">
      <c r="A853" s="26" t="s">
        <v>235</v>
      </c>
      <c r="B853" s="26" t="s">
        <v>209</v>
      </c>
      <c r="C853" s="26">
        <v>18</v>
      </c>
      <c r="D853" s="26" t="s">
        <v>210</v>
      </c>
      <c r="E853" s="26">
        <v>577</v>
      </c>
      <c r="G853" s="27">
        <v>0.17380000000000001</v>
      </c>
      <c r="H853" s="27">
        <v>0.82620000000000005</v>
      </c>
    </row>
    <row r="854" spans="1:16" s="26" customFormat="1">
      <c r="A854" s="26" t="s">
        <v>236</v>
      </c>
      <c r="B854" s="26" t="s">
        <v>209</v>
      </c>
      <c r="C854" s="26">
        <v>25</v>
      </c>
      <c r="D854" s="26" t="s">
        <v>210</v>
      </c>
      <c r="E854" s="26">
        <v>577</v>
      </c>
      <c r="G854" s="27">
        <v>3.27E-2</v>
      </c>
      <c r="H854" s="27">
        <v>0.96730000000000005</v>
      </c>
    </row>
    <row r="856" spans="1:16">
      <c r="A856" t="s">
        <v>318</v>
      </c>
    </row>
    <row r="857" spans="1:16">
      <c r="A857" t="s">
        <v>189</v>
      </c>
      <c r="B857" t="s">
        <v>195</v>
      </c>
      <c r="C857" t="s">
        <v>190</v>
      </c>
      <c r="D857" t="s">
        <v>196</v>
      </c>
      <c r="E857" t="s">
        <v>228</v>
      </c>
      <c r="F857" t="s">
        <v>319</v>
      </c>
      <c r="G857" t="s">
        <v>320</v>
      </c>
      <c r="H857" t="s">
        <v>321</v>
      </c>
      <c r="I857" t="s">
        <v>322</v>
      </c>
      <c r="J857" t="s">
        <v>323</v>
      </c>
      <c r="K857" t="s">
        <v>324</v>
      </c>
      <c r="L857" t="s">
        <v>325</v>
      </c>
      <c r="M857" t="s">
        <v>326</v>
      </c>
      <c r="N857" t="s">
        <v>327</v>
      </c>
      <c r="O857" t="s">
        <v>328</v>
      </c>
      <c r="P857" t="s">
        <v>223</v>
      </c>
    </row>
    <row r="858" spans="1:16" s="26" customFormat="1">
      <c r="A858" s="26" t="s">
        <v>197</v>
      </c>
      <c r="B858" s="26">
        <v>24</v>
      </c>
      <c r="C858" s="26" t="s">
        <v>198</v>
      </c>
      <c r="D858" s="26">
        <v>24</v>
      </c>
      <c r="E858" s="27">
        <v>0.1021</v>
      </c>
      <c r="F858" s="27">
        <v>8.14E-2</v>
      </c>
      <c r="G858" s="27">
        <v>0.1837</v>
      </c>
      <c r="H858" s="27">
        <v>2.0500000000000001E-2</v>
      </c>
      <c r="I858" s="27">
        <v>8.14E-2</v>
      </c>
      <c r="J858" s="27">
        <v>0.39829999999999999</v>
      </c>
      <c r="K858" s="27">
        <v>0.4365</v>
      </c>
      <c r="L858" s="27">
        <v>1.9800000000000002E-2</v>
      </c>
      <c r="M858" s="27">
        <v>0.23430000000000001</v>
      </c>
      <c r="N858" s="27">
        <v>0.20349999999999999</v>
      </c>
      <c r="O858" s="27">
        <v>5.0900000000000001E-2</v>
      </c>
      <c r="P858" s="27">
        <v>1.8E-3</v>
      </c>
    </row>
    <row r="859" spans="1:16" s="26" customFormat="1">
      <c r="A859" s="26" t="s">
        <v>204</v>
      </c>
      <c r="B859" s="26">
        <v>2</v>
      </c>
      <c r="C859" s="26" t="s">
        <v>205</v>
      </c>
      <c r="D859" s="26">
        <v>24</v>
      </c>
      <c r="J859" s="27">
        <v>0.73209999999999997</v>
      </c>
      <c r="K859" s="27">
        <v>1</v>
      </c>
    </row>
    <row r="860" spans="1:16" s="26" customFormat="1">
      <c r="A860" s="26" t="s">
        <v>204</v>
      </c>
      <c r="B860" s="26">
        <v>3</v>
      </c>
      <c r="C860" s="26" t="s">
        <v>207</v>
      </c>
      <c r="D860" s="26">
        <v>24</v>
      </c>
      <c r="F860" s="27">
        <v>0.5222</v>
      </c>
      <c r="G860" s="27">
        <v>0.5222</v>
      </c>
      <c r="I860" s="27">
        <v>0.5222</v>
      </c>
      <c r="L860" s="27">
        <v>0.38090000000000002</v>
      </c>
      <c r="M860" s="27">
        <v>0.61909999999999998</v>
      </c>
    </row>
    <row r="861" spans="1:16" s="26" customFormat="1">
      <c r="A861" s="26" t="s">
        <v>204</v>
      </c>
      <c r="B861" s="26">
        <v>2</v>
      </c>
      <c r="C861" s="26" t="s">
        <v>208</v>
      </c>
      <c r="D861" s="26">
        <v>24</v>
      </c>
      <c r="E861" s="27">
        <v>0.5</v>
      </c>
      <c r="K861" s="27">
        <v>0.5</v>
      </c>
    </row>
    <row r="862" spans="1:16" s="26" customFormat="1">
      <c r="A862" s="26" t="s">
        <v>199</v>
      </c>
      <c r="B862" s="26">
        <v>2</v>
      </c>
      <c r="C862" s="26" t="s">
        <v>201</v>
      </c>
      <c r="D862" s="26">
        <v>24</v>
      </c>
      <c r="G862" s="27">
        <v>0.5</v>
      </c>
      <c r="J862" s="27">
        <v>0.5</v>
      </c>
      <c r="M862" s="27">
        <v>0.5</v>
      </c>
      <c r="N862" s="27">
        <v>0.5</v>
      </c>
    </row>
    <row r="863" spans="1:16" s="26" customFormat="1">
      <c r="A863" s="26" t="s">
        <v>199</v>
      </c>
      <c r="B863" s="26">
        <v>3</v>
      </c>
      <c r="C863" s="26" t="s">
        <v>202</v>
      </c>
      <c r="D863" s="26">
        <v>24</v>
      </c>
      <c r="E863" s="27">
        <v>0.37659999999999999</v>
      </c>
      <c r="N863" s="27">
        <v>0.62339999999999995</v>
      </c>
      <c r="O863" s="27">
        <v>0.2404</v>
      </c>
    </row>
    <row r="864" spans="1:16" s="26" customFormat="1">
      <c r="A864" s="26" t="s">
        <v>199</v>
      </c>
      <c r="B864" s="26">
        <v>4</v>
      </c>
      <c r="C864" s="26" t="s">
        <v>203</v>
      </c>
      <c r="D864" s="26">
        <v>24</v>
      </c>
      <c r="G864" s="27">
        <v>0.63029999999999997</v>
      </c>
      <c r="K864" s="27">
        <v>0.31509999999999999</v>
      </c>
      <c r="M864" s="27">
        <v>0.4113</v>
      </c>
      <c r="N864" s="27">
        <v>0.36969999999999997</v>
      </c>
    </row>
    <row r="865" spans="1:16" s="26" customFormat="1">
      <c r="A865" s="26" t="s">
        <v>209</v>
      </c>
      <c r="B865" s="26">
        <v>5</v>
      </c>
      <c r="C865" s="26" t="s">
        <v>210</v>
      </c>
      <c r="D865" s="26">
        <v>24</v>
      </c>
      <c r="G865" s="27">
        <v>0.43090000000000001</v>
      </c>
      <c r="M865" s="27">
        <v>0.43090000000000001</v>
      </c>
      <c r="O865" s="27">
        <v>0.43090000000000001</v>
      </c>
      <c r="P865" s="27">
        <v>0.13819999999999999</v>
      </c>
    </row>
    <row r="866" spans="1:16" s="26" customFormat="1">
      <c r="A866" s="26" t="s">
        <v>209</v>
      </c>
      <c r="B866" s="26">
        <v>1</v>
      </c>
      <c r="C866" s="26" t="s">
        <v>211</v>
      </c>
      <c r="D866" s="26">
        <v>24</v>
      </c>
      <c r="H866" s="27">
        <v>1</v>
      </c>
      <c r="K866" s="27">
        <v>1</v>
      </c>
    </row>
    <row r="867" spans="1:16" s="26" customFormat="1">
      <c r="A867" s="26" t="s">
        <v>209</v>
      </c>
      <c r="B867" s="26">
        <v>2</v>
      </c>
      <c r="C867" s="26" t="s">
        <v>212</v>
      </c>
      <c r="D867" s="26">
        <v>24</v>
      </c>
      <c r="F867" s="27">
        <v>0.5</v>
      </c>
      <c r="G867" s="27">
        <v>0.5</v>
      </c>
      <c r="I867" s="27">
        <v>0.5</v>
      </c>
      <c r="J867" s="27">
        <v>0.5</v>
      </c>
      <c r="M867" s="27">
        <v>1</v>
      </c>
    </row>
    <row r="869" spans="1:16">
      <c r="A869" t="s">
        <v>329</v>
      </c>
    </row>
    <row r="870" spans="1:16">
      <c r="A870" t="s">
        <v>189</v>
      </c>
      <c r="B870" t="s">
        <v>195</v>
      </c>
      <c r="C870" t="s">
        <v>190</v>
      </c>
      <c r="D870" t="s">
        <v>196</v>
      </c>
      <c r="E870" t="s">
        <v>228</v>
      </c>
      <c r="F870" t="s">
        <v>215</v>
      </c>
      <c r="G870" t="s">
        <v>216</v>
      </c>
    </row>
    <row r="871" spans="1:16" s="26" customFormat="1">
      <c r="A871" s="26" t="s">
        <v>197</v>
      </c>
      <c r="B871" s="26">
        <v>24</v>
      </c>
      <c r="C871" s="26" t="s">
        <v>198</v>
      </c>
      <c r="D871" s="26">
        <v>24</v>
      </c>
      <c r="E871" s="27">
        <v>3.9E-2</v>
      </c>
      <c r="F871" s="27">
        <v>0.88329999999999997</v>
      </c>
      <c r="G871" s="27">
        <v>7.7700000000000005E-2</v>
      </c>
    </row>
    <row r="872" spans="1:16" s="26" customFormat="1">
      <c r="A872" s="26" t="s">
        <v>204</v>
      </c>
      <c r="B872" s="26">
        <v>2</v>
      </c>
      <c r="C872" s="26" t="s">
        <v>205</v>
      </c>
      <c r="D872" s="26">
        <v>24</v>
      </c>
      <c r="F872" s="27">
        <v>1</v>
      </c>
    </row>
    <row r="873" spans="1:16" s="26" customFormat="1">
      <c r="A873" s="26" t="s">
        <v>204</v>
      </c>
      <c r="B873" s="26">
        <v>3</v>
      </c>
      <c r="C873" s="26" t="s">
        <v>207</v>
      </c>
      <c r="D873" s="26">
        <v>24</v>
      </c>
      <c r="F873" s="27">
        <v>0.90300000000000002</v>
      </c>
      <c r="G873" s="27">
        <v>9.7000000000000003E-2</v>
      </c>
    </row>
    <row r="874" spans="1:16" s="26" customFormat="1">
      <c r="A874" s="26" t="s">
        <v>204</v>
      </c>
      <c r="B874" s="26">
        <v>2</v>
      </c>
      <c r="C874" s="26" t="s">
        <v>208</v>
      </c>
      <c r="D874" s="26">
        <v>24</v>
      </c>
      <c r="E874" s="27">
        <v>0.5</v>
      </c>
      <c r="F874" s="27">
        <v>0.5</v>
      </c>
    </row>
    <row r="875" spans="1:16" s="26" customFormat="1">
      <c r="A875" s="26" t="s">
        <v>199</v>
      </c>
      <c r="B875" s="26">
        <v>2</v>
      </c>
      <c r="C875" s="26" t="s">
        <v>201</v>
      </c>
      <c r="D875" s="26">
        <v>24</v>
      </c>
      <c r="F875" s="27">
        <v>1</v>
      </c>
    </row>
    <row r="876" spans="1:16" s="26" customFormat="1">
      <c r="A876" s="26" t="s">
        <v>199</v>
      </c>
      <c r="B876" s="26">
        <v>3</v>
      </c>
      <c r="C876" s="26" t="s">
        <v>202</v>
      </c>
      <c r="D876" s="26">
        <v>24</v>
      </c>
      <c r="F876" s="27">
        <v>0.62339999999999995</v>
      </c>
      <c r="G876" s="27">
        <v>0.37659999999999999</v>
      </c>
    </row>
    <row r="877" spans="1:16" s="26" customFormat="1">
      <c r="A877" s="26" t="s">
        <v>199</v>
      </c>
      <c r="B877" s="26">
        <v>4</v>
      </c>
      <c r="C877" s="26" t="s">
        <v>203</v>
      </c>
      <c r="D877" s="26">
        <v>24</v>
      </c>
      <c r="F877" s="27">
        <v>1</v>
      </c>
    </row>
    <row r="878" spans="1:16" s="26" customFormat="1">
      <c r="A878" s="26" t="s">
        <v>209</v>
      </c>
      <c r="B878" s="26">
        <v>5</v>
      </c>
      <c r="C878" s="26" t="s">
        <v>210</v>
      </c>
      <c r="D878" s="26">
        <v>24</v>
      </c>
      <c r="E878" s="27">
        <v>0.58540000000000003</v>
      </c>
      <c r="F878" s="27">
        <v>0.27639999999999998</v>
      </c>
      <c r="G878" s="27">
        <v>0.13819999999999999</v>
      </c>
    </row>
    <row r="879" spans="1:16" s="26" customFormat="1">
      <c r="A879" s="26" t="s">
        <v>209</v>
      </c>
      <c r="B879" s="26">
        <v>1</v>
      </c>
      <c r="C879" s="26" t="s">
        <v>211</v>
      </c>
      <c r="D879" s="26">
        <v>24</v>
      </c>
      <c r="F879" s="27">
        <v>1</v>
      </c>
    </row>
    <row r="880" spans="1:16" s="26" customFormat="1">
      <c r="A880" s="26" t="s">
        <v>209</v>
      </c>
      <c r="B880" s="26">
        <v>2</v>
      </c>
      <c r="C880" s="26" t="s">
        <v>212</v>
      </c>
      <c r="D880" s="26">
        <v>24</v>
      </c>
      <c r="F880" s="27">
        <v>1</v>
      </c>
    </row>
    <row r="882" spans="1:18">
      <c r="A882" t="s">
        <v>330</v>
      </c>
    </row>
    <row r="883" spans="1:18">
      <c r="A883" t="s">
        <v>189</v>
      </c>
      <c r="B883" t="s">
        <v>195</v>
      </c>
      <c r="C883" t="s">
        <v>190</v>
      </c>
      <c r="D883" t="s">
        <v>196</v>
      </c>
      <c r="E883" t="s">
        <v>331</v>
      </c>
      <c r="F883" t="s">
        <v>332</v>
      </c>
    </row>
    <row r="884" spans="1:18" s="26" customFormat="1">
      <c r="A884" s="26" t="s">
        <v>197</v>
      </c>
      <c r="B884" s="26">
        <v>3</v>
      </c>
      <c r="C884" s="26" t="s">
        <v>198</v>
      </c>
      <c r="D884" s="26">
        <v>3</v>
      </c>
      <c r="E884" s="27">
        <v>0.93510000000000004</v>
      </c>
      <c r="F884" s="27">
        <v>6.4899999999999999E-2</v>
      </c>
    </row>
    <row r="885" spans="1:18" s="26" customFormat="1">
      <c r="A885" s="26" t="s">
        <v>204</v>
      </c>
      <c r="B885" s="26">
        <v>1</v>
      </c>
      <c r="C885" s="26" t="s">
        <v>207</v>
      </c>
      <c r="D885" s="26">
        <v>3</v>
      </c>
      <c r="F885" s="27">
        <v>1</v>
      </c>
    </row>
    <row r="886" spans="1:18" s="26" customFormat="1">
      <c r="A886" s="26" t="s">
        <v>199</v>
      </c>
      <c r="B886" s="26">
        <v>1</v>
      </c>
      <c r="C886" s="26" t="s">
        <v>202</v>
      </c>
      <c r="D886" s="26">
        <v>3</v>
      </c>
      <c r="E886" s="27">
        <v>1</v>
      </c>
    </row>
    <row r="887" spans="1:18" s="26" customFormat="1">
      <c r="A887" s="26" t="s">
        <v>209</v>
      </c>
      <c r="B887" s="26">
        <v>1</v>
      </c>
      <c r="C887" s="26" t="s">
        <v>210</v>
      </c>
      <c r="D887" s="26">
        <v>3</v>
      </c>
      <c r="E887" s="27">
        <v>1</v>
      </c>
    </row>
    <row r="889" spans="1:18">
      <c r="A889" t="s">
        <v>333</v>
      </c>
    </row>
    <row r="890" spans="1:18">
      <c r="A890" t="s">
        <v>189</v>
      </c>
      <c r="B890" t="s">
        <v>195</v>
      </c>
      <c r="C890" t="s">
        <v>190</v>
      </c>
      <c r="D890" t="s">
        <v>196</v>
      </c>
      <c r="E890" t="s">
        <v>334</v>
      </c>
      <c r="F890" t="s">
        <v>335</v>
      </c>
      <c r="G890" t="s">
        <v>336</v>
      </c>
      <c r="H890" t="s">
        <v>228</v>
      </c>
      <c r="I890" t="s">
        <v>337</v>
      </c>
      <c r="J890" t="s">
        <v>338</v>
      </c>
      <c r="K890" t="s">
        <v>276</v>
      </c>
      <c r="L890" t="s">
        <v>278</v>
      </c>
      <c r="M890" t="s">
        <v>339</v>
      </c>
      <c r="N890" t="s">
        <v>340</v>
      </c>
      <c r="O890" t="s">
        <v>341</v>
      </c>
      <c r="P890" t="s">
        <v>342</v>
      </c>
      <c r="Q890" t="s">
        <v>343</v>
      </c>
      <c r="R890" t="s">
        <v>344</v>
      </c>
    </row>
    <row r="891" spans="1:18">
      <c r="A891" t="s">
        <v>197</v>
      </c>
      <c r="B891">
        <v>751</v>
      </c>
      <c r="C891" t="s">
        <v>198</v>
      </c>
      <c r="D891">
        <v>751</v>
      </c>
      <c r="E891" s="1">
        <v>0.26619999999999999</v>
      </c>
      <c r="F891" s="1">
        <v>0.1341</v>
      </c>
      <c r="G891" s="1">
        <v>2.06E-2</v>
      </c>
      <c r="H891" s="1">
        <v>3.5999999999999999E-3</v>
      </c>
      <c r="I891" s="1">
        <v>3.6999999999999998E-2</v>
      </c>
      <c r="J891" s="1">
        <v>1.18E-2</v>
      </c>
      <c r="K891" s="1">
        <v>0.61199999999999999</v>
      </c>
      <c r="L891" s="1">
        <v>1.6000000000000001E-3</v>
      </c>
      <c r="M891" s="1">
        <v>7.7000000000000002E-3</v>
      </c>
      <c r="N891" s="1">
        <v>2.0199999999999999E-2</v>
      </c>
      <c r="O891" s="1">
        <v>2.5999999999999999E-3</v>
      </c>
      <c r="P891" s="1">
        <v>2.52E-2</v>
      </c>
      <c r="Q891" s="1">
        <v>7.2700000000000001E-2</v>
      </c>
      <c r="R891" s="1">
        <v>3.8699999999999998E-2</v>
      </c>
    </row>
    <row r="892" spans="1:18">
      <c r="A892" t="s">
        <v>204</v>
      </c>
      <c r="B892">
        <v>68</v>
      </c>
      <c r="C892" t="s">
        <v>205</v>
      </c>
      <c r="D892">
        <v>751</v>
      </c>
      <c r="E892" s="1">
        <v>0.2112</v>
      </c>
      <c r="F892" s="1">
        <v>5.9299999999999999E-2</v>
      </c>
      <c r="G892" s="1">
        <v>6.9800000000000001E-2</v>
      </c>
      <c r="I892" s="1">
        <v>4.8599999999999997E-2</v>
      </c>
      <c r="J892" s="1">
        <v>1.6199999999999999E-2</v>
      </c>
      <c r="K892" s="1">
        <v>0.64570000000000005</v>
      </c>
      <c r="M892" s="1">
        <v>1.52E-2</v>
      </c>
      <c r="N892" s="1">
        <v>1.7899999999999999E-2</v>
      </c>
      <c r="P892" s="1">
        <v>7.7999999999999996E-3</v>
      </c>
      <c r="Q892" s="1">
        <v>7.1199999999999999E-2</v>
      </c>
      <c r="R892" s="1">
        <v>1.18E-2</v>
      </c>
    </row>
    <row r="893" spans="1:18">
      <c r="A893" t="s">
        <v>204</v>
      </c>
      <c r="B893">
        <v>45</v>
      </c>
      <c r="C893" t="s">
        <v>206</v>
      </c>
      <c r="D893">
        <v>751</v>
      </c>
      <c r="E893" s="1">
        <v>0.1749</v>
      </c>
      <c r="F893" s="1">
        <v>6.4699999999999994E-2</v>
      </c>
      <c r="I893" s="1">
        <v>5.7099999999999998E-2</v>
      </c>
      <c r="J893" s="1">
        <v>1.9E-2</v>
      </c>
      <c r="K893" s="1">
        <v>0.57399999999999995</v>
      </c>
      <c r="L893" s="1">
        <v>1.9E-2</v>
      </c>
      <c r="M893" s="1">
        <v>2.6599999999999999E-2</v>
      </c>
      <c r="N893" s="1">
        <v>9.8799999999999999E-2</v>
      </c>
      <c r="P893" s="1">
        <v>0.1103</v>
      </c>
      <c r="Q893" s="1">
        <v>7.6100000000000001E-2</v>
      </c>
      <c r="R893" s="1">
        <v>9.1200000000000003E-2</v>
      </c>
    </row>
    <row r="894" spans="1:18">
      <c r="A894" t="s">
        <v>204</v>
      </c>
      <c r="B894">
        <v>108</v>
      </c>
      <c r="C894" t="s">
        <v>207</v>
      </c>
      <c r="D894">
        <v>751</v>
      </c>
      <c r="E894" s="1">
        <v>0.29389999999999999</v>
      </c>
      <c r="F894" s="1">
        <v>9.5899999999999999E-2</v>
      </c>
      <c r="I894" s="1">
        <v>0.12570000000000001</v>
      </c>
      <c r="J894" s="1">
        <v>2.9600000000000001E-2</v>
      </c>
      <c r="K894" s="1">
        <v>0.6542</v>
      </c>
      <c r="N894" s="1">
        <v>2.76E-2</v>
      </c>
      <c r="P894" s="1">
        <v>9.1999999999999998E-3</v>
      </c>
      <c r="Q894" s="1">
        <v>1.14E-2</v>
      </c>
      <c r="R894" s="1">
        <v>9.2100000000000001E-2</v>
      </c>
    </row>
    <row r="895" spans="1:18">
      <c r="A895" t="s">
        <v>204</v>
      </c>
      <c r="B895">
        <v>60</v>
      </c>
      <c r="C895" t="s">
        <v>208</v>
      </c>
      <c r="D895">
        <v>751</v>
      </c>
      <c r="E895" s="1">
        <v>0.41670000000000001</v>
      </c>
      <c r="F895" s="1">
        <v>0.3</v>
      </c>
      <c r="G895" s="1">
        <v>3.3300000000000003E-2</v>
      </c>
      <c r="I895" s="1">
        <v>1.67E-2</v>
      </c>
      <c r="J895" s="1">
        <v>3.3300000000000003E-2</v>
      </c>
      <c r="K895" s="1">
        <v>0.48330000000000001</v>
      </c>
      <c r="L895" s="1">
        <v>1.67E-2</v>
      </c>
      <c r="M895" s="1">
        <v>1.67E-2</v>
      </c>
      <c r="N895" s="1">
        <v>3.3300000000000003E-2</v>
      </c>
      <c r="P895" s="1">
        <v>1.67E-2</v>
      </c>
      <c r="Q895" s="1">
        <v>0.15</v>
      </c>
      <c r="R895" s="1">
        <v>1.67E-2</v>
      </c>
    </row>
    <row r="896" spans="1:18">
      <c r="A896" t="s">
        <v>199</v>
      </c>
      <c r="B896">
        <v>59</v>
      </c>
      <c r="C896" t="s">
        <v>200</v>
      </c>
      <c r="D896">
        <v>751</v>
      </c>
      <c r="E896" s="1">
        <v>0.49659999999999999</v>
      </c>
      <c r="F896" s="1">
        <v>6.4000000000000003E-3</v>
      </c>
      <c r="H896" s="1">
        <v>2.0999999999999999E-3</v>
      </c>
      <c r="I896" s="1">
        <v>4.1399999999999999E-2</v>
      </c>
      <c r="J896" s="1">
        <v>4.1399999999999999E-2</v>
      </c>
      <c r="K896" s="1">
        <v>0.33200000000000002</v>
      </c>
      <c r="M896" s="1">
        <v>2.0999999999999999E-3</v>
      </c>
      <c r="N896" s="1">
        <v>4.3E-3</v>
      </c>
      <c r="P896" s="1">
        <v>0.1173</v>
      </c>
      <c r="Q896" s="1">
        <v>0.34360000000000002</v>
      </c>
      <c r="R896" s="1">
        <v>0.1104</v>
      </c>
    </row>
    <row r="897" spans="1:18">
      <c r="A897" t="s">
        <v>199</v>
      </c>
      <c r="B897">
        <v>74</v>
      </c>
      <c r="C897" t="s">
        <v>201</v>
      </c>
      <c r="D897">
        <v>751</v>
      </c>
      <c r="E897" s="1">
        <v>0.2162</v>
      </c>
      <c r="F897" s="1">
        <v>0.2162</v>
      </c>
      <c r="G897" s="1">
        <v>2.7E-2</v>
      </c>
      <c r="K897" s="1">
        <v>0.62160000000000004</v>
      </c>
      <c r="M897" s="1">
        <v>1.35E-2</v>
      </c>
      <c r="P897" s="1">
        <v>2.7E-2</v>
      </c>
      <c r="Q897" s="1">
        <v>6.7599999999999993E-2</v>
      </c>
    </row>
    <row r="898" spans="1:18">
      <c r="A898" t="s">
        <v>199</v>
      </c>
      <c r="B898">
        <v>78</v>
      </c>
      <c r="C898" t="s">
        <v>202</v>
      </c>
      <c r="D898">
        <v>751</v>
      </c>
      <c r="E898" s="1">
        <v>0.2944</v>
      </c>
      <c r="F898" s="1">
        <v>0.152</v>
      </c>
      <c r="H898" s="1">
        <v>1.06E-2</v>
      </c>
      <c r="K898" s="1">
        <v>0.60729999999999995</v>
      </c>
      <c r="N898" s="1">
        <v>3.9100000000000003E-2</v>
      </c>
      <c r="O898" s="1">
        <v>1.6899999999999998E-2</v>
      </c>
      <c r="P898" s="1">
        <v>4.87E-2</v>
      </c>
      <c r="Q898" s="1">
        <v>8.3799999999999999E-2</v>
      </c>
      <c r="R898" s="1">
        <v>1.6899999999999998E-2</v>
      </c>
    </row>
    <row r="899" spans="1:18">
      <c r="A899" t="s">
        <v>199</v>
      </c>
      <c r="B899">
        <v>60</v>
      </c>
      <c r="C899" t="s">
        <v>203</v>
      </c>
      <c r="D899">
        <v>751</v>
      </c>
      <c r="E899" s="1">
        <v>0.25030000000000002</v>
      </c>
      <c r="F899" s="1">
        <v>0.16869999999999999</v>
      </c>
      <c r="I899" s="1">
        <v>2.23E-2</v>
      </c>
      <c r="K899" s="1">
        <v>0.61219999999999997</v>
      </c>
      <c r="N899" s="1">
        <v>5.1700000000000003E-2</v>
      </c>
      <c r="P899" s="1">
        <v>2.41E-2</v>
      </c>
      <c r="Q899" s="1">
        <v>2.52E-2</v>
      </c>
      <c r="R899" s="1">
        <v>2.23E-2</v>
      </c>
    </row>
    <row r="900" spans="1:18">
      <c r="A900" t="s">
        <v>209</v>
      </c>
      <c r="B900">
        <v>57</v>
      </c>
      <c r="C900" t="s">
        <v>210</v>
      </c>
      <c r="D900">
        <v>751</v>
      </c>
      <c r="E900" s="1">
        <v>9.0800000000000006E-2</v>
      </c>
      <c r="F900" s="1">
        <v>8.09E-2</v>
      </c>
      <c r="I900" s="1">
        <v>2.3699999999999999E-2</v>
      </c>
      <c r="K900" s="1">
        <v>0.62760000000000005</v>
      </c>
      <c r="L900" s="1">
        <v>1.12E-2</v>
      </c>
      <c r="M900" s="1">
        <v>4.7399999999999998E-2</v>
      </c>
      <c r="N900" s="1">
        <v>0.1283</v>
      </c>
      <c r="P900" s="1">
        <v>0.12959999999999999</v>
      </c>
      <c r="Q900" s="1">
        <v>2.3699999999999999E-2</v>
      </c>
      <c r="R900" s="1">
        <v>3.49E-2</v>
      </c>
    </row>
    <row r="901" spans="1:18">
      <c r="A901" t="s">
        <v>209</v>
      </c>
      <c r="B901">
        <v>71</v>
      </c>
      <c r="C901" t="s">
        <v>211</v>
      </c>
      <c r="D901">
        <v>751</v>
      </c>
      <c r="E901" s="1">
        <v>0.2482</v>
      </c>
      <c r="F901" s="1">
        <v>7.7700000000000005E-2</v>
      </c>
      <c r="I901" s="1">
        <v>1.67E-2</v>
      </c>
      <c r="J901" s="1">
        <v>5.8999999999999999E-3</v>
      </c>
      <c r="K901" s="1">
        <v>0.64859999999999995</v>
      </c>
      <c r="L901" s="1">
        <v>5.8999999999999999E-3</v>
      </c>
      <c r="M901" s="1">
        <v>1.38E-2</v>
      </c>
      <c r="N901" s="1">
        <v>1.18E-2</v>
      </c>
      <c r="P901" s="1">
        <v>2.2599999999999999E-2</v>
      </c>
      <c r="Q901" s="1">
        <v>4.5100000000000001E-2</v>
      </c>
      <c r="R901" s="1">
        <v>0.15140000000000001</v>
      </c>
    </row>
    <row r="902" spans="1:18">
      <c r="A902" t="s">
        <v>209</v>
      </c>
      <c r="B902">
        <v>71</v>
      </c>
      <c r="C902" t="s">
        <v>212</v>
      </c>
      <c r="D902">
        <v>751</v>
      </c>
      <c r="E902" s="1">
        <v>0.25030000000000002</v>
      </c>
      <c r="F902" s="1">
        <v>0.1071</v>
      </c>
      <c r="H902" s="1">
        <v>1.67E-2</v>
      </c>
      <c r="I902" s="1">
        <v>1.9599999999999999E-2</v>
      </c>
      <c r="K902" s="1">
        <v>0.61029999999999995</v>
      </c>
      <c r="P902" s="1">
        <v>1.67E-2</v>
      </c>
      <c r="Q902" s="1">
        <v>0.08</v>
      </c>
      <c r="R902" s="1">
        <v>5.2400000000000002E-2</v>
      </c>
    </row>
    <row r="904" spans="1:18">
      <c r="A904" t="s">
        <v>345</v>
      </c>
    </row>
    <row r="905" spans="1:18">
      <c r="A905" t="s">
        <v>189</v>
      </c>
      <c r="B905" t="s">
        <v>195</v>
      </c>
      <c r="C905" t="s">
        <v>190</v>
      </c>
      <c r="D905" t="s">
        <v>196</v>
      </c>
      <c r="E905" t="s">
        <v>228</v>
      </c>
      <c r="F905" t="s">
        <v>215</v>
      </c>
      <c r="G905" t="s">
        <v>223</v>
      </c>
      <c r="H905" t="s">
        <v>216</v>
      </c>
    </row>
    <row r="906" spans="1:18">
      <c r="A906" t="s">
        <v>197</v>
      </c>
      <c r="B906">
        <v>664</v>
      </c>
      <c r="C906" t="s">
        <v>198</v>
      </c>
      <c r="D906">
        <v>664</v>
      </c>
      <c r="E906" s="1">
        <v>8.72E-2</v>
      </c>
      <c r="F906" s="1">
        <v>0.2021</v>
      </c>
      <c r="G906" s="1">
        <v>6.9999999999999999E-4</v>
      </c>
      <c r="H906" s="1">
        <v>0.71</v>
      </c>
    </row>
    <row r="907" spans="1:18">
      <c r="A907" t="s">
        <v>204</v>
      </c>
      <c r="B907">
        <v>67</v>
      </c>
      <c r="C907" t="s">
        <v>205</v>
      </c>
      <c r="D907">
        <v>664</v>
      </c>
      <c r="E907" s="1">
        <v>2.1399999999999999E-2</v>
      </c>
      <c r="F907" s="1">
        <v>0.12520000000000001</v>
      </c>
      <c r="H907" s="1">
        <v>0.85340000000000005</v>
      </c>
    </row>
    <row r="908" spans="1:18">
      <c r="A908" t="s">
        <v>204</v>
      </c>
      <c r="B908">
        <v>58</v>
      </c>
      <c r="C908" t="s">
        <v>206</v>
      </c>
      <c r="D908">
        <v>664</v>
      </c>
      <c r="E908" s="1">
        <v>3.4099999999999998E-2</v>
      </c>
      <c r="F908" s="1">
        <v>0.2016</v>
      </c>
      <c r="H908" s="1">
        <v>0.76429999999999998</v>
      </c>
    </row>
    <row r="909" spans="1:18">
      <c r="A909" t="s">
        <v>204</v>
      </c>
      <c r="B909">
        <v>88</v>
      </c>
      <c r="C909" t="s">
        <v>207</v>
      </c>
      <c r="D909">
        <v>664</v>
      </c>
      <c r="E909" s="1">
        <v>0.1181</v>
      </c>
      <c r="F909" s="1">
        <v>0.17019999999999999</v>
      </c>
      <c r="G909" s="1">
        <v>1.5E-3</v>
      </c>
      <c r="H909" s="1">
        <v>0.71009999999999995</v>
      </c>
    </row>
    <row r="910" spans="1:18">
      <c r="A910" t="s">
        <v>204</v>
      </c>
      <c r="B910">
        <v>42</v>
      </c>
      <c r="C910" t="s">
        <v>208</v>
      </c>
      <c r="D910">
        <v>664</v>
      </c>
      <c r="E910" s="1">
        <v>7.1400000000000005E-2</v>
      </c>
      <c r="F910" s="1">
        <v>0.16669999999999999</v>
      </c>
      <c r="H910" s="1">
        <v>0.76190000000000002</v>
      </c>
    </row>
    <row r="911" spans="1:18">
      <c r="A911" t="s">
        <v>199</v>
      </c>
      <c r="B911">
        <v>38</v>
      </c>
      <c r="C911" t="s">
        <v>200</v>
      </c>
      <c r="D911">
        <v>664</v>
      </c>
      <c r="E911" s="1">
        <v>1.3100000000000001E-2</v>
      </c>
      <c r="F911" s="1">
        <v>0.13930000000000001</v>
      </c>
      <c r="G911" s="1">
        <v>2.5999999999999999E-3</v>
      </c>
      <c r="H911" s="1">
        <v>0.84499999999999997</v>
      </c>
    </row>
    <row r="912" spans="1:18">
      <c r="A912" t="s">
        <v>199</v>
      </c>
      <c r="B912">
        <v>74</v>
      </c>
      <c r="C912" t="s">
        <v>201</v>
      </c>
      <c r="D912">
        <v>664</v>
      </c>
      <c r="E912" s="1">
        <v>9.4600000000000004E-2</v>
      </c>
      <c r="F912" s="1">
        <v>0.2432</v>
      </c>
      <c r="H912" s="1">
        <v>0.66220000000000001</v>
      </c>
    </row>
    <row r="913" spans="1:8">
      <c r="A913" t="s">
        <v>199</v>
      </c>
      <c r="B913">
        <v>67</v>
      </c>
      <c r="C913" t="s">
        <v>202</v>
      </c>
      <c r="D913">
        <v>664</v>
      </c>
      <c r="E913" s="1">
        <v>0.12640000000000001</v>
      </c>
      <c r="F913" s="1">
        <v>0.217</v>
      </c>
      <c r="H913" s="1">
        <v>0.65659999999999996</v>
      </c>
    </row>
    <row r="914" spans="1:8">
      <c r="A914" t="s">
        <v>199</v>
      </c>
      <c r="B914">
        <v>50</v>
      </c>
      <c r="C914" t="s">
        <v>203</v>
      </c>
      <c r="D914">
        <v>664</v>
      </c>
      <c r="E914" s="1">
        <v>0.19620000000000001</v>
      </c>
      <c r="F914" s="1">
        <v>0.25919999999999999</v>
      </c>
      <c r="H914" s="1">
        <v>0.54459999999999997</v>
      </c>
    </row>
    <row r="915" spans="1:8">
      <c r="A915" t="s">
        <v>209</v>
      </c>
      <c r="B915">
        <v>46</v>
      </c>
      <c r="C915" t="s">
        <v>210</v>
      </c>
      <c r="D915">
        <v>664</v>
      </c>
      <c r="E915" s="1">
        <v>0.12280000000000001</v>
      </c>
      <c r="F915" s="1">
        <v>0.23400000000000001</v>
      </c>
      <c r="G915" s="1">
        <v>2.7799999999999998E-2</v>
      </c>
      <c r="H915" s="1">
        <v>0.61539999999999995</v>
      </c>
    </row>
    <row r="916" spans="1:8">
      <c r="A916" t="s">
        <v>209</v>
      </c>
      <c r="B916">
        <v>70</v>
      </c>
      <c r="C916" t="s">
        <v>211</v>
      </c>
      <c r="D916">
        <v>664</v>
      </c>
      <c r="E916" s="1">
        <v>0.111</v>
      </c>
      <c r="F916" s="1">
        <v>0.18729999999999999</v>
      </c>
      <c r="G916" s="1">
        <v>5.7999999999999996E-3</v>
      </c>
      <c r="H916" s="1">
        <v>0.69589999999999996</v>
      </c>
    </row>
    <row r="917" spans="1:8">
      <c r="A917" t="s">
        <v>209</v>
      </c>
      <c r="B917">
        <v>64</v>
      </c>
      <c r="C917" t="s">
        <v>212</v>
      </c>
      <c r="D917">
        <v>664</v>
      </c>
      <c r="E917" s="1">
        <v>8.9200000000000002E-2</v>
      </c>
      <c r="F917" s="1">
        <v>0.29260000000000003</v>
      </c>
      <c r="H917" s="1">
        <v>0.61819999999999997</v>
      </c>
    </row>
    <row r="919" spans="1:8">
      <c r="A919" t="s">
        <v>346</v>
      </c>
    </row>
    <row r="920" spans="1:8">
      <c r="A920" t="s">
        <v>189</v>
      </c>
      <c r="B920" t="s">
        <v>195</v>
      </c>
      <c r="C920" t="s">
        <v>190</v>
      </c>
      <c r="D920" t="s">
        <v>196</v>
      </c>
      <c r="E920" t="s">
        <v>228</v>
      </c>
      <c r="F920" t="s">
        <v>215</v>
      </c>
      <c r="G920" t="s">
        <v>223</v>
      </c>
      <c r="H920" t="s">
        <v>216</v>
      </c>
    </row>
    <row r="921" spans="1:8">
      <c r="A921" t="s">
        <v>197</v>
      </c>
      <c r="B921">
        <v>966</v>
      </c>
      <c r="C921" t="s">
        <v>198</v>
      </c>
      <c r="D921">
        <v>966</v>
      </c>
      <c r="E921" s="1">
        <v>1.1599999999999999E-2</v>
      </c>
      <c r="F921" s="1">
        <v>0.42799999999999999</v>
      </c>
      <c r="G921" s="1">
        <v>2.9999999999999997E-4</v>
      </c>
      <c r="H921" s="1">
        <v>0.56010000000000004</v>
      </c>
    </row>
    <row r="922" spans="1:8">
      <c r="A922" t="s">
        <v>204</v>
      </c>
      <c r="B922">
        <v>91</v>
      </c>
      <c r="C922" t="s">
        <v>205</v>
      </c>
      <c r="D922">
        <v>966</v>
      </c>
      <c r="F922" s="1">
        <v>0.61609999999999998</v>
      </c>
      <c r="H922" s="1">
        <v>0.38390000000000002</v>
      </c>
    </row>
    <row r="923" spans="1:8">
      <c r="A923" t="s">
        <v>204</v>
      </c>
      <c r="B923">
        <v>71</v>
      </c>
      <c r="C923" t="s">
        <v>206</v>
      </c>
      <c r="D923">
        <v>966</v>
      </c>
      <c r="F923" s="1">
        <v>0.26829999999999998</v>
      </c>
      <c r="H923" s="1">
        <v>0.73170000000000002</v>
      </c>
    </row>
    <row r="924" spans="1:8">
      <c r="A924" t="s">
        <v>204</v>
      </c>
      <c r="B924">
        <v>131</v>
      </c>
      <c r="C924" t="s">
        <v>207</v>
      </c>
      <c r="D924">
        <v>966</v>
      </c>
      <c r="E924" s="1">
        <v>1.66E-2</v>
      </c>
      <c r="F924" s="1">
        <v>0.43469999999999998</v>
      </c>
      <c r="H924" s="1">
        <v>0.54869999999999997</v>
      </c>
    </row>
    <row r="925" spans="1:8">
      <c r="A925" t="s">
        <v>204</v>
      </c>
      <c r="B925">
        <v>74</v>
      </c>
      <c r="C925" t="s">
        <v>208</v>
      </c>
      <c r="D925">
        <v>966</v>
      </c>
      <c r="F925" s="1">
        <v>0.25679999999999997</v>
      </c>
      <c r="H925" s="1">
        <v>0.74319999999999997</v>
      </c>
    </row>
    <row r="926" spans="1:8">
      <c r="A926" t="s">
        <v>199</v>
      </c>
      <c r="B926">
        <v>72</v>
      </c>
      <c r="C926" t="s">
        <v>200</v>
      </c>
      <c r="D926">
        <v>966</v>
      </c>
      <c r="E926" s="1">
        <v>1.6000000000000001E-3</v>
      </c>
      <c r="F926" s="1">
        <v>0.56210000000000004</v>
      </c>
      <c r="H926" s="1">
        <v>0.43630000000000002</v>
      </c>
    </row>
    <row r="927" spans="1:8">
      <c r="A927" t="s">
        <v>199</v>
      </c>
      <c r="B927">
        <v>96</v>
      </c>
      <c r="C927" t="s">
        <v>201</v>
      </c>
      <c r="D927">
        <v>966</v>
      </c>
      <c r="E927" s="1">
        <v>3.1199999999999999E-2</v>
      </c>
      <c r="F927" s="1">
        <v>0.375</v>
      </c>
      <c r="H927" s="1">
        <v>0.59379999999999999</v>
      </c>
    </row>
    <row r="928" spans="1:8">
      <c r="A928" t="s">
        <v>199</v>
      </c>
      <c r="B928">
        <v>98</v>
      </c>
      <c r="C928" t="s">
        <v>202</v>
      </c>
      <c r="D928">
        <v>966</v>
      </c>
      <c r="E928" s="1">
        <v>8.5000000000000006E-3</v>
      </c>
      <c r="F928" s="1">
        <v>0.39779999999999999</v>
      </c>
      <c r="H928" s="1">
        <v>0.59370000000000001</v>
      </c>
    </row>
    <row r="929" spans="1:9">
      <c r="A929" t="s">
        <v>199</v>
      </c>
      <c r="B929">
        <v>77</v>
      </c>
      <c r="C929" t="s">
        <v>203</v>
      </c>
      <c r="D929">
        <v>966</v>
      </c>
      <c r="F929" s="1">
        <v>0.25940000000000002</v>
      </c>
      <c r="G929" s="1">
        <v>9.4999999999999998E-3</v>
      </c>
      <c r="H929" s="1">
        <v>0.73109999999999997</v>
      </c>
    </row>
    <row r="930" spans="1:9">
      <c r="A930" t="s">
        <v>209</v>
      </c>
      <c r="B930">
        <v>74</v>
      </c>
      <c r="C930" t="s">
        <v>210</v>
      </c>
      <c r="D930">
        <v>966</v>
      </c>
      <c r="E930" s="1">
        <v>1.67E-2</v>
      </c>
      <c r="F930" s="1">
        <v>0.20080000000000001</v>
      </c>
      <c r="H930" s="1">
        <v>0.78249999999999997</v>
      </c>
    </row>
    <row r="931" spans="1:9">
      <c r="A931" t="s">
        <v>209</v>
      </c>
      <c r="B931">
        <v>97</v>
      </c>
      <c r="C931" t="s">
        <v>211</v>
      </c>
      <c r="D931">
        <v>966</v>
      </c>
      <c r="E931" s="1">
        <v>4.1999999999999997E-3</v>
      </c>
      <c r="F931" s="1">
        <v>0.3548</v>
      </c>
      <c r="H931" s="1">
        <v>0.64090000000000003</v>
      </c>
    </row>
    <row r="932" spans="1:9">
      <c r="A932" t="s">
        <v>209</v>
      </c>
      <c r="B932">
        <v>85</v>
      </c>
      <c r="C932" t="s">
        <v>212</v>
      </c>
      <c r="D932">
        <v>966</v>
      </c>
      <c r="E932" s="1">
        <v>1.34E-2</v>
      </c>
      <c r="F932" s="1">
        <v>0.38169999999999998</v>
      </c>
      <c r="H932" s="1">
        <v>0.60489999999999999</v>
      </c>
    </row>
    <row r="934" spans="1:9">
      <c r="A934" t="s">
        <v>347</v>
      </c>
    </row>
    <row r="935" spans="1:9">
      <c r="A935" t="s">
        <v>214</v>
      </c>
      <c r="B935" t="s">
        <v>189</v>
      </c>
      <c r="C935" t="s">
        <v>195</v>
      </c>
      <c r="D935" t="s">
        <v>190</v>
      </c>
      <c r="E935" t="s">
        <v>196</v>
      </c>
      <c r="F935" t="s">
        <v>228</v>
      </c>
      <c r="G935" t="s">
        <v>215</v>
      </c>
      <c r="H935" t="s">
        <v>223</v>
      </c>
      <c r="I935" t="s">
        <v>216</v>
      </c>
    </row>
    <row r="936" spans="1:9">
      <c r="A936" t="s">
        <v>198</v>
      </c>
      <c r="B936" t="s">
        <v>197</v>
      </c>
      <c r="C936">
        <v>966</v>
      </c>
      <c r="D936" t="s">
        <v>198</v>
      </c>
      <c r="E936">
        <v>966</v>
      </c>
      <c r="F936" s="1">
        <v>1.1599999999999999E-2</v>
      </c>
      <c r="G936" s="1">
        <v>0.42799999999999999</v>
      </c>
      <c r="H936" s="1">
        <v>2.9999999999999997E-4</v>
      </c>
      <c r="I936" s="1">
        <v>0.56010000000000004</v>
      </c>
    </row>
    <row r="937" spans="1:9">
      <c r="A937" t="s">
        <v>235</v>
      </c>
      <c r="B937" t="s">
        <v>204</v>
      </c>
      <c r="C937">
        <v>63</v>
      </c>
      <c r="D937" t="s">
        <v>208</v>
      </c>
      <c r="E937">
        <v>966</v>
      </c>
      <c r="G937" s="1">
        <v>0.23810000000000001</v>
      </c>
      <c r="I937" s="1">
        <v>0.76190000000000002</v>
      </c>
    </row>
    <row r="938" spans="1:9">
      <c r="A938" t="s">
        <v>236</v>
      </c>
      <c r="B938" t="s">
        <v>204</v>
      </c>
      <c r="C938">
        <v>32</v>
      </c>
      <c r="D938" t="s">
        <v>205</v>
      </c>
      <c r="E938">
        <v>966</v>
      </c>
      <c r="G938" s="1">
        <v>0.48249999999999998</v>
      </c>
      <c r="I938" s="1">
        <v>0.51749999999999996</v>
      </c>
    </row>
    <row r="939" spans="1:9">
      <c r="A939" t="s">
        <v>235</v>
      </c>
      <c r="B939" t="s">
        <v>204</v>
      </c>
      <c r="C939">
        <v>58</v>
      </c>
      <c r="D939" t="s">
        <v>205</v>
      </c>
      <c r="E939">
        <v>966</v>
      </c>
      <c r="G939" s="1">
        <v>0.64700000000000002</v>
      </c>
      <c r="I939" s="1">
        <v>0.35299999999999998</v>
      </c>
    </row>
    <row r="940" spans="1:9" s="26" customFormat="1">
      <c r="A940" s="26" t="s">
        <v>236</v>
      </c>
      <c r="B940" s="26" t="s">
        <v>204</v>
      </c>
      <c r="C940" s="26">
        <v>21</v>
      </c>
      <c r="D940" s="26" t="s">
        <v>206</v>
      </c>
      <c r="E940" s="26">
        <v>966</v>
      </c>
      <c r="G940" s="27">
        <v>0.23080000000000001</v>
      </c>
      <c r="I940" s="27">
        <v>0.76919999999999999</v>
      </c>
    </row>
    <row r="941" spans="1:9">
      <c r="A941" t="s">
        <v>235</v>
      </c>
      <c r="B941" t="s">
        <v>204</v>
      </c>
      <c r="C941">
        <v>46</v>
      </c>
      <c r="D941" t="s">
        <v>206</v>
      </c>
      <c r="E941">
        <v>966</v>
      </c>
      <c r="G941" s="1">
        <v>0.30430000000000001</v>
      </c>
      <c r="I941" s="1">
        <v>0.69569999999999999</v>
      </c>
    </row>
    <row r="942" spans="1:9">
      <c r="A942" t="s">
        <v>236</v>
      </c>
      <c r="B942" t="s">
        <v>204</v>
      </c>
      <c r="C942">
        <v>81</v>
      </c>
      <c r="D942" t="s">
        <v>207</v>
      </c>
      <c r="E942">
        <v>966</v>
      </c>
      <c r="F942" s="1">
        <v>2.8799999999999999E-2</v>
      </c>
      <c r="G942" s="1">
        <v>0.43819999999999998</v>
      </c>
      <c r="I942" s="1">
        <v>0.53310000000000002</v>
      </c>
    </row>
    <row r="943" spans="1:9">
      <c r="A943" t="s">
        <v>235</v>
      </c>
      <c r="B943" t="s">
        <v>204</v>
      </c>
      <c r="C943">
        <v>45</v>
      </c>
      <c r="D943" t="s">
        <v>207</v>
      </c>
      <c r="E943">
        <v>966</v>
      </c>
      <c r="F943" s="1">
        <v>8.5000000000000006E-3</v>
      </c>
      <c r="G943" s="1">
        <v>0.4425</v>
      </c>
      <c r="I943" s="1">
        <v>0.54910000000000003</v>
      </c>
    </row>
    <row r="944" spans="1:9" s="26" customFormat="1">
      <c r="A944" s="26" t="s">
        <v>236</v>
      </c>
      <c r="B944" s="26" t="s">
        <v>204</v>
      </c>
      <c r="C944" s="26">
        <v>11</v>
      </c>
      <c r="D944" s="26" t="s">
        <v>208</v>
      </c>
      <c r="E944" s="26">
        <v>966</v>
      </c>
      <c r="G944" s="27">
        <v>0.36359999999999998</v>
      </c>
      <c r="I944" s="27">
        <v>0.63639999999999997</v>
      </c>
    </row>
    <row r="945" spans="1:9">
      <c r="A945" t="s">
        <v>235</v>
      </c>
      <c r="B945" t="s">
        <v>199</v>
      </c>
      <c r="C945">
        <v>44</v>
      </c>
      <c r="D945" t="s">
        <v>203</v>
      </c>
      <c r="E945">
        <v>966</v>
      </c>
      <c r="G945" s="1">
        <v>0.24299999999999999</v>
      </c>
      <c r="H945" s="1">
        <v>1.5100000000000001E-2</v>
      </c>
      <c r="I945" s="1">
        <v>0.7419</v>
      </c>
    </row>
    <row r="946" spans="1:9">
      <c r="A946" t="s">
        <v>236</v>
      </c>
      <c r="B946" t="s">
        <v>199</v>
      </c>
      <c r="C946">
        <v>32</v>
      </c>
      <c r="D946" t="s">
        <v>203</v>
      </c>
      <c r="E946">
        <v>966</v>
      </c>
      <c r="G946" s="1">
        <v>0.3095</v>
      </c>
      <c r="I946" s="1">
        <v>0.6905</v>
      </c>
    </row>
    <row r="947" spans="1:9">
      <c r="A947" t="s">
        <v>235</v>
      </c>
      <c r="B947" t="s">
        <v>199</v>
      </c>
      <c r="C947">
        <v>60</v>
      </c>
      <c r="D947" t="s">
        <v>202</v>
      </c>
      <c r="E947">
        <v>966</v>
      </c>
      <c r="F947" s="1">
        <v>1.4800000000000001E-2</v>
      </c>
      <c r="G947" s="1">
        <v>0.37030000000000002</v>
      </c>
      <c r="I947" s="1">
        <v>0.6149</v>
      </c>
    </row>
    <row r="948" spans="1:9" s="26" customFormat="1">
      <c r="A948" s="26" t="s">
        <v>236</v>
      </c>
      <c r="B948" s="26" t="s">
        <v>199</v>
      </c>
      <c r="C948" s="26">
        <v>24</v>
      </c>
      <c r="D948" s="26" t="s">
        <v>200</v>
      </c>
      <c r="E948" s="26">
        <v>966</v>
      </c>
      <c r="G948" s="27">
        <v>0.87539999999999996</v>
      </c>
      <c r="I948" s="27">
        <v>0.1246</v>
      </c>
    </row>
    <row r="949" spans="1:9">
      <c r="A949" t="s">
        <v>235</v>
      </c>
      <c r="B949" t="s">
        <v>199</v>
      </c>
      <c r="C949">
        <v>46</v>
      </c>
      <c r="D949" t="s">
        <v>200</v>
      </c>
      <c r="E949">
        <v>966</v>
      </c>
      <c r="F949" s="1">
        <v>3.0000000000000001E-3</v>
      </c>
      <c r="G949" s="1">
        <v>0.2828</v>
      </c>
      <c r="I949" s="1">
        <v>0.71419999999999995</v>
      </c>
    </row>
    <row r="950" spans="1:9">
      <c r="A950" t="s">
        <v>236</v>
      </c>
      <c r="B950" t="s">
        <v>199</v>
      </c>
      <c r="C950">
        <v>37</v>
      </c>
      <c r="D950" t="s">
        <v>202</v>
      </c>
      <c r="E950">
        <v>966</v>
      </c>
      <c r="G950" s="1">
        <v>0.44919999999999999</v>
      </c>
      <c r="I950" s="1">
        <v>0.55079999999999996</v>
      </c>
    </row>
    <row r="951" spans="1:9">
      <c r="A951" t="s">
        <v>235</v>
      </c>
      <c r="B951" t="s">
        <v>199</v>
      </c>
      <c r="C951">
        <v>96</v>
      </c>
      <c r="D951" t="s">
        <v>201</v>
      </c>
      <c r="E951">
        <v>966</v>
      </c>
      <c r="F951" s="1">
        <v>3.1199999999999999E-2</v>
      </c>
      <c r="G951" s="1">
        <v>0.375</v>
      </c>
      <c r="I951" s="1">
        <v>0.59379999999999999</v>
      </c>
    </row>
    <row r="952" spans="1:9">
      <c r="A952" t="s">
        <v>236</v>
      </c>
      <c r="B952" t="s">
        <v>209</v>
      </c>
      <c r="C952">
        <v>39</v>
      </c>
      <c r="D952" t="s">
        <v>211</v>
      </c>
      <c r="E952">
        <v>966</v>
      </c>
      <c r="F952" s="1">
        <v>1.18E-2</v>
      </c>
      <c r="G952" s="1">
        <v>0.53859999999999997</v>
      </c>
      <c r="I952" s="1">
        <v>0.4496</v>
      </c>
    </row>
    <row r="953" spans="1:9">
      <c r="A953" t="s">
        <v>235</v>
      </c>
      <c r="B953" t="s">
        <v>209</v>
      </c>
      <c r="C953">
        <v>56</v>
      </c>
      <c r="D953" t="s">
        <v>211</v>
      </c>
      <c r="E953">
        <v>966</v>
      </c>
      <c r="G953" s="1">
        <v>0.2402</v>
      </c>
      <c r="I953" s="1">
        <v>0.75980000000000003</v>
      </c>
    </row>
    <row r="954" spans="1:9">
      <c r="A954" t="s">
        <v>235</v>
      </c>
      <c r="B954" t="s">
        <v>209</v>
      </c>
      <c r="C954">
        <v>67</v>
      </c>
      <c r="D954" t="s">
        <v>212</v>
      </c>
      <c r="E954">
        <v>966</v>
      </c>
      <c r="F954" s="1">
        <v>1.5599999999999999E-2</v>
      </c>
      <c r="G954" s="1">
        <v>0.35539999999999999</v>
      </c>
      <c r="I954" s="1">
        <v>0.629</v>
      </c>
    </row>
    <row r="955" spans="1:9" s="26" customFormat="1">
      <c r="A955" s="26" t="s">
        <v>236</v>
      </c>
      <c r="B955" s="26" t="s">
        <v>209</v>
      </c>
      <c r="C955" s="26">
        <v>18</v>
      </c>
      <c r="D955" s="26" t="s">
        <v>212</v>
      </c>
      <c r="E955" s="26">
        <v>966</v>
      </c>
      <c r="G955" s="27">
        <v>0.54600000000000004</v>
      </c>
      <c r="I955" s="27">
        <v>0.45400000000000001</v>
      </c>
    </row>
    <row r="956" spans="1:9">
      <c r="A956" t="s">
        <v>236</v>
      </c>
      <c r="B956" t="s">
        <v>209</v>
      </c>
      <c r="C956">
        <v>38</v>
      </c>
      <c r="D956" t="s">
        <v>210</v>
      </c>
      <c r="E956">
        <v>966</v>
      </c>
      <c r="F956" s="1">
        <v>4.07E-2</v>
      </c>
      <c r="G956" s="1">
        <v>0.14710000000000001</v>
      </c>
      <c r="I956" s="1">
        <v>0.81220000000000003</v>
      </c>
    </row>
    <row r="957" spans="1:9">
      <c r="A957" t="s">
        <v>235</v>
      </c>
      <c r="B957" t="s">
        <v>209</v>
      </c>
      <c r="C957">
        <v>32</v>
      </c>
      <c r="D957" t="s">
        <v>210</v>
      </c>
      <c r="E957">
        <v>966</v>
      </c>
      <c r="G957" s="1">
        <v>0.19389999999999999</v>
      </c>
      <c r="I957" s="1">
        <v>0.80610000000000004</v>
      </c>
    </row>
    <row r="959" spans="1:9">
      <c r="A959" t="s">
        <v>348</v>
      </c>
    </row>
    <row r="960" spans="1:9">
      <c r="A960" t="s">
        <v>189</v>
      </c>
      <c r="B960" t="s">
        <v>195</v>
      </c>
      <c r="C960" t="s">
        <v>190</v>
      </c>
      <c r="D960" t="s">
        <v>196</v>
      </c>
      <c r="E960" t="s">
        <v>228</v>
      </c>
      <c r="F960" t="s">
        <v>215</v>
      </c>
      <c r="G960" t="s">
        <v>216</v>
      </c>
    </row>
    <row r="961" spans="1:8">
      <c r="A961" t="s">
        <v>197</v>
      </c>
      <c r="B961">
        <v>966</v>
      </c>
      <c r="C961" t="s">
        <v>198</v>
      </c>
      <c r="D961">
        <v>966</v>
      </c>
      <c r="E961" s="1">
        <v>8.3000000000000001E-3</v>
      </c>
      <c r="F961" s="1">
        <v>0.4274</v>
      </c>
      <c r="G961" s="1">
        <v>0.56430000000000002</v>
      </c>
    </row>
    <row r="962" spans="1:8">
      <c r="A962" t="s">
        <v>204</v>
      </c>
      <c r="B962">
        <v>91</v>
      </c>
      <c r="C962" t="s">
        <v>205</v>
      </c>
      <c r="D962">
        <v>966</v>
      </c>
      <c r="F962" s="1">
        <v>0.63690000000000002</v>
      </c>
      <c r="G962" s="1">
        <v>0.36309999999999998</v>
      </c>
    </row>
    <row r="963" spans="1:8">
      <c r="A963" t="s">
        <v>204</v>
      </c>
      <c r="B963">
        <v>71</v>
      </c>
      <c r="C963" t="s">
        <v>206</v>
      </c>
      <c r="D963">
        <v>966</v>
      </c>
      <c r="E963" s="1">
        <v>1.6500000000000001E-2</v>
      </c>
      <c r="F963" s="1">
        <v>0.4</v>
      </c>
      <c r="G963" s="1">
        <v>0.58360000000000001</v>
      </c>
    </row>
    <row r="964" spans="1:8">
      <c r="A964" t="s">
        <v>204</v>
      </c>
      <c r="B964">
        <v>130</v>
      </c>
      <c r="C964" t="s">
        <v>207</v>
      </c>
      <c r="D964">
        <v>966</v>
      </c>
      <c r="E964" s="1">
        <v>7.1999999999999998E-3</v>
      </c>
      <c r="F964" s="1">
        <v>0.37119999999999997</v>
      </c>
      <c r="G964" s="1">
        <v>0.62160000000000004</v>
      </c>
    </row>
    <row r="965" spans="1:8">
      <c r="A965" t="s">
        <v>204</v>
      </c>
      <c r="B965">
        <v>74</v>
      </c>
      <c r="C965" t="s">
        <v>208</v>
      </c>
      <c r="D965">
        <v>966</v>
      </c>
      <c r="F965" s="1">
        <v>0.29730000000000001</v>
      </c>
      <c r="G965" s="1">
        <v>0.70269999999999999</v>
      </c>
    </row>
    <row r="966" spans="1:8">
      <c r="A966" t="s">
        <v>199</v>
      </c>
      <c r="B966">
        <v>73</v>
      </c>
      <c r="C966" t="s">
        <v>200</v>
      </c>
      <c r="D966">
        <v>966</v>
      </c>
      <c r="E966" s="1">
        <v>1.6000000000000001E-3</v>
      </c>
      <c r="F966" s="1">
        <v>0.50390000000000001</v>
      </c>
      <c r="G966" s="1">
        <v>0.49459999999999998</v>
      </c>
    </row>
    <row r="967" spans="1:8">
      <c r="A967" t="s">
        <v>199</v>
      </c>
      <c r="B967">
        <v>96</v>
      </c>
      <c r="C967" t="s">
        <v>201</v>
      </c>
      <c r="D967">
        <v>966</v>
      </c>
      <c r="E967" s="1">
        <v>2.0799999999999999E-2</v>
      </c>
      <c r="F967" s="1">
        <v>0.34379999999999999</v>
      </c>
      <c r="G967" s="1">
        <v>0.63539999999999996</v>
      </c>
    </row>
    <row r="968" spans="1:8">
      <c r="A968" t="s">
        <v>199</v>
      </c>
      <c r="B968">
        <v>98</v>
      </c>
      <c r="C968" t="s">
        <v>202</v>
      </c>
      <c r="D968">
        <v>966</v>
      </c>
      <c r="E968" s="1">
        <v>8.9999999999999993E-3</v>
      </c>
      <c r="F968" s="1">
        <v>0.42109999999999997</v>
      </c>
      <c r="G968" s="1">
        <v>0.56989999999999996</v>
      </c>
    </row>
    <row r="969" spans="1:8">
      <c r="A969" t="s">
        <v>199</v>
      </c>
      <c r="B969">
        <v>77</v>
      </c>
      <c r="C969" t="s">
        <v>203</v>
      </c>
      <c r="D969">
        <v>966</v>
      </c>
      <c r="F969" s="1">
        <v>0.2697</v>
      </c>
      <c r="G969" s="1">
        <v>0.73029999999999995</v>
      </c>
    </row>
    <row r="970" spans="1:8">
      <c r="A970" t="s">
        <v>209</v>
      </c>
      <c r="B970">
        <v>74</v>
      </c>
      <c r="C970" t="s">
        <v>210</v>
      </c>
      <c r="D970">
        <v>966</v>
      </c>
      <c r="E970" s="1">
        <v>2.5999999999999999E-2</v>
      </c>
      <c r="F970" s="1">
        <v>0.3049</v>
      </c>
      <c r="G970" s="1">
        <v>0.66910000000000003</v>
      </c>
    </row>
    <row r="971" spans="1:8">
      <c r="A971" t="s">
        <v>209</v>
      </c>
      <c r="B971">
        <v>97</v>
      </c>
      <c r="C971" t="s">
        <v>211</v>
      </c>
      <c r="D971">
        <v>966</v>
      </c>
      <c r="E971" s="1">
        <v>3.15E-2</v>
      </c>
      <c r="F971" s="1">
        <v>0.47889999999999999</v>
      </c>
      <c r="G971" s="1">
        <v>0.48959999999999998</v>
      </c>
    </row>
    <row r="972" spans="1:8">
      <c r="A972" t="s">
        <v>209</v>
      </c>
      <c r="B972">
        <v>85</v>
      </c>
      <c r="C972" t="s">
        <v>212</v>
      </c>
      <c r="D972">
        <v>966</v>
      </c>
      <c r="F972" s="1">
        <v>0.3629</v>
      </c>
      <c r="G972" s="1">
        <v>0.6371</v>
      </c>
    </row>
    <row r="974" spans="1:8">
      <c r="A974" t="s">
        <v>349</v>
      </c>
    </row>
    <row r="975" spans="1:8">
      <c r="A975" t="s">
        <v>214</v>
      </c>
      <c r="B975" t="s">
        <v>189</v>
      </c>
      <c r="C975" t="s">
        <v>195</v>
      </c>
      <c r="D975" t="s">
        <v>190</v>
      </c>
      <c r="E975" t="s">
        <v>196</v>
      </c>
      <c r="F975" t="s">
        <v>228</v>
      </c>
      <c r="G975" t="s">
        <v>215</v>
      </c>
      <c r="H975" t="s">
        <v>216</v>
      </c>
    </row>
    <row r="976" spans="1:8">
      <c r="A976" t="s">
        <v>198</v>
      </c>
      <c r="B976" t="s">
        <v>197</v>
      </c>
      <c r="C976">
        <v>966</v>
      </c>
      <c r="D976" t="s">
        <v>198</v>
      </c>
      <c r="E976">
        <v>966</v>
      </c>
      <c r="F976" s="1">
        <v>8.3000000000000001E-3</v>
      </c>
      <c r="G976" s="1">
        <v>0.4274</v>
      </c>
      <c r="H976" s="1">
        <v>0.56430000000000002</v>
      </c>
    </row>
    <row r="977" spans="1:8">
      <c r="A977" t="s">
        <v>235</v>
      </c>
      <c r="B977" t="s">
        <v>204</v>
      </c>
      <c r="C977">
        <v>63</v>
      </c>
      <c r="D977" t="s">
        <v>208</v>
      </c>
      <c r="E977">
        <v>966</v>
      </c>
      <c r="G977" s="1">
        <v>0.30159999999999998</v>
      </c>
      <c r="H977" s="1">
        <v>0.69840000000000002</v>
      </c>
    </row>
    <row r="978" spans="1:8">
      <c r="A978" t="s">
        <v>236</v>
      </c>
      <c r="B978" t="s">
        <v>204</v>
      </c>
      <c r="C978">
        <v>32</v>
      </c>
      <c r="D978" t="s">
        <v>205</v>
      </c>
      <c r="E978">
        <v>966</v>
      </c>
      <c r="G978" s="1">
        <v>0.6825</v>
      </c>
      <c r="H978" s="1">
        <v>0.3175</v>
      </c>
    </row>
    <row r="979" spans="1:8">
      <c r="A979" t="s">
        <v>235</v>
      </c>
      <c r="B979" t="s">
        <v>204</v>
      </c>
      <c r="C979">
        <v>58</v>
      </c>
      <c r="D979" t="s">
        <v>205</v>
      </c>
      <c r="E979">
        <v>966</v>
      </c>
      <c r="G979" s="1">
        <v>0.62890000000000001</v>
      </c>
      <c r="H979" s="1">
        <v>0.37109999999999999</v>
      </c>
    </row>
    <row r="980" spans="1:8" s="26" customFormat="1">
      <c r="A980" s="26" t="s">
        <v>236</v>
      </c>
      <c r="B980" s="26" t="s">
        <v>204</v>
      </c>
      <c r="C980" s="26">
        <v>21</v>
      </c>
      <c r="D980" s="26" t="s">
        <v>206</v>
      </c>
      <c r="E980" s="26">
        <v>966</v>
      </c>
      <c r="F980" s="27">
        <v>5.9700000000000003E-2</v>
      </c>
      <c r="G980" s="27">
        <v>0.37609999999999999</v>
      </c>
      <c r="H980" s="27">
        <v>0.56420000000000003</v>
      </c>
    </row>
    <row r="981" spans="1:8">
      <c r="A981" t="s">
        <v>235</v>
      </c>
      <c r="B981" t="s">
        <v>204</v>
      </c>
      <c r="C981">
        <v>46</v>
      </c>
      <c r="D981" t="s">
        <v>206</v>
      </c>
      <c r="E981">
        <v>966</v>
      </c>
      <c r="G981" s="1">
        <v>0.40550000000000003</v>
      </c>
      <c r="H981" s="1">
        <v>0.59450000000000003</v>
      </c>
    </row>
    <row r="982" spans="1:8">
      <c r="A982" t="s">
        <v>236</v>
      </c>
      <c r="B982" t="s">
        <v>204</v>
      </c>
      <c r="C982">
        <v>81</v>
      </c>
      <c r="D982" t="s">
        <v>207</v>
      </c>
      <c r="E982">
        <v>966</v>
      </c>
      <c r="F982" s="1">
        <v>1.77E-2</v>
      </c>
      <c r="G982" s="1">
        <v>0.37819999999999998</v>
      </c>
      <c r="H982" s="1">
        <v>0.60409999999999997</v>
      </c>
    </row>
    <row r="983" spans="1:8">
      <c r="A983" t="s">
        <v>235</v>
      </c>
      <c r="B983" t="s">
        <v>204</v>
      </c>
      <c r="C983">
        <v>44</v>
      </c>
      <c r="D983" t="s">
        <v>207</v>
      </c>
      <c r="E983">
        <v>966</v>
      </c>
      <c r="G983" s="1">
        <v>0.3644</v>
      </c>
      <c r="H983" s="1">
        <v>0.63560000000000005</v>
      </c>
    </row>
    <row r="984" spans="1:8" s="26" customFormat="1">
      <c r="A984" s="26" t="s">
        <v>236</v>
      </c>
      <c r="B984" s="26" t="s">
        <v>204</v>
      </c>
      <c r="C984" s="26">
        <v>11</v>
      </c>
      <c r="D984" s="26" t="s">
        <v>208</v>
      </c>
      <c r="E984" s="26">
        <v>966</v>
      </c>
      <c r="G984" s="27">
        <v>0.2727</v>
      </c>
      <c r="H984" s="27">
        <v>0.72729999999999995</v>
      </c>
    </row>
    <row r="985" spans="1:8">
      <c r="A985" t="s">
        <v>235</v>
      </c>
      <c r="B985" t="s">
        <v>199</v>
      </c>
      <c r="C985">
        <v>44</v>
      </c>
      <c r="D985" t="s">
        <v>203</v>
      </c>
      <c r="E985">
        <v>966</v>
      </c>
      <c r="G985" s="1">
        <v>0.1948</v>
      </c>
      <c r="H985" s="1">
        <v>0.80520000000000003</v>
      </c>
    </row>
    <row r="986" spans="1:8">
      <c r="A986" t="s">
        <v>236</v>
      </c>
      <c r="B986" t="s">
        <v>199</v>
      </c>
      <c r="C986">
        <v>32</v>
      </c>
      <c r="D986" t="s">
        <v>203</v>
      </c>
      <c r="E986">
        <v>966</v>
      </c>
      <c r="G986" s="1">
        <v>0.42659999999999998</v>
      </c>
      <c r="H986" s="1">
        <v>0.57340000000000002</v>
      </c>
    </row>
    <row r="987" spans="1:8">
      <c r="A987" t="s">
        <v>235</v>
      </c>
      <c r="B987" t="s">
        <v>199</v>
      </c>
      <c r="C987">
        <v>60</v>
      </c>
      <c r="D987" t="s">
        <v>202</v>
      </c>
      <c r="E987">
        <v>966</v>
      </c>
      <c r="F987" s="1">
        <v>1.5800000000000002E-2</v>
      </c>
      <c r="G987" s="1">
        <v>0.44929999999999998</v>
      </c>
      <c r="H987" s="1">
        <v>0.53490000000000004</v>
      </c>
    </row>
    <row r="988" spans="1:8" s="26" customFormat="1">
      <c r="A988" s="26" t="s">
        <v>236</v>
      </c>
      <c r="B988" s="26" t="s">
        <v>199</v>
      </c>
      <c r="C988" s="26">
        <v>24</v>
      </c>
      <c r="D988" s="26" t="s">
        <v>200</v>
      </c>
      <c r="E988" s="26">
        <v>966</v>
      </c>
      <c r="G988" s="27">
        <v>0.62170000000000003</v>
      </c>
      <c r="H988" s="27">
        <v>0.37830000000000003</v>
      </c>
    </row>
    <row r="989" spans="1:8">
      <c r="A989" t="s">
        <v>235</v>
      </c>
      <c r="B989" t="s">
        <v>199</v>
      </c>
      <c r="C989">
        <v>46</v>
      </c>
      <c r="D989" t="s">
        <v>200</v>
      </c>
      <c r="E989">
        <v>966</v>
      </c>
      <c r="F989" s="1">
        <v>3.0000000000000001E-3</v>
      </c>
      <c r="G989" s="1">
        <v>0.39710000000000001</v>
      </c>
      <c r="H989" s="1">
        <v>0.59989999999999999</v>
      </c>
    </row>
    <row r="990" spans="1:8">
      <c r="A990" t="s">
        <v>236</v>
      </c>
      <c r="B990" t="s">
        <v>199</v>
      </c>
      <c r="C990">
        <v>37</v>
      </c>
      <c r="D990" t="s">
        <v>202</v>
      </c>
      <c r="E990">
        <v>966</v>
      </c>
      <c r="G990" s="1">
        <v>0.3957</v>
      </c>
      <c r="H990" s="1">
        <v>0.60429999999999995</v>
      </c>
    </row>
    <row r="991" spans="1:8">
      <c r="A991" t="s">
        <v>235</v>
      </c>
      <c r="B991" t="s">
        <v>199</v>
      </c>
      <c r="C991">
        <v>96</v>
      </c>
      <c r="D991" t="s">
        <v>201</v>
      </c>
      <c r="E991">
        <v>966</v>
      </c>
      <c r="F991" s="1">
        <v>2.0799999999999999E-2</v>
      </c>
      <c r="G991" s="1">
        <v>0.34379999999999999</v>
      </c>
      <c r="H991" s="1">
        <v>0.63539999999999996</v>
      </c>
    </row>
    <row r="992" spans="1:8">
      <c r="A992" t="s">
        <v>236</v>
      </c>
      <c r="B992" t="s">
        <v>209</v>
      </c>
      <c r="C992">
        <v>39</v>
      </c>
      <c r="D992" t="s">
        <v>211</v>
      </c>
      <c r="E992">
        <v>966</v>
      </c>
      <c r="F992" s="1">
        <v>3.3599999999999998E-2</v>
      </c>
      <c r="G992" s="1">
        <v>0.48509999999999998</v>
      </c>
      <c r="H992" s="1">
        <v>0.48120000000000002</v>
      </c>
    </row>
    <row r="993" spans="1:8">
      <c r="A993" t="s">
        <v>235</v>
      </c>
      <c r="B993" t="s">
        <v>209</v>
      </c>
      <c r="C993">
        <v>56</v>
      </c>
      <c r="D993" t="s">
        <v>211</v>
      </c>
      <c r="E993">
        <v>966</v>
      </c>
      <c r="F993" s="1">
        <v>3.1800000000000002E-2</v>
      </c>
      <c r="G993" s="1">
        <v>0.47420000000000001</v>
      </c>
      <c r="H993" s="1">
        <v>0.49399999999999999</v>
      </c>
    </row>
    <row r="994" spans="1:8">
      <c r="A994" t="s">
        <v>235</v>
      </c>
      <c r="B994" t="s">
        <v>209</v>
      </c>
      <c r="C994">
        <v>67</v>
      </c>
      <c r="D994" t="s">
        <v>212</v>
      </c>
      <c r="E994">
        <v>966</v>
      </c>
      <c r="G994" s="1">
        <v>0.37159999999999999</v>
      </c>
      <c r="H994" s="1">
        <v>0.62839999999999996</v>
      </c>
    </row>
    <row r="995" spans="1:8" s="26" customFormat="1">
      <c r="A995" s="26" t="s">
        <v>236</v>
      </c>
      <c r="B995" s="26" t="s">
        <v>209</v>
      </c>
      <c r="C995" s="26">
        <v>18</v>
      </c>
      <c r="D995" s="26" t="s">
        <v>212</v>
      </c>
      <c r="E995" s="26">
        <v>966</v>
      </c>
      <c r="G995" s="27">
        <v>0.30830000000000002</v>
      </c>
      <c r="H995" s="27">
        <v>0.69169999999999998</v>
      </c>
    </row>
    <row r="996" spans="1:8">
      <c r="A996" t="s">
        <v>236</v>
      </c>
      <c r="B996" t="s">
        <v>209</v>
      </c>
      <c r="C996">
        <v>38</v>
      </c>
      <c r="D996" t="s">
        <v>210</v>
      </c>
      <c r="E996">
        <v>966</v>
      </c>
      <c r="F996" s="1">
        <v>2.0299999999999999E-2</v>
      </c>
      <c r="G996" s="1">
        <v>0.35770000000000002</v>
      </c>
      <c r="H996" s="1">
        <v>0.622</v>
      </c>
    </row>
    <row r="997" spans="1:8">
      <c r="A997" t="s">
        <v>235</v>
      </c>
      <c r="B997" t="s">
        <v>209</v>
      </c>
      <c r="C997">
        <v>32</v>
      </c>
      <c r="D997" t="s">
        <v>210</v>
      </c>
      <c r="E997">
        <v>966</v>
      </c>
      <c r="F997" s="1">
        <v>3.2300000000000002E-2</v>
      </c>
      <c r="G997" s="1">
        <v>0.25850000000000001</v>
      </c>
      <c r="H997" s="1">
        <v>0.70920000000000005</v>
      </c>
    </row>
    <row r="999" spans="1:8">
      <c r="A999" t="s">
        <v>350</v>
      </c>
    </row>
    <row r="1000" spans="1:8">
      <c r="A1000" t="s">
        <v>189</v>
      </c>
      <c r="B1000" t="s">
        <v>195</v>
      </c>
      <c r="C1000" t="s">
        <v>190</v>
      </c>
      <c r="D1000" t="s">
        <v>196</v>
      </c>
      <c r="E1000" t="s">
        <v>228</v>
      </c>
      <c r="F1000" t="s">
        <v>215</v>
      </c>
      <c r="G1000" t="s">
        <v>223</v>
      </c>
      <c r="H1000" t="s">
        <v>216</v>
      </c>
    </row>
    <row r="1001" spans="1:8">
      <c r="A1001" t="s">
        <v>197</v>
      </c>
      <c r="B1001">
        <v>964</v>
      </c>
      <c r="C1001" t="s">
        <v>198</v>
      </c>
      <c r="D1001">
        <v>964</v>
      </c>
      <c r="E1001" s="1">
        <v>3.0000000000000001E-3</v>
      </c>
      <c r="F1001" s="1">
        <v>0.29849999999999999</v>
      </c>
      <c r="G1001" s="1">
        <v>2.3999999999999998E-3</v>
      </c>
      <c r="H1001" s="1">
        <v>0.69620000000000004</v>
      </c>
    </row>
    <row r="1002" spans="1:8">
      <c r="A1002" t="s">
        <v>204</v>
      </c>
      <c r="B1002">
        <v>91</v>
      </c>
      <c r="C1002" t="s">
        <v>205</v>
      </c>
      <c r="D1002">
        <v>964</v>
      </c>
      <c r="F1002" s="1">
        <v>0.47789999999999999</v>
      </c>
      <c r="H1002" s="1">
        <v>0.52210000000000001</v>
      </c>
    </row>
    <row r="1003" spans="1:8">
      <c r="A1003" t="s">
        <v>204</v>
      </c>
      <c r="B1003">
        <v>71</v>
      </c>
      <c r="C1003" t="s">
        <v>206</v>
      </c>
      <c r="D1003">
        <v>964</v>
      </c>
      <c r="F1003" s="1">
        <v>0.25169999999999998</v>
      </c>
      <c r="H1003" s="1">
        <v>0.74829999999999997</v>
      </c>
    </row>
    <row r="1004" spans="1:8">
      <c r="A1004" t="s">
        <v>204</v>
      </c>
      <c r="B1004">
        <v>131</v>
      </c>
      <c r="C1004" t="s">
        <v>207</v>
      </c>
      <c r="D1004">
        <v>964</v>
      </c>
      <c r="E1004" s="1">
        <v>3.5999999999999999E-3</v>
      </c>
      <c r="F1004" s="1">
        <v>0.192</v>
      </c>
      <c r="H1004" s="1">
        <v>0.8044</v>
      </c>
    </row>
    <row r="1005" spans="1:8">
      <c r="A1005" t="s">
        <v>204</v>
      </c>
      <c r="B1005">
        <v>74</v>
      </c>
      <c r="C1005" t="s">
        <v>208</v>
      </c>
      <c r="D1005">
        <v>964</v>
      </c>
      <c r="F1005" s="1">
        <v>0.2432</v>
      </c>
      <c r="H1005" s="1">
        <v>0.75680000000000003</v>
      </c>
    </row>
    <row r="1006" spans="1:8">
      <c r="A1006" t="s">
        <v>199</v>
      </c>
      <c r="B1006">
        <v>73</v>
      </c>
      <c r="C1006" t="s">
        <v>200</v>
      </c>
      <c r="D1006">
        <v>964</v>
      </c>
      <c r="E1006" s="1">
        <v>3.2000000000000002E-3</v>
      </c>
      <c r="F1006" s="1">
        <v>0.42170000000000002</v>
      </c>
      <c r="H1006" s="1">
        <v>0.57509999999999994</v>
      </c>
    </row>
    <row r="1007" spans="1:8">
      <c r="A1007" t="s">
        <v>199</v>
      </c>
      <c r="B1007">
        <v>94</v>
      </c>
      <c r="C1007" t="s">
        <v>201</v>
      </c>
      <c r="D1007">
        <v>964</v>
      </c>
      <c r="E1007" s="1">
        <v>1.06E-2</v>
      </c>
      <c r="F1007" s="1">
        <v>0.21279999999999999</v>
      </c>
      <c r="G1007" s="1">
        <v>1.06E-2</v>
      </c>
      <c r="H1007" s="1">
        <v>0.76600000000000001</v>
      </c>
    </row>
    <row r="1008" spans="1:8">
      <c r="A1008" t="s">
        <v>199</v>
      </c>
      <c r="B1008">
        <v>97</v>
      </c>
      <c r="C1008" t="s">
        <v>202</v>
      </c>
      <c r="D1008">
        <v>964</v>
      </c>
      <c r="F1008" s="1">
        <v>0.3967</v>
      </c>
      <c r="H1008" s="1">
        <v>0.60329999999999995</v>
      </c>
    </row>
    <row r="1009" spans="1:9">
      <c r="A1009" t="s">
        <v>199</v>
      </c>
      <c r="B1009">
        <v>77</v>
      </c>
      <c r="C1009" t="s">
        <v>203</v>
      </c>
      <c r="D1009">
        <v>964</v>
      </c>
      <c r="E1009" s="1">
        <v>9.4999999999999998E-3</v>
      </c>
      <c r="F1009" s="1">
        <v>0.12139999999999999</v>
      </c>
      <c r="G1009" s="1">
        <v>9.4999999999999998E-3</v>
      </c>
      <c r="H1009" s="1">
        <v>0.85960000000000003</v>
      </c>
    </row>
    <row r="1010" spans="1:9">
      <c r="A1010" t="s">
        <v>209</v>
      </c>
      <c r="B1010">
        <v>74</v>
      </c>
      <c r="C1010" t="s">
        <v>210</v>
      </c>
      <c r="D1010">
        <v>964</v>
      </c>
      <c r="F1010" s="1">
        <v>0.16639999999999999</v>
      </c>
      <c r="H1010" s="1">
        <v>0.83360000000000001</v>
      </c>
    </row>
    <row r="1011" spans="1:9">
      <c r="A1011" t="s">
        <v>209</v>
      </c>
      <c r="B1011">
        <v>97</v>
      </c>
      <c r="C1011" t="s">
        <v>211</v>
      </c>
      <c r="D1011">
        <v>964</v>
      </c>
      <c r="F1011" s="1">
        <v>0.2853</v>
      </c>
      <c r="H1011" s="1">
        <v>0.7147</v>
      </c>
    </row>
    <row r="1012" spans="1:9">
      <c r="A1012" t="s">
        <v>209</v>
      </c>
      <c r="B1012">
        <v>85</v>
      </c>
      <c r="C1012" t="s">
        <v>212</v>
      </c>
      <c r="D1012">
        <v>964</v>
      </c>
      <c r="F1012" s="1">
        <v>0.2024</v>
      </c>
      <c r="H1012" s="1">
        <v>0.79759999999999998</v>
      </c>
    </row>
    <row r="1014" spans="1:9">
      <c r="A1014" t="s">
        <v>351</v>
      </c>
    </row>
    <row r="1015" spans="1:9">
      <c r="A1015" t="s">
        <v>214</v>
      </c>
      <c r="B1015" t="s">
        <v>189</v>
      </c>
      <c r="C1015" t="s">
        <v>195</v>
      </c>
      <c r="D1015" t="s">
        <v>190</v>
      </c>
      <c r="E1015" t="s">
        <v>196</v>
      </c>
      <c r="F1015" t="s">
        <v>228</v>
      </c>
      <c r="G1015" t="s">
        <v>215</v>
      </c>
      <c r="H1015" t="s">
        <v>223</v>
      </c>
      <c r="I1015" t="s">
        <v>216</v>
      </c>
    </row>
    <row r="1016" spans="1:9">
      <c r="A1016" t="s">
        <v>198</v>
      </c>
      <c r="B1016" t="s">
        <v>197</v>
      </c>
      <c r="C1016">
        <v>964</v>
      </c>
      <c r="D1016" t="s">
        <v>198</v>
      </c>
      <c r="E1016">
        <v>964</v>
      </c>
      <c r="F1016" s="1">
        <v>3.0000000000000001E-3</v>
      </c>
      <c r="G1016" s="1">
        <v>0.29849999999999999</v>
      </c>
      <c r="H1016" s="1">
        <v>2.3999999999999998E-3</v>
      </c>
      <c r="I1016" s="1">
        <v>0.69620000000000004</v>
      </c>
    </row>
    <row r="1017" spans="1:9">
      <c r="A1017" t="s">
        <v>235</v>
      </c>
      <c r="B1017" t="s">
        <v>204</v>
      </c>
      <c r="C1017">
        <v>63</v>
      </c>
      <c r="D1017" t="s">
        <v>208</v>
      </c>
      <c r="E1017">
        <v>964</v>
      </c>
      <c r="G1017" s="1">
        <v>0.20630000000000001</v>
      </c>
      <c r="I1017" s="1">
        <v>0.79369999999999996</v>
      </c>
    </row>
    <row r="1018" spans="1:9">
      <c r="A1018" t="s">
        <v>236</v>
      </c>
      <c r="B1018" t="s">
        <v>204</v>
      </c>
      <c r="C1018">
        <v>32</v>
      </c>
      <c r="D1018" t="s">
        <v>205</v>
      </c>
      <c r="E1018">
        <v>964</v>
      </c>
      <c r="G1018" s="1">
        <v>0.2631</v>
      </c>
      <c r="I1018" s="1">
        <v>0.7369</v>
      </c>
    </row>
    <row r="1019" spans="1:9">
      <c r="A1019" t="s">
        <v>235</v>
      </c>
      <c r="B1019" t="s">
        <v>204</v>
      </c>
      <c r="C1019">
        <v>58</v>
      </c>
      <c r="D1019" t="s">
        <v>205</v>
      </c>
      <c r="E1019">
        <v>964</v>
      </c>
      <c r="G1019" s="1">
        <v>0.52600000000000002</v>
      </c>
      <c r="I1019" s="1">
        <v>0.47399999999999998</v>
      </c>
    </row>
    <row r="1020" spans="1:9" s="26" customFormat="1">
      <c r="A1020" s="26" t="s">
        <v>236</v>
      </c>
      <c r="B1020" s="26" t="s">
        <v>204</v>
      </c>
      <c r="C1020" s="26">
        <v>21</v>
      </c>
      <c r="D1020" s="26" t="s">
        <v>206</v>
      </c>
      <c r="E1020" s="26">
        <v>964</v>
      </c>
      <c r="G1020" s="27">
        <v>0.23080000000000001</v>
      </c>
      <c r="I1020" s="27">
        <v>0.76919999999999999</v>
      </c>
    </row>
    <row r="1021" spans="1:9">
      <c r="A1021" t="s">
        <v>235</v>
      </c>
      <c r="B1021" t="s">
        <v>204</v>
      </c>
      <c r="C1021">
        <v>46</v>
      </c>
      <c r="D1021" t="s">
        <v>206</v>
      </c>
      <c r="E1021">
        <v>964</v>
      </c>
      <c r="G1021" s="1">
        <v>0.27960000000000002</v>
      </c>
      <c r="I1021" s="1">
        <v>0.72040000000000004</v>
      </c>
    </row>
    <row r="1022" spans="1:9">
      <c r="A1022" t="s">
        <v>236</v>
      </c>
      <c r="B1022" t="s">
        <v>204</v>
      </c>
      <c r="C1022">
        <v>81</v>
      </c>
      <c r="D1022" t="s">
        <v>207</v>
      </c>
      <c r="E1022">
        <v>964</v>
      </c>
      <c r="F1022" s="1">
        <v>8.8000000000000005E-3</v>
      </c>
      <c r="G1022" s="1">
        <v>9.2899999999999996E-2</v>
      </c>
      <c r="I1022" s="1">
        <v>0.89829999999999999</v>
      </c>
    </row>
    <row r="1023" spans="1:9">
      <c r="A1023" t="s">
        <v>235</v>
      </c>
      <c r="B1023" t="s">
        <v>204</v>
      </c>
      <c r="C1023">
        <v>45</v>
      </c>
      <c r="D1023" t="s">
        <v>207</v>
      </c>
      <c r="E1023">
        <v>964</v>
      </c>
      <c r="G1023" s="1">
        <v>0.25950000000000001</v>
      </c>
      <c r="I1023" s="1">
        <v>0.74050000000000005</v>
      </c>
    </row>
    <row r="1024" spans="1:9" s="26" customFormat="1">
      <c r="A1024" s="26" t="s">
        <v>236</v>
      </c>
      <c r="B1024" s="26" t="s">
        <v>204</v>
      </c>
      <c r="C1024" s="26">
        <v>11</v>
      </c>
      <c r="D1024" s="26" t="s">
        <v>208</v>
      </c>
      <c r="E1024" s="26">
        <v>964</v>
      </c>
      <c r="G1024" s="27">
        <v>0.45450000000000002</v>
      </c>
      <c r="I1024" s="27">
        <v>0.54549999999999998</v>
      </c>
    </row>
    <row r="1025" spans="1:11">
      <c r="A1025" t="s">
        <v>235</v>
      </c>
      <c r="B1025" t="s">
        <v>199</v>
      </c>
      <c r="C1025">
        <v>44</v>
      </c>
      <c r="D1025" t="s">
        <v>203</v>
      </c>
      <c r="E1025">
        <v>964</v>
      </c>
      <c r="F1025" s="1">
        <v>1.5100000000000001E-2</v>
      </c>
      <c r="G1025" s="1">
        <v>0.10009999999999999</v>
      </c>
      <c r="H1025" s="1">
        <v>1.5100000000000001E-2</v>
      </c>
      <c r="I1025" s="1">
        <v>0.86970000000000003</v>
      </c>
    </row>
    <row r="1026" spans="1:11">
      <c r="A1026" t="s">
        <v>236</v>
      </c>
      <c r="B1026" t="s">
        <v>199</v>
      </c>
      <c r="C1026">
        <v>32</v>
      </c>
      <c r="D1026" t="s">
        <v>203</v>
      </c>
      <c r="E1026">
        <v>964</v>
      </c>
      <c r="G1026" s="1">
        <v>0.16950000000000001</v>
      </c>
      <c r="I1026" s="1">
        <v>0.83050000000000002</v>
      </c>
    </row>
    <row r="1027" spans="1:11">
      <c r="A1027" t="s">
        <v>235</v>
      </c>
      <c r="B1027" t="s">
        <v>199</v>
      </c>
      <c r="C1027">
        <v>60</v>
      </c>
      <c r="D1027" t="s">
        <v>202</v>
      </c>
      <c r="E1027">
        <v>964</v>
      </c>
      <c r="G1027" s="1">
        <v>0.38690000000000002</v>
      </c>
      <c r="I1027" s="1">
        <v>0.61309999999999998</v>
      </c>
    </row>
    <row r="1028" spans="1:11" s="26" customFormat="1">
      <c r="A1028" s="26" t="s">
        <v>236</v>
      </c>
      <c r="B1028" s="26" t="s">
        <v>199</v>
      </c>
      <c r="C1028" s="26">
        <v>24</v>
      </c>
      <c r="D1028" s="26" t="s">
        <v>200</v>
      </c>
      <c r="E1028" s="26">
        <v>964</v>
      </c>
      <c r="G1028" s="27">
        <v>0.57820000000000005</v>
      </c>
      <c r="I1028" s="27">
        <v>0.42180000000000001</v>
      </c>
    </row>
    <row r="1029" spans="1:11">
      <c r="A1029" t="s">
        <v>235</v>
      </c>
      <c r="B1029" t="s">
        <v>199</v>
      </c>
      <c r="C1029">
        <v>46</v>
      </c>
      <c r="D1029" t="s">
        <v>200</v>
      </c>
      <c r="E1029">
        <v>964</v>
      </c>
      <c r="F1029" s="1">
        <v>6.0000000000000001E-3</v>
      </c>
      <c r="G1029" s="1">
        <v>0.27979999999999999</v>
      </c>
      <c r="I1029" s="1">
        <v>0.71419999999999995</v>
      </c>
    </row>
    <row r="1030" spans="1:11">
      <c r="A1030" t="s">
        <v>236</v>
      </c>
      <c r="B1030" t="s">
        <v>199</v>
      </c>
      <c r="C1030">
        <v>36</v>
      </c>
      <c r="D1030" t="s">
        <v>202</v>
      </c>
      <c r="E1030">
        <v>964</v>
      </c>
      <c r="G1030" s="1">
        <v>0.42359999999999998</v>
      </c>
      <c r="I1030" s="1">
        <v>0.57640000000000002</v>
      </c>
    </row>
    <row r="1031" spans="1:11">
      <c r="A1031" t="s">
        <v>235</v>
      </c>
      <c r="B1031" t="s">
        <v>199</v>
      </c>
      <c r="C1031">
        <v>94</v>
      </c>
      <c r="D1031" t="s">
        <v>201</v>
      </c>
      <c r="E1031">
        <v>964</v>
      </c>
      <c r="F1031" s="1">
        <v>1.06E-2</v>
      </c>
      <c r="G1031" s="1">
        <v>0.21279999999999999</v>
      </c>
      <c r="H1031" s="1">
        <v>1.06E-2</v>
      </c>
      <c r="I1031" s="1">
        <v>0.76600000000000001</v>
      </c>
    </row>
    <row r="1032" spans="1:11">
      <c r="A1032" t="s">
        <v>236</v>
      </c>
      <c r="B1032" t="s">
        <v>209</v>
      </c>
      <c r="C1032">
        <v>39</v>
      </c>
      <c r="D1032" t="s">
        <v>211</v>
      </c>
      <c r="E1032">
        <v>964</v>
      </c>
      <c r="G1032" s="1">
        <v>0.37469999999999998</v>
      </c>
      <c r="I1032" s="1">
        <v>0.62529999999999997</v>
      </c>
    </row>
    <row r="1033" spans="1:11">
      <c r="A1033" t="s">
        <v>235</v>
      </c>
      <c r="B1033" t="s">
        <v>209</v>
      </c>
      <c r="C1033">
        <v>56</v>
      </c>
      <c r="D1033" t="s">
        <v>211</v>
      </c>
      <c r="E1033">
        <v>964</v>
      </c>
      <c r="G1033" s="1">
        <v>0.2472</v>
      </c>
      <c r="I1033" s="1">
        <v>0.75280000000000002</v>
      </c>
    </row>
    <row r="1034" spans="1:11">
      <c r="A1034" t="s">
        <v>235</v>
      </c>
      <c r="B1034" t="s">
        <v>209</v>
      </c>
      <c r="C1034">
        <v>67</v>
      </c>
      <c r="D1034" t="s">
        <v>212</v>
      </c>
      <c r="E1034">
        <v>964</v>
      </c>
      <c r="G1034" s="1">
        <v>0.1855</v>
      </c>
      <c r="I1034" s="1">
        <v>0.8145</v>
      </c>
    </row>
    <row r="1035" spans="1:11" s="26" customFormat="1">
      <c r="A1035" s="26" t="s">
        <v>236</v>
      </c>
      <c r="B1035" s="26" t="s">
        <v>209</v>
      </c>
      <c r="C1035" s="26">
        <v>18</v>
      </c>
      <c r="D1035" s="26" t="s">
        <v>212</v>
      </c>
      <c r="E1035" s="26">
        <v>964</v>
      </c>
      <c r="G1035" s="27">
        <v>0.308</v>
      </c>
      <c r="I1035" s="27">
        <v>0.69199999999999995</v>
      </c>
    </row>
    <row r="1036" spans="1:11">
      <c r="A1036" t="s">
        <v>236</v>
      </c>
      <c r="B1036" t="s">
        <v>209</v>
      </c>
      <c r="C1036">
        <v>38</v>
      </c>
      <c r="D1036" t="s">
        <v>210</v>
      </c>
      <c r="E1036">
        <v>964</v>
      </c>
      <c r="G1036" s="1">
        <v>0.14710000000000001</v>
      </c>
      <c r="I1036" s="1">
        <v>0.85289999999999999</v>
      </c>
    </row>
    <row r="1037" spans="1:11">
      <c r="A1037" t="s">
        <v>235</v>
      </c>
      <c r="B1037" t="s">
        <v>209</v>
      </c>
      <c r="C1037">
        <v>32</v>
      </c>
      <c r="D1037" t="s">
        <v>210</v>
      </c>
      <c r="E1037">
        <v>964</v>
      </c>
      <c r="G1037" s="1">
        <v>0.16159999999999999</v>
      </c>
      <c r="I1037" s="1">
        <v>0.83840000000000003</v>
      </c>
    </row>
    <row r="1039" spans="1:11">
      <c r="A1039" t="s">
        <v>352</v>
      </c>
    </row>
    <row r="1040" spans="1:11">
      <c r="A1040" t="s">
        <v>189</v>
      </c>
      <c r="B1040" t="s">
        <v>195</v>
      </c>
      <c r="C1040" t="s">
        <v>190</v>
      </c>
      <c r="D1040" t="s">
        <v>196</v>
      </c>
      <c r="E1040" t="s">
        <v>228</v>
      </c>
      <c r="F1040" t="s">
        <v>276</v>
      </c>
      <c r="G1040" t="s">
        <v>223</v>
      </c>
      <c r="H1040" t="s">
        <v>353</v>
      </c>
      <c r="I1040" t="s">
        <v>354</v>
      </c>
      <c r="J1040" t="s">
        <v>355</v>
      </c>
      <c r="K1040" t="s">
        <v>356</v>
      </c>
    </row>
    <row r="1041" spans="1:12">
      <c r="A1041" t="s">
        <v>197</v>
      </c>
      <c r="B1041">
        <v>968</v>
      </c>
      <c r="C1041" t="s">
        <v>198</v>
      </c>
      <c r="D1041">
        <v>968</v>
      </c>
      <c r="E1041" s="1">
        <v>1.9E-3</v>
      </c>
      <c r="F1041" s="1">
        <v>0.79900000000000004</v>
      </c>
      <c r="G1041" s="1">
        <v>1E-4</v>
      </c>
      <c r="H1041" s="1">
        <v>2.0899999999999998E-2</v>
      </c>
      <c r="I1041" s="1">
        <v>2.4E-2</v>
      </c>
      <c r="J1041" s="1">
        <v>6.7299999999999999E-2</v>
      </c>
      <c r="K1041" s="1">
        <v>9.1600000000000001E-2</v>
      </c>
    </row>
    <row r="1042" spans="1:12">
      <c r="A1042" t="s">
        <v>204</v>
      </c>
      <c r="B1042">
        <v>91</v>
      </c>
      <c r="C1042" t="s">
        <v>205</v>
      </c>
      <c r="D1042">
        <v>968</v>
      </c>
      <c r="F1042" s="1">
        <v>0.74629999999999996</v>
      </c>
      <c r="I1042" s="1">
        <v>1.34E-2</v>
      </c>
      <c r="J1042" s="1">
        <v>8.0199999999999994E-2</v>
      </c>
      <c r="K1042" s="1">
        <v>0.16009999999999999</v>
      </c>
    </row>
    <row r="1043" spans="1:12">
      <c r="A1043" t="s">
        <v>204</v>
      </c>
      <c r="B1043">
        <v>72</v>
      </c>
      <c r="C1043" t="s">
        <v>206</v>
      </c>
      <c r="D1043">
        <v>968</v>
      </c>
      <c r="F1043" s="1">
        <v>0.79059999999999997</v>
      </c>
      <c r="H1043" s="1">
        <v>1.6299999999999999E-2</v>
      </c>
      <c r="I1043" s="1">
        <v>3.2500000000000001E-2</v>
      </c>
      <c r="J1043" s="1">
        <v>2.3300000000000001E-2</v>
      </c>
      <c r="K1043" s="1">
        <v>0.13730000000000001</v>
      </c>
    </row>
    <row r="1044" spans="1:12">
      <c r="A1044" t="s">
        <v>204</v>
      </c>
      <c r="B1044">
        <v>131</v>
      </c>
      <c r="C1044" t="s">
        <v>207</v>
      </c>
      <c r="D1044">
        <v>968</v>
      </c>
      <c r="F1044" s="1">
        <v>0.80559999999999998</v>
      </c>
      <c r="H1044" s="1">
        <v>2.5000000000000001E-3</v>
      </c>
      <c r="I1044" s="1">
        <v>5.8000000000000003E-2</v>
      </c>
      <c r="J1044" s="1">
        <v>0.114</v>
      </c>
      <c r="K1044" s="1">
        <v>1.9900000000000001E-2</v>
      </c>
    </row>
    <row r="1045" spans="1:12">
      <c r="A1045" t="s">
        <v>204</v>
      </c>
      <c r="B1045">
        <v>74</v>
      </c>
      <c r="C1045" t="s">
        <v>208</v>
      </c>
      <c r="D1045">
        <v>968</v>
      </c>
      <c r="F1045" s="1">
        <v>0.77029999999999998</v>
      </c>
      <c r="H1045" s="1">
        <v>2.7E-2</v>
      </c>
      <c r="I1045" s="1">
        <v>4.0500000000000001E-2</v>
      </c>
      <c r="J1045" s="1">
        <v>8.1100000000000005E-2</v>
      </c>
      <c r="K1045" s="1">
        <v>0.1081</v>
      </c>
    </row>
    <row r="1046" spans="1:12">
      <c r="A1046" t="s">
        <v>199</v>
      </c>
      <c r="B1046">
        <v>73</v>
      </c>
      <c r="C1046" t="s">
        <v>200</v>
      </c>
      <c r="D1046">
        <v>968</v>
      </c>
      <c r="E1046" s="1">
        <v>6.8400000000000002E-2</v>
      </c>
      <c r="F1046" s="1">
        <v>0.73629999999999995</v>
      </c>
      <c r="H1046" s="1">
        <v>1.5299999999999999E-2</v>
      </c>
      <c r="J1046" s="1">
        <v>6.8400000000000002E-2</v>
      </c>
      <c r="K1046" s="1">
        <v>0.11169999999999999</v>
      </c>
    </row>
    <row r="1047" spans="1:12">
      <c r="A1047" t="s">
        <v>199</v>
      </c>
      <c r="B1047">
        <v>96</v>
      </c>
      <c r="C1047" t="s">
        <v>201</v>
      </c>
      <c r="D1047">
        <v>968</v>
      </c>
      <c r="F1047" s="1">
        <v>0.88539999999999996</v>
      </c>
      <c r="H1047" s="1">
        <v>2.0799999999999999E-2</v>
      </c>
      <c r="I1047" s="1">
        <v>1.04E-2</v>
      </c>
      <c r="J1047" s="1">
        <v>3.1199999999999999E-2</v>
      </c>
      <c r="K1047" s="1">
        <v>5.21E-2</v>
      </c>
    </row>
    <row r="1048" spans="1:12">
      <c r="A1048" t="s">
        <v>199</v>
      </c>
      <c r="B1048">
        <v>98</v>
      </c>
      <c r="C1048" t="s">
        <v>202</v>
      </c>
      <c r="D1048">
        <v>968</v>
      </c>
      <c r="F1048" s="1">
        <v>0.79349999999999998</v>
      </c>
      <c r="H1048" s="1">
        <v>2.7099999999999999E-2</v>
      </c>
      <c r="I1048" s="1">
        <v>2.12E-2</v>
      </c>
      <c r="J1048" s="1">
        <v>4.4600000000000001E-2</v>
      </c>
      <c r="K1048" s="1">
        <v>0.1225</v>
      </c>
    </row>
    <row r="1049" spans="1:12">
      <c r="A1049" t="s">
        <v>199</v>
      </c>
      <c r="B1049">
        <v>77</v>
      </c>
      <c r="C1049" t="s">
        <v>203</v>
      </c>
      <c r="D1049">
        <v>968</v>
      </c>
      <c r="F1049" s="1">
        <v>0.74809999999999999</v>
      </c>
      <c r="H1049" s="1">
        <v>5.6599999999999998E-2</v>
      </c>
      <c r="I1049" s="1">
        <v>2.4299999999999999E-2</v>
      </c>
      <c r="J1049" s="1">
        <v>0.1182</v>
      </c>
      <c r="K1049" s="1">
        <v>8.2600000000000007E-2</v>
      </c>
    </row>
    <row r="1050" spans="1:12">
      <c r="A1050" t="s">
        <v>209</v>
      </c>
      <c r="B1050">
        <v>74</v>
      </c>
      <c r="C1050" t="s">
        <v>210</v>
      </c>
      <c r="D1050">
        <v>968</v>
      </c>
      <c r="F1050" s="1">
        <v>0.86990000000000001</v>
      </c>
      <c r="G1050" s="1">
        <v>8.3000000000000001E-3</v>
      </c>
      <c r="I1050" s="1">
        <v>1.77E-2</v>
      </c>
      <c r="J1050" s="1">
        <v>3.44E-2</v>
      </c>
      <c r="K1050" s="1">
        <v>8.7400000000000005E-2</v>
      </c>
    </row>
    <row r="1051" spans="1:12">
      <c r="A1051" t="s">
        <v>209</v>
      </c>
      <c r="B1051">
        <v>97</v>
      </c>
      <c r="C1051" t="s">
        <v>211</v>
      </c>
      <c r="D1051">
        <v>968</v>
      </c>
      <c r="F1051" s="1">
        <v>0.84309999999999996</v>
      </c>
      <c r="H1051" s="1">
        <v>1.2E-2</v>
      </c>
      <c r="I1051" s="1">
        <v>3.61E-2</v>
      </c>
      <c r="J1051" s="1">
        <v>4.8000000000000001E-2</v>
      </c>
      <c r="K1051" s="1">
        <v>7.0699999999999999E-2</v>
      </c>
    </row>
    <row r="1052" spans="1:12">
      <c r="A1052" t="s">
        <v>209</v>
      </c>
      <c r="B1052">
        <v>85</v>
      </c>
      <c r="C1052" t="s">
        <v>212</v>
      </c>
      <c r="D1052">
        <v>968</v>
      </c>
      <c r="F1052" s="1">
        <v>0.77200000000000002</v>
      </c>
      <c r="H1052" s="1">
        <v>6.9900000000000004E-2</v>
      </c>
      <c r="I1052" s="1">
        <v>1.4E-2</v>
      </c>
      <c r="J1052" s="1">
        <v>6.08E-2</v>
      </c>
      <c r="K1052" s="1">
        <v>8.3299999999999999E-2</v>
      </c>
    </row>
    <row r="1054" spans="1:12">
      <c r="A1054" t="s">
        <v>357</v>
      </c>
    </row>
    <row r="1055" spans="1:12">
      <c r="A1055" t="s">
        <v>214</v>
      </c>
      <c r="B1055" t="s">
        <v>189</v>
      </c>
      <c r="C1055" t="s">
        <v>195</v>
      </c>
      <c r="D1055" t="s">
        <v>190</v>
      </c>
      <c r="E1055" t="s">
        <v>196</v>
      </c>
      <c r="F1055" t="s">
        <v>228</v>
      </c>
      <c r="G1055" t="s">
        <v>276</v>
      </c>
      <c r="H1055" t="s">
        <v>223</v>
      </c>
      <c r="I1055" t="s">
        <v>353</v>
      </c>
      <c r="J1055" t="s">
        <v>354</v>
      </c>
      <c r="K1055" t="s">
        <v>355</v>
      </c>
      <c r="L1055" t="s">
        <v>356</v>
      </c>
    </row>
    <row r="1056" spans="1:12">
      <c r="A1056" t="s">
        <v>198</v>
      </c>
      <c r="B1056" t="s">
        <v>197</v>
      </c>
      <c r="C1056">
        <v>968</v>
      </c>
      <c r="D1056" t="s">
        <v>198</v>
      </c>
      <c r="E1056">
        <v>968</v>
      </c>
      <c r="F1056" s="1">
        <v>1.9E-3</v>
      </c>
      <c r="G1056" s="1">
        <v>0.79900000000000004</v>
      </c>
      <c r="H1056" s="1">
        <v>1E-4</v>
      </c>
      <c r="I1056" s="1">
        <v>2.0899999999999998E-2</v>
      </c>
      <c r="J1056" s="1">
        <v>2.4E-2</v>
      </c>
      <c r="K1056" s="1">
        <v>6.7299999999999999E-2</v>
      </c>
      <c r="L1056" s="1">
        <v>9.1600000000000001E-2</v>
      </c>
    </row>
    <row r="1057" spans="1:12">
      <c r="A1057" t="s">
        <v>235</v>
      </c>
      <c r="B1057" t="s">
        <v>204</v>
      </c>
      <c r="C1057">
        <v>63</v>
      </c>
      <c r="D1057" t="s">
        <v>208</v>
      </c>
      <c r="E1057">
        <v>968</v>
      </c>
      <c r="G1057" s="1">
        <v>0.77780000000000005</v>
      </c>
      <c r="I1057" s="1">
        <v>1.5900000000000001E-2</v>
      </c>
      <c r="J1057" s="1">
        <v>1.5900000000000001E-2</v>
      </c>
      <c r="K1057" s="1">
        <v>6.3500000000000001E-2</v>
      </c>
      <c r="L1057" s="1">
        <v>0.127</v>
      </c>
    </row>
    <row r="1058" spans="1:12">
      <c r="A1058" t="s">
        <v>236</v>
      </c>
      <c r="B1058" t="s">
        <v>204</v>
      </c>
      <c r="C1058">
        <v>32</v>
      </c>
      <c r="D1058" t="s">
        <v>205</v>
      </c>
      <c r="E1058">
        <v>968</v>
      </c>
      <c r="G1058" s="1">
        <v>0.85960000000000003</v>
      </c>
      <c r="K1058" s="1">
        <v>7.4899999999999994E-2</v>
      </c>
      <c r="L1058" s="1">
        <v>6.54E-2</v>
      </c>
    </row>
    <row r="1059" spans="1:12">
      <c r="A1059" t="s">
        <v>235</v>
      </c>
      <c r="B1059" t="s">
        <v>204</v>
      </c>
      <c r="C1059">
        <v>58</v>
      </c>
      <c r="D1059" t="s">
        <v>205</v>
      </c>
      <c r="E1059">
        <v>968</v>
      </c>
      <c r="G1059" s="1">
        <v>0.72399999999999998</v>
      </c>
      <c r="J1059" s="1">
        <v>1.6400000000000001E-2</v>
      </c>
      <c r="K1059" s="1">
        <v>8.1500000000000003E-2</v>
      </c>
      <c r="L1059" s="1">
        <v>0.17810000000000001</v>
      </c>
    </row>
    <row r="1060" spans="1:12" s="26" customFormat="1">
      <c r="A1060" s="26" t="s">
        <v>236</v>
      </c>
      <c r="B1060" s="26" t="s">
        <v>204</v>
      </c>
      <c r="C1060" s="26">
        <v>21</v>
      </c>
      <c r="D1060" s="26" t="s">
        <v>206</v>
      </c>
      <c r="E1060" s="26">
        <v>968</v>
      </c>
      <c r="G1060" s="27">
        <v>0.75219999999999998</v>
      </c>
      <c r="I1060" s="27">
        <v>5.9700000000000003E-2</v>
      </c>
      <c r="J1060" s="27">
        <v>5.9700000000000003E-2</v>
      </c>
      <c r="K1060" s="27">
        <v>4.2799999999999998E-2</v>
      </c>
      <c r="L1060" s="27">
        <v>8.5500000000000007E-2</v>
      </c>
    </row>
    <row r="1061" spans="1:12">
      <c r="A1061" t="s">
        <v>235</v>
      </c>
      <c r="B1061" t="s">
        <v>204</v>
      </c>
      <c r="C1061">
        <v>47</v>
      </c>
      <c r="D1061" t="s">
        <v>206</v>
      </c>
      <c r="E1061">
        <v>968</v>
      </c>
      <c r="G1061" s="1">
        <v>0.80740000000000001</v>
      </c>
      <c r="J1061" s="1">
        <v>2.4E-2</v>
      </c>
      <c r="K1061" s="1">
        <v>1.72E-2</v>
      </c>
      <c r="L1061" s="1">
        <v>0.15129999999999999</v>
      </c>
    </row>
    <row r="1062" spans="1:12">
      <c r="A1062" t="s">
        <v>236</v>
      </c>
      <c r="B1062" t="s">
        <v>204</v>
      </c>
      <c r="C1062">
        <v>81</v>
      </c>
      <c r="D1062" t="s">
        <v>207</v>
      </c>
      <c r="E1062">
        <v>968</v>
      </c>
      <c r="G1062" s="1">
        <v>0.79879999999999995</v>
      </c>
      <c r="I1062" s="1">
        <v>6.1000000000000004E-3</v>
      </c>
      <c r="J1062" s="1">
        <v>1.2500000000000001E-2</v>
      </c>
      <c r="K1062" s="1">
        <v>0.1507</v>
      </c>
      <c r="L1062" s="1">
        <v>3.1800000000000002E-2</v>
      </c>
    </row>
    <row r="1063" spans="1:12">
      <c r="A1063" t="s">
        <v>235</v>
      </c>
      <c r="B1063" t="s">
        <v>204</v>
      </c>
      <c r="C1063">
        <v>45</v>
      </c>
      <c r="D1063" t="s">
        <v>207</v>
      </c>
      <c r="E1063">
        <v>968</v>
      </c>
      <c r="G1063" s="1">
        <v>0.81440000000000001</v>
      </c>
      <c r="J1063" s="1">
        <v>9.1200000000000003E-2</v>
      </c>
      <c r="K1063" s="1">
        <v>8.6699999999999999E-2</v>
      </c>
      <c r="L1063" s="1">
        <v>7.7000000000000002E-3</v>
      </c>
    </row>
    <row r="1064" spans="1:12" s="26" customFormat="1">
      <c r="A1064" s="26" t="s">
        <v>236</v>
      </c>
      <c r="B1064" s="26" t="s">
        <v>204</v>
      </c>
      <c r="C1064" s="26">
        <v>11</v>
      </c>
      <c r="D1064" s="26" t="s">
        <v>208</v>
      </c>
      <c r="E1064" s="26">
        <v>968</v>
      </c>
      <c r="G1064" s="27">
        <v>0.72729999999999995</v>
      </c>
      <c r="I1064" s="27">
        <v>9.0899999999999995E-2</v>
      </c>
      <c r="J1064" s="27">
        <v>0.18179999999999999</v>
      </c>
      <c r="K1064" s="27">
        <v>0.18179999999999999</v>
      </c>
    </row>
    <row r="1065" spans="1:12">
      <c r="A1065" t="s">
        <v>235</v>
      </c>
      <c r="B1065" t="s">
        <v>199</v>
      </c>
      <c r="C1065">
        <v>44</v>
      </c>
      <c r="D1065" t="s">
        <v>203</v>
      </c>
      <c r="E1065">
        <v>968</v>
      </c>
      <c r="G1065" s="1">
        <v>0.81899999999999995</v>
      </c>
      <c r="I1065" s="1">
        <v>5.4600000000000003E-2</v>
      </c>
      <c r="J1065" s="1">
        <v>2.7E-2</v>
      </c>
      <c r="K1065" s="1">
        <v>8.6199999999999999E-2</v>
      </c>
      <c r="L1065" s="1">
        <v>5.6000000000000001E-2</v>
      </c>
    </row>
    <row r="1066" spans="1:12">
      <c r="A1066" t="s">
        <v>236</v>
      </c>
      <c r="B1066" t="s">
        <v>199</v>
      </c>
      <c r="C1066">
        <v>32</v>
      </c>
      <c r="D1066" t="s">
        <v>203</v>
      </c>
      <c r="E1066">
        <v>968</v>
      </c>
      <c r="G1066" s="1">
        <v>0.6774</v>
      </c>
      <c r="I1066" s="1">
        <v>6.4399999999999999E-2</v>
      </c>
      <c r="J1066" s="1">
        <v>2.1499999999999998E-2</v>
      </c>
      <c r="K1066" s="1">
        <v>0.1076</v>
      </c>
      <c r="L1066" s="1">
        <v>0.13750000000000001</v>
      </c>
    </row>
    <row r="1067" spans="1:12">
      <c r="A1067" t="s">
        <v>235</v>
      </c>
      <c r="B1067" t="s">
        <v>199</v>
      </c>
      <c r="C1067">
        <v>60</v>
      </c>
      <c r="D1067" t="s">
        <v>202</v>
      </c>
      <c r="E1067">
        <v>968</v>
      </c>
      <c r="G1067" s="1">
        <v>0.84860000000000002</v>
      </c>
      <c r="J1067" s="1">
        <v>2.1299999999999999E-2</v>
      </c>
      <c r="K1067" s="1">
        <v>3.8399999999999997E-2</v>
      </c>
      <c r="L1067" s="1">
        <v>9.1700000000000004E-2</v>
      </c>
    </row>
    <row r="1068" spans="1:12" s="26" customFormat="1">
      <c r="A1068" s="26" t="s">
        <v>236</v>
      </c>
      <c r="B1068" s="26" t="s">
        <v>199</v>
      </c>
      <c r="C1068" s="26">
        <v>24</v>
      </c>
      <c r="D1068" s="26" t="s">
        <v>200</v>
      </c>
      <c r="E1068" s="26">
        <v>968</v>
      </c>
      <c r="F1068" s="27">
        <v>0.14560000000000001</v>
      </c>
      <c r="G1068" s="27">
        <v>0.58740000000000003</v>
      </c>
      <c r="I1068" s="27">
        <v>3.2599999999999997E-2</v>
      </c>
      <c r="K1068" s="27">
        <v>0.1323</v>
      </c>
      <c r="L1068" s="27">
        <v>0.1022</v>
      </c>
    </row>
    <row r="1069" spans="1:12">
      <c r="A1069" t="s">
        <v>235</v>
      </c>
      <c r="B1069" t="s">
        <v>199</v>
      </c>
      <c r="C1069">
        <v>46</v>
      </c>
      <c r="D1069" t="s">
        <v>200</v>
      </c>
      <c r="E1069">
        <v>968</v>
      </c>
      <c r="G1069" s="1">
        <v>0.86990000000000001</v>
      </c>
      <c r="K1069" s="1">
        <v>8.9999999999999993E-3</v>
      </c>
      <c r="L1069" s="1">
        <v>0.1211</v>
      </c>
    </row>
    <row r="1070" spans="1:12">
      <c r="A1070" t="s">
        <v>236</v>
      </c>
      <c r="B1070" t="s">
        <v>199</v>
      </c>
      <c r="C1070">
        <v>37</v>
      </c>
      <c r="D1070" t="s">
        <v>202</v>
      </c>
      <c r="E1070">
        <v>968</v>
      </c>
      <c r="G1070" s="1">
        <v>0.71030000000000004</v>
      </c>
      <c r="I1070" s="1">
        <v>6.5600000000000006E-2</v>
      </c>
      <c r="J1070" s="1">
        <v>2.1899999999999999E-2</v>
      </c>
      <c r="K1070" s="1">
        <v>5.4699999999999999E-2</v>
      </c>
      <c r="L1070" s="1">
        <v>0.1694</v>
      </c>
    </row>
    <row r="1071" spans="1:12">
      <c r="A1071" t="s">
        <v>235</v>
      </c>
      <c r="B1071" t="s">
        <v>199</v>
      </c>
      <c r="C1071">
        <v>96</v>
      </c>
      <c r="D1071" t="s">
        <v>201</v>
      </c>
      <c r="E1071">
        <v>968</v>
      </c>
      <c r="G1071" s="1">
        <v>0.88539999999999996</v>
      </c>
      <c r="I1071" s="1">
        <v>2.0799999999999999E-2</v>
      </c>
      <c r="J1071" s="1">
        <v>1.04E-2</v>
      </c>
      <c r="K1071" s="1">
        <v>3.1199999999999999E-2</v>
      </c>
      <c r="L1071" s="1">
        <v>5.21E-2</v>
      </c>
    </row>
    <row r="1072" spans="1:12">
      <c r="A1072" t="s">
        <v>236</v>
      </c>
      <c r="B1072" t="s">
        <v>209</v>
      </c>
      <c r="C1072">
        <v>39</v>
      </c>
      <c r="D1072" t="s">
        <v>211</v>
      </c>
      <c r="E1072">
        <v>968</v>
      </c>
      <c r="G1072" s="1">
        <v>0.81420000000000003</v>
      </c>
      <c r="I1072" s="1">
        <v>3.3599999999999998E-2</v>
      </c>
      <c r="J1072" s="1">
        <v>3.3599999999999998E-2</v>
      </c>
      <c r="K1072" s="1">
        <v>7.3099999999999998E-2</v>
      </c>
      <c r="L1072" s="1">
        <v>4.5400000000000003E-2</v>
      </c>
    </row>
    <row r="1073" spans="1:12">
      <c r="A1073" t="s">
        <v>235</v>
      </c>
      <c r="B1073" t="s">
        <v>209</v>
      </c>
      <c r="C1073">
        <v>56</v>
      </c>
      <c r="D1073" t="s">
        <v>211</v>
      </c>
      <c r="E1073">
        <v>968</v>
      </c>
      <c r="G1073" s="1">
        <v>0.85209999999999997</v>
      </c>
      <c r="J1073" s="1">
        <v>3.9300000000000002E-2</v>
      </c>
      <c r="K1073" s="1">
        <v>3.5799999999999998E-2</v>
      </c>
      <c r="L1073" s="1">
        <v>8.8900000000000007E-2</v>
      </c>
    </row>
    <row r="1074" spans="1:12">
      <c r="A1074" t="s">
        <v>235</v>
      </c>
      <c r="B1074" t="s">
        <v>209</v>
      </c>
      <c r="C1074">
        <v>67</v>
      </c>
      <c r="D1074" t="s">
        <v>212</v>
      </c>
      <c r="E1074">
        <v>968</v>
      </c>
      <c r="G1074" s="1">
        <v>0.74119999999999997</v>
      </c>
      <c r="I1074" s="1">
        <v>8.1100000000000005E-2</v>
      </c>
      <c r="J1074" s="1">
        <v>1.6199999999999999E-2</v>
      </c>
      <c r="K1074" s="1">
        <v>6.4799999999999996E-2</v>
      </c>
      <c r="L1074" s="1">
        <v>9.6699999999999994E-2</v>
      </c>
    </row>
    <row r="1075" spans="1:12" s="26" customFormat="1">
      <c r="A1075" s="26" t="s">
        <v>236</v>
      </c>
      <c r="B1075" s="26" t="s">
        <v>209</v>
      </c>
      <c r="C1075" s="26">
        <v>18</v>
      </c>
      <c r="D1075" s="26" t="s">
        <v>212</v>
      </c>
      <c r="E1075" s="26">
        <v>968</v>
      </c>
      <c r="G1075" s="27">
        <v>0.96450000000000002</v>
      </c>
      <c r="K1075" s="27">
        <v>3.5499999999999997E-2</v>
      </c>
    </row>
    <row r="1076" spans="1:12">
      <c r="A1076" t="s">
        <v>236</v>
      </c>
      <c r="B1076" t="s">
        <v>209</v>
      </c>
      <c r="C1076">
        <v>38</v>
      </c>
      <c r="D1076" t="s">
        <v>210</v>
      </c>
      <c r="E1076">
        <v>968</v>
      </c>
      <c r="G1076" s="1">
        <v>0.89590000000000003</v>
      </c>
      <c r="H1076" s="1">
        <v>2.0299999999999999E-2</v>
      </c>
      <c r="L1076" s="1">
        <v>8.3699999999999997E-2</v>
      </c>
    </row>
    <row r="1077" spans="1:12">
      <c r="A1077" t="s">
        <v>235</v>
      </c>
      <c r="B1077" t="s">
        <v>209</v>
      </c>
      <c r="C1077">
        <v>32</v>
      </c>
      <c r="D1077" t="s">
        <v>210</v>
      </c>
      <c r="E1077">
        <v>968</v>
      </c>
      <c r="G1077" s="1">
        <v>0.85550000000000004</v>
      </c>
      <c r="J1077" s="1">
        <v>3.2300000000000002E-2</v>
      </c>
      <c r="K1077" s="1">
        <v>4.7600000000000003E-2</v>
      </c>
      <c r="L1077" s="1">
        <v>9.69E-2</v>
      </c>
    </row>
    <row r="1079" spans="1:12">
      <c r="A1079" t="s">
        <v>358</v>
      </c>
    </row>
    <row r="1080" spans="1:12">
      <c r="A1080" t="s">
        <v>189</v>
      </c>
      <c r="B1080" t="s">
        <v>195</v>
      </c>
      <c r="C1080" t="s">
        <v>190</v>
      </c>
      <c r="D1080" t="s">
        <v>196</v>
      </c>
      <c r="E1080" t="s">
        <v>359</v>
      </c>
      <c r="F1080" t="s">
        <v>360</v>
      </c>
      <c r="G1080" t="s">
        <v>228</v>
      </c>
      <c r="H1080" t="s">
        <v>361</v>
      </c>
      <c r="I1080" t="s">
        <v>223</v>
      </c>
      <c r="J1080" t="s">
        <v>362</v>
      </c>
    </row>
    <row r="1081" spans="1:12">
      <c r="A1081" t="s">
        <v>197</v>
      </c>
      <c r="B1081">
        <v>968</v>
      </c>
      <c r="C1081" t="s">
        <v>198</v>
      </c>
      <c r="D1081">
        <v>968</v>
      </c>
      <c r="E1081" s="1">
        <v>7.9100000000000004E-2</v>
      </c>
      <c r="F1081" s="1">
        <v>5.3E-3</v>
      </c>
      <c r="G1081" s="1">
        <v>5.7000000000000002E-3</v>
      </c>
      <c r="H1081" s="1">
        <v>0.65500000000000003</v>
      </c>
      <c r="I1081" s="1">
        <v>2E-3</v>
      </c>
      <c r="J1081" s="1">
        <v>0.25290000000000001</v>
      </c>
    </row>
    <row r="1082" spans="1:12">
      <c r="A1082" t="s">
        <v>204</v>
      </c>
      <c r="B1082">
        <v>91</v>
      </c>
      <c r="C1082" t="s">
        <v>205</v>
      </c>
      <c r="D1082">
        <v>968</v>
      </c>
      <c r="E1082" s="1">
        <v>7.17E-2</v>
      </c>
      <c r="H1082" s="1">
        <v>0.63570000000000004</v>
      </c>
      <c r="J1082" s="1">
        <v>0.29260000000000003</v>
      </c>
    </row>
    <row r="1083" spans="1:12">
      <c r="A1083" t="s">
        <v>204</v>
      </c>
      <c r="B1083">
        <v>72</v>
      </c>
      <c r="C1083" t="s">
        <v>206</v>
      </c>
      <c r="D1083">
        <v>968</v>
      </c>
      <c r="E1083" s="1">
        <v>8.3699999999999997E-2</v>
      </c>
      <c r="F1083" s="1">
        <v>2.7900000000000001E-2</v>
      </c>
      <c r="H1083" s="1">
        <v>0.65810000000000002</v>
      </c>
      <c r="J1083" s="1">
        <v>0.2303</v>
      </c>
    </row>
    <row r="1084" spans="1:12">
      <c r="A1084" t="s">
        <v>204</v>
      </c>
      <c r="B1084">
        <v>131</v>
      </c>
      <c r="C1084" t="s">
        <v>207</v>
      </c>
      <c r="D1084">
        <v>968</v>
      </c>
      <c r="E1084" s="1">
        <v>7.2400000000000006E-2</v>
      </c>
      <c r="G1084" s="1">
        <v>2.5000000000000001E-3</v>
      </c>
      <c r="H1084" s="1">
        <v>0.7117</v>
      </c>
      <c r="J1084" s="1">
        <v>0.21340000000000001</v>
      </c>
    </row>
    <row r="1085" spans="1:12">
      <c r="A1085" t="s">
        <v>204</v>
      </c>
      <c r="B1085">
        <v>74</v>
      </c>
      <c r="C1085" t="s">
        <v>208</v>
      </c>
      <c r="D1085">
        <v>968</v>
      </c>
      <c r="E1085" s="1">
        <v>9.4600000000000004E-2</v>
      </c>
      <c r="H1085" s="1">
        <v>0.60809999999999997</v>
      </c>
      <c r="J1085" s="1">
        <v>0.29730000000000001</v>
      </c>
    </row>
    <row r="1086" spans="1:12">
      <c r="A1086" t="s">
        <v>199</v>
      </c>
      <c r="B1086">
        <v>73</v>
      </c>
      <c r="C1086" t="s">
        <v>200</v>
      </c>
      <c r="D1086">
        <v>968</v>
      </c>
      <c r="E1086" s="1">
        <v>7.9000000000000008E-3</v>
      </c>
      <c r="F1086" s="1">
        <v>6.8400000000000002E-2</v>
      </c>
      <c r="H1086" s="1">
        <v>0.61670000000000003</v>
      </c>
      <c r="J1086" s="1">
        <v>0.307</v>
      </c>
    </row>
    <row r="1087" spans="1:12">
      <c r="A1087" t="s">
        <v>199</v>
      </c>
      <c r="B1087">
        <v>96</v>
      </c>
      <c r="C1087" t="s">
        <v>201</v>
      </c>
      <c r="D1087">
        <v>968</v>
      </c>
      <c r="E1087" s="1">
        <v>8.3299999999999999E-2</v>
      </c>
      <c r="G1087" s="1">
        <v>1.04E-2</v>
      </c>
      <c r="H1087" s="1">
        <v>0.625</v>
      </c>
      <c r="I1087" s="1">
        <v>1.04E-2</v>
      </c>
      <c r="J1087" s="1">
        <v>0.27079999999999999</v>
      </c>
    </row>
    <row r="1088" spans="1:12">
      <c r="A1088" t="s">
        <v>199</v>
      </c>
      <c r="B1088">
        <v>98</v>
      </c>
      <c r="C1088" t="s">
        <v>202</v>
      </c>
      <c r="D1088">
        <v>968</v>
      </c>
      <c r="E1088" s="1">
        <v>0.1057</v>
      </c>
      <c r="F1088" s="1">
        <v>8.5000000000000006E-3</v>
      </c>
      <c r="G1088" s="1">
        <v>8.9999999999999993E-3</v>
      </c>
      <c r="H1088" s="1">
        <v>0.68720000000000003</v>
      </c>
      <c r="J1088" s="1">
        <v>0.18959999999999999</v>
      </c>
    </row>
    <row r="1089" spans="1:10">
      <c r="A1089" t="s">
        <v>199</v>
      </c>
      <c r="B1089">
        <v>77</v>
      </c>
      <c r="C1089" t="s">
        <v>203</v>
      </c>
      <c r="D1089">
        <v>968</v>
      </c>
      <c r="E1089" s="1">
        <v>7.7700000000000005E-2</v>
      </c>
      <c r="F1089" s="1">
        <v>7.4000000000000003E-3</v>
      </c>
      <c r="G1089" s="1">
        <v>5.3699999999999998E-2</v>
      </c>
      <c r="H1089" s="1">
        <v>0.54320000000000002</v>
      </c>
      <c r="J1089" s="1">
        <v>0.318</v>
      </c>
    </row>
    <row r="1090" spans="1:10">
      <c r="A1090" t="s">
        <v>209</v>
      </c>
      <c r="B1090">
        <v>74</v>
      </c>
      <c r="C1090" t="s">
        <v>210</v>
      </c>
      <c r="D1090">
        <v>968</v>
      </c>
      <c r="E1090" s="1">
        <v>7.7100000000000002E-2</v>
      </c>
      <c r="F1090" s="1">
        <v>1.77E-2</v>
      </c>
      <c r="H1090" s="1">
        <v>0.53069999999999995</v>
      </c>
      <c r="J1090" s="1">
        <v>0.37459999999999999</v>
      </c>
    </row>
    <row r="1091" spans="1:10">
      <c r="A1091" t="s">
        <v>209</v>
      </c>
      <c r="B1091">
        <v>97</v>
      </c>
      <c r="C1091" t="s">
        <v>211</v>
      </c>
      <c r="D1091">
        <v>968</v>
      </c>
      <c r="E1091" s="1">
        <v>7.5999999999999998E-2</v>
      </c>
      <c r="H1091" s="1">
        <v>0.63939999999999997</v>
      </c>
      <c r="J1091" s="1">
        <v>0.28460000000000002</v>
      </c>
    </row>
    <row r="1092" spans="1:10">
      <c r="A1092" t="s">
        <v>209</v>
      </c>
      <c r="B1092">
        <v>85</v>
      </c>
      <c r="C1092" t="s">
        <v>212</v>
      </c>
      <c r="D1092">
        <v>968</v>
      </c>
      <c r="E1092" s="1">
        <v>6.9000000000000006E-2</v>
      </c>
      <c r="F1092" s="1">
        <v>1.4E-2</v>
      </c>
      <c r="H1092" s="1">
        <v>0.70899999999999996</v>
      </c>
      <c r="J1092" s="1">
        <v>0.20799999999999999</v>
      </c>
    </row>
    <row r="1094" spans="1:10">
      <c r="A1094" t="s">
        <v>363</v>
      </c>
    </row>
    <row r="1095" spans="1:10">
      <c r="A1095" t="s">
        <v>189</v>
      </c>
      <c r="B1095" t="s">
        <v>195</v>
      </c>
      <c r="C1095" t="s">
        <v>190</v>
      </c>
      <c r="D1095" t="s">
        <v>196</v>
      </c>
      <c r="E1095" t="s">
        <v>359</v>
      </c>
      <c r="F1095" t="s">
        <v>360</v>
      </c>
      <c r="G1095" t="s">
        <v>228</v>
      </c>
      <c r="H1095" t="s">
        <v>361</v>
      </c>
      <c r="I1095" t="s">
        <v>362</v>
      </c>
    </row>
    <row r="1096" spans="1:10">
      <c r="A1096" t="s">
        <v>197</v>
      </c>
      <c r="B1096">
        <v>968</v>
      </c>
      <c r="C1096" t="s">
        <v>198</v>
      </c>
      <c r="D1096">
        <v>968</v>
      </c>
      <c r="E1096" s="1">
        <v>3.9800000000000002E-2</v>
      </c>
      <c r="F1096" s="1">
        <v>1.5E-3</v>
      </c>
      <c r="G1096" s="1">
        <v>1E-3</v>
      </c>
      <c r="H1096" s="1">
        <v>0.91069999999999995</v>
      </c>
      <c r="I1096" s="1">
        <v>4.7E-2</v>
      </c>
    </row>
    <row r="1097" spans="1:10">
      <c r="A1097" t="s">
        <v>204</v>
      </c>
      <c r="B1097">
        <v>91</v>
      </c>
      <c r="C1097" t="s">
        <v>205</v>
      </c>
      <c r="D1097">
        <v>968</v>
      </c>
      <c r="E1097" s="1">
        <v>1.1599999999999999E-2</v>
      </c>
      <c r="H1097" s="1">
        <v>0.93810000000000004</v>
      </c>
      <c r="I1097" s="1">
        <v>5.0200000000000002E-2</v>
      </c>
    </row>
    <row r="1098" spans="1:10">
      <c r="A1098" t="s">
        <v>204</v>
      </c>
      <c r="B1098">
        <v>72</v>
      </c>
      <c r="C1098" t="s">
        <v>206</v>
      </c>
      <c r="D1098">
        <v>968</v>
      </c>
      <c r="E1098" s="1">
        <v>2.7900000000000001E-2</v>
      </c>
      <c r="H1098" s="1">
        <v>0.91169999999999995</v>
      </c>
      <c r="I1098" s="1">
        <v>6.0400000000000002E-2</v>
      </c>
    </row>
    <row r="1099" spans="1:10">
      <c r="A1099" t="s">
        <v>204</v>
      </c>
      <c r="B1099">
        <v>131</v>
      </c>
      <c r="C1099" t="s">
        <v>207</v>
      </c>
      <c r="D1099">
        <v>968</v>
      </c>
      <c r="E1099" s="1">
        <v>5.3999999999999999E-2</v>
      </c>
      <c r="H1099" s="1">
        <v>0.91239999999999999</v>
      </c>
      <c r="I1099" s="1">
        <v>3.3599999999999998E-2</v>
      </c>
    </row>
    <row r="1100" spans="1:10">
      <c r="A1100" t="s">
        <v>204</v>
      </c>
      <c r="B1100">
        <v>74</v>
      </c>
      <c r="C1100" t="s">
        <v>208</v>
      </c>
      <c r="D1100">
        <v>968</v>
      </c>
      <c r="H1100" s="1">
        <v>0.94589999999999996</v>
      </c>
      <c r="I1100" s="1">
        <v>5.4100000000000002E-2</v>
      </c>
    </row>
    <row r="1101" spans="1:10">
      <c r="A1101" t="s">
        <v>199</v>
      </c>
      <c r="B1101">
        <v>73</v>
      </c>
      <c r="C1101" t="s">
        <v>200</v>
      </c>
      <c r="D1101">
        <v>968</v>
      </c>
      <c r="E1101" s="1">
        <v>7.1499999999999994E-2</v>
      </c>
      <c r="H1101" s="1">
        <v>0.85850000000000004</v>
      </c>
      <c r="I1101" s="1">
        <v>7.0000000000000007E-2</v>
      </c>
    </row>
    <row r="1102" spans="1:10">
      <c r="A1102" t="s">
        <v>199</v>
      </c>
      <c r="B1102">
        <v>96</v>
      </c>
      <c r="C1102" t="s">
        <v>201</v>
      </c>
      <c r="D1102">
        <v>968</v>
      </c>
      <c r="E1102" s="1">
        <v>3.1199999999999999E-2</v>
      </c>
      <c r="H1102" s="1">
        <v>0.92710000000000004</v>
      </c>
      <c r="I1102" s="1">
        <v>4.1700000000000001E-2</v>
      </c>
    </row>
    <row r="1103" spans="1:10">
      <c r="A1103" t="s">
        <v>199</v>
      </c>
      <c r="B1103">
        <v>98</v>
      </c>
      <c r="C1103" t="s">
        <v>202</v>
      </c>
      <c r="D1103">
        <v>968</v>
      </c>
      <c r="E1103" s="1">
        <v>5.28E-2</v>
      </c>
      <c r="F1103" s="1">
        <v>9.5999999999999992E-3</v>
      </c>
      <c r="H1103" s="1">
        <v>0.92900000000000005</v>
      </c>
      <c r="I1103" s="1">
        <v>8.5000000000000006E-3</v>
      </c>
    </row>
    <row r="1104" spans="1:10">
      <c r="A1104" t="s">
        <v>199</v>
      </c>
      <c r="B1104">
        <v>77</v>
      </c>
      <c r="C1104" t="s">
        <v>203</v>
      </c>
      <c r="D1104">
        <v>968</v>
      </c>
      <c r="E1104" s="1">
        <v>3.6400000000000002E-2</v>
      </c>
      <c r="G1104" s="1">
        <v>2.69E-2</v>
      </c>
      <c r="H1104" s="1">
        <v>0.85089999999999999</v>
      </c>
      <c r="I1104" s="1">
        <v>8.5900000000000004E-2</v>
      </c>
    </row>
    <row r="1105" spans="1:9">
      <c r="A1105" t="s">
        <v>209</v>
      </c>
      <c r="B1105">
        <v>74</v>
      </c>
      <c r="C1105" t="s">
        <v>210</v>
      </c>
      <c r="D1105">
        <v>968</v>
      </c>
      <c r="E1105" s="1">
        <v>5.2999999999999999E-2</v>
      </c>
      <c r="F1105" s="1">
        <v>1.77E-2</v>
      </c>
      <c r="H1105" s="1">
        <v>0.87829999999999997</v>
      </c>
      <c r="I1105" s="1">
        <v>5.11E-2</v>
      </c>
    </row>
    <row r="1106" spans="1:9">
      <c r="A1106" t="s">
        <v>209</v>
      </c>
      <c r="B1106">
        <v>97</v>
      </c>
      <c r="C1106" t="s">
        <v>211</v>
      </c>
      <c r="D1106">
        <v>968</v>
      </c>
      <c r="E1106" s="1">
        <v>4.0300000000000002E-2</v>
      </c>
      <c r="H1106" s="1">
        <v>0.85760000000000003</v>
      </c>
      <c r="I1106" s="1">
        <v>0.1021</v>
      </c>
    </row>
    <row r="1107" spans="1:9">
      <c r="A1107" t="s">
        <v>209</v>
      </c>
      <c r="B1107">
        <v>85</v>
      </c>
      <c r="C1107" t="s">
        <v>212</v>
      </c>
      <c r="D1107">
        <v>968</v>
      </c>
      <c r="E1107" s="1">
        <v>8.77E-2</v>
      </c>
      <c r="H1107" s="1">
        <v>0.83919999999999995</v>
      </c>
      <c r="I1107" s="1">
        <v>7.3099999999999998E-2</v>
      </c>
    </row>
    <row r="1109" spans="1:9">
      <c r="A1109" t="s">
        <v>364</v>
      </c>
    </row>
    <row r="1110" spans="1:9">
      <c r="A1110" t="s">
        <v>189</v>
      </c>
      <c r="B1110" t="s">
        <v>195</v>
      </c>
      <c r="C1110" t="s">
        <v>190</v>
      </c>
      <c r="D1110" t="s">
        <v>196</v>
      </c>
      <c r="E1110" t="s">
        <v>359</v>
      </c>
      <c r="F1110" t="s">
        <v>360</v>
      </c>
      <c r="G1110" t="s">
        <v>361</v>
      </c>
      <c r="H1110" t="s">
        <v>223</v>
      </c>
      <c r="I1110" t="s">
        <v>362</v>
      </c>
    </row>
    <row r="1111" spans="1:9">
      <c r="A1111" t="s">
        <v>197</v>
      </c>
      <c r="B1111">
        <v>968</v>
      </c>
      <c r="C1111" t="s">
        <v>198</v>
      </c>
      <c r="D1111">
        <v>968</v>
      </c>
      <c r="E1111" s="1">
        <v>0.14430000000000001</v>
      </c>
      <c r="F1111" s="1">
        <v>2.63E-2</v>
      </c>
      <c r="G1111" s="1">
        <v>0.66439999999999999</v>
      </c>
      <c r="H1111" s="1">
        <v>0</v>
      </c>
      <c r="I1111" s="1">
        <v>0.16500000000000001</v>
      </c>
    </row>
    <row r="1112" spans="1:9">
      <c r="A1112" t="s">
        <v>204</v>
      </c>
      <c r="B1112">
        <v>91</v>
      </c>
      <c r="C1112" t="s">
        <v>205</v>
      </c>
      <c r="D1112">
        <v>968</v>
      </c>
      <c r="E1112" s="1">
        <v>5.5300000000000002E-2</v>
      </c>
      <c r="F1112" s="1">
        <v>1.9800000000000002E-2</v>
      </c>
      <c r="G1112" s="1">
        <v>0.7782</v>
      </c>
      <c r="I1112" s="1">
        <v>0.14680000000000001</v>
      </c>
    </row>
    <row r="1113" spans="1:9">
      <c r="A1113" t="s">
        <v>204</v>
      </c>
      <c r="B1113">
        <v>72</v>
      </c>
      <c r="C1113" t="s">
        <v>206</v>
      </c>
      <c r="D1113">
        <v>968</v>
      </c>
      <c r="E1113" s="1">
        <v>0.1211</v>
      </c>
      <c r="F1113" s="1">
        <v>2.7900000000000001E-2</v>
      </c>
      <c r="G1113" s="1">
        <v>0.66269999999999996</v>
      </c>
      <c r="I1113" s="1">
        <v>0.1883</v>
      </c>
    </row>
    <row r="1114" spans="1:9">
      <c r="A1114" t="s">
        <v>204</v>
      </c>
      <c r="B1114">
        <v>131</v>
      </c>
      <c r="C1114" t="s">
        <v>207</v>
      </c>
      <c r="D1114">
        <v>968</v>
      </c>
      <c r="E1114" s="1">
        <v>0.22009999999999999</v>
      </c>
      <c r="F1114" s="1">
        <v>5.74E-2</v>
      </c>
      <c r="G1114" s="1">
        <v>0.61839999999999995</v>
      </c>
      <c r="I1114" s="1">
        <v>0.1041</v>
      </c>
    </row>
    <row r="1115" spans="1:9">
      <c r="A1115" t="s">
        <v>204</v>
      </c>
      <c r="B1115">
        <v>74</v>
      </c>
      <c r="C1115" t="s">
        <v>208</v>
      </c>
      <c r="D1115">
        <v>968</v>
      </c>
      <c r="E1115" s="1">
        <v>0.1081</v>
      </c>
      <c r="F1115" s="1">
        <v>5.4100000000000002E-2</v>
      </c>
      <c r="G1115" s="1">
        <v>0.59460000000000002</v>
      </c>
      <c r="I1115" s="1">
        <v>0.2432</v>
      </c>
    </row>
    <row r="1116" spans="1:9">
      <c r="A1116" t="s">
        <v>199</v>
      </c>
      <c r="B1116">
        <v>73</v>
      </c>
      <c r="C1116" t="s">
        <v>200</v>
      </c>
      <c r="D1116">
        <v>968</v>
      </c>
      <c r="E1116" s="1">
        <v>0.15679999999999999</v>
      </c>
      <c r="F1116" s="1">
        <v>1.6000000000000001E-3</v>
      </c>
      <c r="G1116" s="1">
        <v>0.63519999999999999</v>
      </c>
      <c r="H1116" s="1">
        <v>1.6000000000000001E-3</v>
      </c>
      <c r="I1116" s="1">
        <v>0.20480000000000001</v>
      </c>
    </row>
    <row r="1117" spans="1:9">
      <c r="A1117" t="s">
        <v>199</v>
      </c>
      <c r="B1117">
        <v>96</v>
      </c>
      <c r="C1117" t="s">
        <v>201</v>
      </c>
      <c r="D1117">
        <v>968</v>
      </c>
      <c r="E1117" s="1">
        <v>0.14580000000000001</v>
      </c>
      <c r="F1117" s="1">
        <v>1.04E-2</v>
      </c>
      <c r="G1117" s="1">
        <v>0.66669999999999996</v>
      </c>
      <c r="I1117" s="1">
        <v>0.17710000000000001</v>
      </c>
    </row>
    <row r="1118" spans="1:9">
      <c r="A1118" t="s">
        <v>199</v>
      </c>
      <c r="B1118">
        <v>98</v>
      </c>
      <c r="C1118" t="s">
        <v>202</v>
      </c>
      <c r="D1118">
        <v>968</v>
      </c>
      <c r="E1118" s="1">
        <v>0.17849999999999999</v>
      </c>
      <c r="F1118" s="1">
        <v>3.9600000000000003E-2</v>
      </c>
      <c r="G1118" s="1">
        <v>0.58709999999999996</v>
      </c>
      <c r="I1118" s="1">
        <v>0.1948</v>
      </c>
    </row>
    <row r="1119" spans="1:9">
      <c r="A1119" t="s">
        <v>199</v>
      </c>
      <c r="B1119">
        <v>77</v>
      </c>
      <c r="C1119" t="s">
        <v>203</v>
      </c>
      <c r="D1119">
        <v>968</v>
      </c>
      <c r="E1119" s="1">
        <v>0.14910000000000001</v>
      </c>
      <c r="F1119" s="1">
        <v>2.64E-2</v>
      </c>
      <c r="G1119" s="1">
        <v>0.6663</v>
      </c>
      <c r="I1119" s="1">
        <v>0.15820000000000001</v>
      </c>
    </row>
    <row r="1120" spans="1:9">
      <c r="A1120" t="s">
        <v>209</v>
      </c>
      <c r="B1120">
        <v>74</v>
      </c>
      <c r="C1120" t="s">
        <v>210</v>
      </c>
      <c r="D1120">
        <v>968</v>
      </c>
      <c r="E1120" s="1">
        <v>0.25090000000000001</v>
      </c>
      <c r="F1120" s="1">
        <v>8.3000000000000001E-3</v>
      </c>
      <c r="G1120" s="1">
        <v>0.56799999999999995</v>
      </c>
      <c r="I1120" s="1">
        <v>0.17280000000000001</v>
      </c>
    </row>
    <row r="1121" spans="1:9">
      <c r="A1121" t="s">
        <v>209</v>
      </c>
      <c r="B1121">
        <v>97</v>
      </c>
      <c r="C1121" t="s">
        <v>211</v>
      </c>
      <c r="D1121">
        <v>968</v>
      </c>
      <c r="E1121" s="1">
        <v>0.1767</v>
      </c>
      <c r="F1121" s="1">
        <v>1.41E-2</v>
      </c>
      <c r="G1121" s="1">
        <v>0.62429999999999997</v>
      </c>
      <c r="I1121" s="1">
        <v>0.18490000000000001</v>
      </c>
    </row>
    <row r="1122" spans="1:9">
      <c r="A1122" t="s">
        <v>209</v>
      </c>
      <c r="B1122">
        <v>85</v>
      </c>
      <c r="C1122" t="s">
        <v>212</v>
      </c>
      <c r="D1122">
        <v>968</v>
      </c>
      <c r="E1122" s="1">
        <v>0.15629999999999999</v>
      </c>
      <c r="G1122" s="1">
        <v>0.68559999999999999</v>
      </c>
      <c r="I1122" s="1">
        <v>0.15809999999999999</v>
      </c>
    </row>
    <row r="1124" spans="1:9">
      <c r="A1124" t="s">
        <v>365</v>
      </c>
    </row>
    <row r="1125" spans="1:9">
      <c r="A1125" t="s">
        <v>189</v>
      </c>
      <c r="B1125" t="s">
        <v>195</v>
      </c>
      <c r="C1125" t="s">
        <v>190</v>
      </c>
      <c r="D1125" t="s">
        <v>196</v>
      </c>
      <c r="E1125" t="s">
        <v>359</v>
      </c>
      <c r="F1125" t="s">
        <v>360</v>
      </c>
      <c r="G1125" t="s">
        <v>228</v>
      </c>
      <c r="H1125" t="s">
        <v>361</v>
      </c>
      <c r="I1125" t="s">
        <v>362</v>
      </c>
    </row>
    <row r="1126" spans="1:9">
      <c r="A1126" t="s">
        <v>197</v>
      </c>
      <c r="B1126">
        <v>968</v>
      </c>
      <c r="C1126" t="s">
        <v>198</v>
      </c>
      <c r="D1126">
        <v>968</v>
      </c>
      <c r="E1126" s="1">
        <v>4.8500000000000001E-2</v>
      </c>
      <c r="F1126" s="1">
        <v>1.6000000000000001E-3</v>
      </c>
      <c r="G1126" s="1">
        <v>3.7000000000000002E-3</v>
      </c>
      <c r="H1126" s="1">
        <v>0.74270000000000003</v>
      </c>
      <c r="I1126" s="1">
        <v>0.20349999999999999</v>
      </c>
    </row>
    <row r="1127" spans="1:9">
      <c r="A1127" t="s">
        <v>204</v>
      </c>
      <c r="B1127">
        <v>91</v>
      </c>
      <c r="C1127" t="s">
        <v>205</v>
      </c>
      <c r="D1127">
        <v>968</v>
      </c>
      <c r="E1127" s="1">
        <v>5.5999999999999999E-3</v>
      </c>
      <c r="H1127" s="1">
        <v>0.85580000000000001</v>
      </c>
      <c r="I1127" s="1">
        <v>0.1386</v>
      </c>
    </row>
    <row r="1128" spans="1:9">
      <c r="A1128" t="s">
        <v>204</v>
      </c>
      <c r="B1128">
        <v>72</v>
      </c>
      <c r="C1128" t="s">
        <v>206</v>
      </c>
      <c r="D1128">
        <v>968</v>
      </c>
      <c r="E1128" s="1">
        <v>5.5800000000000002E-2</v>
      </c>
      <c r="F1128" s="1">
        <v>1.1599999999999999E-2</v>
      </c>
      <c r="H1128" s="1">
        <v>0.68600000000000005</v>
      </c>
      <c r="I1128" s="1">
        <v>0.2465</v>
      </c>
    </row>
    <row r="1129" spans="1:9">
      <c r="A1129" t="s">
        <v>204</v>
      </c>
      <c r="B1129">
        <v>131</v>
      </c>
      <c r="C1129" t="s">
        <v>207</v>
      </c>
      <c r="D1129">
        <v>968</v>
      </c>
      <c r="E1129" s="1">
        <v>5.6000000000000001E-2</v>
      </c>
      <c r="F1129" s="1">
        <v>4.0000000000000001E-3</v>
      </c>
      <c r="G1129" s="1">
        <v>8.9999999999999998E-4</v>
      </c>
      <c r="H1129" s="1">
        <v>0.73829999999999996</v>
      </c>
      <c r="I1129" s="1">
        <v>0.20080000000000001</v>
      </c>
    </row>
    <row r="1130" spans="1:9">
      <c r="A1130" t="s">
        <v>204</v>
      </c>
      <c r="B1130">
        <v>74</v>
      </c>
      <c r="C1130" t="s">
        <v>208</v>
      </c>
      <c r="D1130">
        <v>968</v>
      </c>
      <c r="E1130" s="1">
        <v>5.4100000000000002E-2</v>
      </c>
      <c r="F1130" s="1">
        <v>1.35E-2</v>
      </c>
      <c r="H1130" s="1">
        <v>0.72970000000000002</v>
      </c>
      <c r="I1130" s="1">
        <v>0.20269999999999999</v>
      </c>
    </row>
    <row r="1131" spans="1:9">
      <c r="A1131" t="s">
        <v>199</v>
      </c>
      <c r="B1131">
        <v>73</v>
      </c>
      <c r="C1131" t="s">
        <v>200</v>
      </c>
      <c r="D1131">
        <v>968</v>
      </c>
      <c r="E1131" s="1">
        <v>7.9000000000000008E-3</v>
      </c>
      <c r="H1131" s="1">
        <v>0.94840000000000002</v>
      </c>
      <c r="I1131" s="1">
        <v>4.3700000000000003E-2</v>
      </c>
    </row>
    <row r="1132" spans="1:9">
      <c r="A1132" t="s">
        <v>199</v>
      </c>
      <c r="B1132">
        <v>96</v>
      </c>
      <c r="C1132" t="s">
        <v>201</v>
      </c>
      <c r="D1132">
        <v>968</v>
      </c>
      <c r="E1132" s="1">
        <v>7.2900000000000006E-2</v>
      </c>
      <c r="G1132" s="1">
        <v>1.04E-2</v>
      </c>
      <c r="H1132" s="1">
        <v>0.64580000000000004</v>
      </c>
      <c r="I1132" s="1">
        <v>0.27079999999999999</v>
      </c>
    </row>
    <row r="1133" spans="1:9">
      <c r="A1133" t="s">
        <v>199</v>
      </c>
      <c r="B1133">
        <v>98</v>
      </c>
      <c r="C1133" t="s">
        <v>202</v>
      </c>
      <c r="D1133">
        <v>968</v>
      </c>
      <c r="E1133" s="1">
        <v>6.3600000000000004E-2</v>
      </c>
      <c r="H1133" s="1">
        <v>0.77270000000000005</v>
      </c>
      <c r="I1133" s="1">
        <v>0.16370000000000001</v>
      </c>
    </row>
    <row r="1134" spans="1:9">
      <c r="A1134" t="s">
        <v>199</v>
      </c>
      <c r="B1134">
        <v>77</v>
      </c>
      <c r="C1134" t="s">
        <v>203</v>
      </c>
      <c r="D1134">
        <v>968</v>
      </c>
      <c r="E1134" s="1">
        <v>4.1700000000000001E-2</v>
      </c>
      <c r="G1134" s="1">
        <v>2.69E-2</v>
      </c>
      <c r="H1134" s="1">
        <v>0.64390000000000003</v>
      </c>
      <c r="I1134" s="1">
        <v>0.28749999999999998</v>
      </c>
    </row>
    <row r="1135" spans="1:9">
      <c r="A1135" t="s">
        <v>209</v>
      </c>
      <c r="B1135">
        <v>74</v>
      </c>
      <c r="C1135" t="s">
        <v>210</v>
      </c>
      <c r="D1135">
        <v>968</v>
      </c>
      <c r="E1135" s="1">
        <v>9.6699999999999994E-2</v>
      </c>
      <c r="H1135" s="1">
        <v>0.67110000000000003</v>
      </c>
      <c r="I1135" s="1">
        <v>0.23219999999999999</v>
      </c>
    </row>
    <row r="1136" spans="1:9">
      <c r="A1136" t="s">
        <v>209</v>
      </c>
      <c r="B1136">
        <v>97</v>
      </c>
      <c r="C1136" t="s">
        <v>211</v>
      </c>
      <c r="D1136">
        <v>968</v>
      </c>
      <c r="E1136" s="1">
        <v>7.2099999999999997E-2</v>
      </c>
      <c r="G1136" s="1">
        <v>1.2E-2</v>
      </c>
      <c r="H1136" s="1">
        <v>0.71860000000000002</v>
      </c>
      <c r="I1136" s="1">
        <v>0.1973</v>
      </c>
    </row>
    <row r="1137" spans="1:10">
      <c r="A1137" t="s">
        <v>209</v>
      </c>
      <c r="B1137">
        <v>85</v>
      </c>
      <c r="C1137" t="s">
        <v>212</v>
      </c>
      <c r="D1137">
        <v>968</v>
      </c>
      <c r="E1137" s="1">
        <v>5.11E-2</v>
      </c>
      <c r="H1137" s="1">
        <v>0.67320000000000002</v>
      </c>
      <c r="I1137" s="1">
        <v>0.2757</v>
      </c>
    </row>
    <row r="1139" spans="1:10">
      <c r="A1139" t="s">
        <v>366</v>
      </c>
    </row>
    <row r="1140" spans="1:10">
      <c r="A1140" t="s">
        <v>189</v>
      </c>
      <c r="B1140" t="s">
        <v>195</v>
      </c>
      <c r="C1140" t="s">
        <v>190</v>
      </c>
      <c r="D1140" t="s">
        <v>196</v>
      </c>
      <c r="E1140" t="s">
        <v>359</v>
      </c>
      <c r="F1140" t="s">
        <v>360</v>
      </c>
      <c r="G1140" t="s">
        <v>228</v>
      </c>
      <c r="H1140" t="s">
        <v>361</v>
      </c>
      <c r="I1140" t="s">
        <v>223</v>
      </c>
      <c r="J1140" t="s">
        <v>362</v>
      </c>
    </row>
    <row r="1141" spans="1:10">
      <c r="A1141" t="s">
        <v>197</v>
      </c>
      <c r="B1141">
        <v>968</v>
      </c>
      <c r="C1141" t="s">
        <v>198</v>
      </c>
      <c r="D1141">
        <v>968</v>
      </c>
      <c r="E1141" s="1">
        <v>3.2800000000000003E-2</v>
      </c>
      <c r="F1141" s="1">
        <v>1.54E-2</v>
      </c>
      <c r="G1141" s="1">
        <v>4.0000000000000002E-4</v>
      </c>
      <c r="H1141" s="1">
        <v>0.89</v>
      </c>
      <c r="I1141" s="1">
        <v>2E-3</v>
      </c>
      <c r="J1141" s="1">
        <v>5.9400000000000001E-2</v>
      </c>
    </row>
    <row r="1142" spans="1:10">
      <c r="A1142" t="s">
        <v>204</v>
      </c>
      <c r="B1142">
        <v>91</v>
      </c>
      <c r="C1142" t="s">
        <v>205</v>
      </c>
      <c r="D1142">
        <v>968</v>
      </c>
      <c r="E1142" s="1">
        <v>2.3999999999999998E-3</v>
      </c>
      <c r="F1142" s="1">
        <v>1.66E-2</v>
      </c>
      <c r="H1142" s="1">
        <v>0.9244</v>
      </c>
      <c r="J1142" s="1">
        <v>5.6599999999999998E-2</v>
      </c>
    </row>
    <row r="1143" spans="1:10">
      <c r="A1143" t="s">
        <v>204</v>
      </c>
      <c r="B1143">
        <v>72</v>
      </c>
      <c r="C1143" t="s">
        <v>206</v>
      </c>
      <c r="D1143">
        <v>968</v>
      </c>
      <c r="E1143" s="1">
        <v>2.3300000000000001E-2</v>
      </c>
      <c r="F1143" s="1">
        <v>4.4200000000000003E-2</v>
      </c>
      <c r="H1143" s="1">
        <v>0.88129999999999997</v>
      </c>
      <c r="J1143" s="1">
        <v>5.1200000000000002E-2</v>
      </c>
    </row>
    <row r="1144" spans="1:10">
      <c r="A1144" t="s">
        <v>204</v>
      </c>
      <c r="B1144">
        <v>131</v>
      </c>
      <c r="C1144" t="s">
        <v>207</v>
      </c>
      <c r="D1144">
        <v>968</v>
      </c>
      <c r="E1144" s="1">
        <v>9.5799999999999996E-2</v>
      </c>
      <c r="F1144" s="1">
        <v>1.26E-2</v>
      </c>
      <c r="G1144" s="1">
        <v>2.5000000000000001E-3</v>
      </c>
      <c r="H1144" s="1">
        <v>0.82630000000000003</v>
      </c>
      <c r="J1144" s="1">
        <v>6.2799999999999995E-2</v>
      </c>
    </row>
    <row r="1145" spans="1:10">
      <c r="A1145" t="s">
        <v>204</v>
      </c>
      <c r="B1145">
        <v>74</v>
      </c>
      <c r="C1145" t="s">
        <v>208</v>
      </c>
      <c r="D1145">
        <v>968</v>
      </c>
      <c r="E1145" s="1">
        <v>2.7E-2</v>
      </c>
      <c r="F1145" s="1">
        <v>2.7E-2</v>
      </c>
      <c r="H1145" s="1">
        <v>0.91890000000000005</v>
      </c>
      <c r="J1145" s="1">
        <v>2.7E-2</v>
      </c>
    </row>
    <row r="1146" spans="1:10">
      <c r="A1146" t="s">
        <v>199</v>
      </c>
      <c r="B1146">
        <v>73</v>
      </c>
      <c r="C1146" t="s">
        <v>200</v>
      </c>
      <c r="D1146">
        <v>968</v>
      </c>
      <c r="E1146" s="1">
        <v>4.6399999999999997E-2</v>
      </c>
      <c r="F1146" s="1">
        <v>3.2000000000000002E-3</v>
      </c>
      <c r="H1146" s="1">
        <v>0.82310000000000005</v>
      </c>
      <c r="J1146" s="1">
        <v>0.12740000000000001</v>
      </c>
    </row>
    <row r="1147" spans="1:10">
      <c r="A1147" t="s">
        <v>199</v>
      </c>
      <c r="B1147">
        <v>96</v>
      </c>
      <c r="C1147" t="s">
        <v>201</v>
      </c>
      <c r="D1147">
        <v>968</v>
      </c>
      <c r="E1147" s="1">
        <v>1.04E-2</v>
      </c>
      <c r="H1147" s="1">
        <v>0.9375</v>
      </c>
      <c r="I1147" s="1">
        <v>1.04E-2</v>
      </c>
      <c r="J1147" s="1">
        <v>4.1700000000000001E-2</v>
      </c>
    </row>
    <row r="1148" spans="1:10">
      <c r="A1148" t="s">
        <v>199</v>
      </c>
      <c r="B1148">
        <v>98</v>
      </c>
      <c r="C1148" t="s">
        <v>202</v>
      </c>
      <c r="D1148">
        <v>968</v>
      </c>
      <c r="E1148" s="1">
        <v>4.4600000000000001E-2</v>
      </c>
      <c r="F1148" s="1">
        <v>3.9600000000000003E-2</v>
      </c>
      <c r="H1148" s="1">
        <v>0.83260000000000001</v>
      </c>
      <c r="J1148" s="1">
        <v>8.3199999999999996E-2</v>
      </c>
    </row>
    <row r="1149" spans="1:10">
      <c r="A1149" t="s">
        <v>199</v>
      </c>
      <c r="B1149">
        <v>77</v>
      </c>
      <c r="C1149" t="s">
        <v>203</v>
      </c>
      <c r="D1149">
        <v>968</v>
      </c>
      <c r="E1149" s="1">
        <v>7.4000000000000003E-3</v>
      </c>
      <c r="F1149" s="1">
        <v>1.5699999999999999E-2</v>
      </c>
      <c r="H1149" s="1">
        <v>0.92689999999999995</v>
      </c>
      <c r="J1149" s="1">
        <v>0.05</v>
      </c>
    </row>
    <row r="1150" spans="1:10">
      <c r="A1150" t="s">
        <v>209</v>
      </c>
      <c r="B1150">
        <v>74</v>
      </c>
      <c r="C1150" t="s">
        <v>210</v>
      </c>
      <c r="D1150">
        <v>968</v>
      </c>
      <c r="E1150" s="1">
        <v>6.1400000000000003E-2</v>
      </c>
      <c r="F1150" s="1">
        <v>8.3000000000000001E-3</v>
      </c>
      <c r="H1150" s="1">
        <v>0.84289999999999998</v>
      </c>
      <c r="J1150" s="1">
        <v>8.7400000000000005E-2</v>
      </c>
    </row>
    <row r="1151" spans="1:10">
      <c r="A1151" t="s">
        <v>209</v>
      </c>
      <c r="B1151">
        <v>97</v>
      </c>
      <c r="C1151" t="s">
        <v>211</v>
      </c>
      <c r="D1151">
        <v>968</v>
      </c>
      <c r="E1151" s="1">
        <v>4.8099999999999997E-2</v>
      </c>
      <c r="F1151" s="1">
        <v>9.9000000000000008E-3</v>
      </c>
      <c r="H1151" s="1">
        <v>0.8589</v>
      </c>
      <c r="J1151" s="1">
        <v>8.3099999999999993E-2</v>
      </c>
    </row>
    <row r="1152" spans="1:10">
      <c r="A1152" t="s">
        <v>209</v>
      </c>
      <c r="B1152">
        <v>85</v>
      </c>
      <c r="C1152" t="s">
        <v>212</v>
      </c>
      <c r="D1152">
        <v>968</v>
      </c>
      <c r="E1152" s="1">
        <v>2.5600000000000001E-2</v>
      </c>
      <c r="F1152" s="1">
        <v>7.4000000000000003E-3</v>
      </c>
      <c r="H1152" s="1">
        <v>0.91359999999999997</v>
      </c>
      <c r="J1152" s="1">
        <v>5.3499999999999999E-2</v>
      </c>
    </row>
    <row r="1154" spans="1:9">
      <c r="A1154" t="s">
        <v>367</v>
      </c>
    </row>
    <row r="1155" spans="1:9">
      <c r="A1155" t="s">
        <v>189</v>
      </c>
      <c r="B1155" t="s">
        <v>195</v>
      </c>
      <c r="C1155" t="s">
        <v>190</v>
      </c>
      <c r="D1155" t="s">
        <v>196</v>
      </c>
      <c r="E1155" t="s">
        <v>359</v>
      </c>
      <c r="F1155" t="s">
        <v>360</v>
      </c>
      <c r="G1155" t="s">
        <v>228</v>
      </c>
      <c r="H1155" t="s">
        <v>361</v>
      </c>
      <c r="I1155" t="s">
        <v>362</v>
      </c>
    </row>
    <row r="1156" spans="1:9">
      <c r="A1156" t="s">
        <v>197</v>
      </c>
      <c r="B1156">
        <v>968</v>
      </c>
      <c r="C1156" t="s">
        <v>198</v>
      </c>
      <c r="D1156">
        <v>968</v>
      </c>
      <c r="E1156" s="1">
        <v>2.0299999999999999E-2</v>
      </c>
      <c r="F1156" s="1">
        <v>1.4E-3</v>
      </c>
      <c r="G1156" s="1">
        <v>2E-3</v>
      </c>
      <c r="H1156" s="1">
        <v>0.92930000000000001</v>
      </c>
      <c r="I1156" s="1">
        <v>4.6899999999999997E-2</v>
      </c>
    </row>
    <row r="1157" spans="1:9">
      <c r="A1157" t="s">
        <v>204</v>
      </c>
      <c r="B1157">
        <v>91</v>
      </c>
      <c r="C1157" t="s">
        <v>205</v>
      </c>
      <c r="D1157">
        <v>968</v>
      </c>
      <c r="E1157" s="1">
        <v>2.3999999999999998E-3</v>
      </c>
      <c r="H1157" s="1">
        <v>0.97850000000000004</v>
      </c>
      <c r="I1157" s="1">
        <v>1.9099999999999999E-2</v>
      </c>
    </row>
    <row r="1158" spans="1:9">
      <c r="A1158" t="s">
        <v>204</v>
      </c>
      <c r="B1158">
        <v>72</v>
      </c>
      <c r="C1158" t="s">
        <v>206</v>
      </c>
      <c r="D1158">
        <v>968</v>
      </c>
      <c r="F1158" s="1">
        <v>2.7900000000000001E-2</v>
      </c>
      <c r="H1158" s="1">
        <v>0.96040000000000003</v>
      </c>
      <c r="I1158" s="1">
        <v>1.1599999999999999E-2</v>
      </c>
    </row>
    <row r="1159" spans="1:9">
      <c r="A1159" t="s">
        <v>204</v>
      </c>
      <c r="B1159">
        <v>131</v>
      </c>
      <c r="C1159" t="s">
        <v>207</v>
      </c>
      <c r="D1159">
        <v>968</v>
      </c>
      <c r="E1159" s="1">
        <v>0.05</v>
      </c>
      <c r="F1159" s="1">
        <v>6.4999999999999997E-3</v>
      </c>
      <c r="H1159" s="1">
        <v>0.89019999999999999</v>
      </c>
      <c r="I1159" s="1">
        <v>5.3400000000000003E-2</v>
      </c>
    </row>
    <row r="1160" spans="1:9">
      <c r="A1160" t="s">
        <v>204</v>
      </c>
      <c r="B1160">
        <v>74</v>
      </c>
      <c r="C1160" t="s">
        <v>208</v>
      </c>
      <c r="D1160">
        <v>968</v>
      </c>
      <c r="E1160" s="1">
        <v>4.0500000000000001E-2</v>
      </c>
      <c r="H1160" s="1">
        <v>0.93240000000000001</v>
      </c>
      <c r="I1160" s="1">
        <v>2.7E-2</v>
      </c>
    </row>
    <row r="1161" spans="1:9">
      <c r="A1161" t="s">
        <v>199</v>
      </c>
      <c r="B1161">
        <v>73</v>
      </c>
      <c r="C1161" t="s">
        <v>200</v>
      </c>
      <c r="D1161">
        <v>968</v>
      </c>
      <c r="E1161" s="1">
        <v>1.6000000000000001E-3</v>
      </c>
      <c r="G1161" s="1">
        <v>1.6000000000000001E-3</v>
      </c>
      <c r="H1161" s="1">
        <v>0.88680000000000003</v>
      </c>
      <c r="I1161" s="1">
        <v>0.1101</v>
      </c>
    </row>
    <row r="1162" spans="1:9">
      <c r="A1162" t="s">
        <v>199</v>
      </c>
      <c r="B1162">
        <v>96</v>
      </c>
      <c r="C1162" t="s">
        <v>201</v>
      </c>
      <c r="D1162">
        <v>968</v>
      </c>
      <c r="E1162" s="1">
        <v>3.1199999999999999E-2</v>
      </c>
      <c r="G1162" s="1">
        <v>1.04E-2</v>
      </c>
      <c r="H1162" s="1">
        <v>0.89580000000000004</v>
      </c>
      <c r="I1162" s="1">
        <v>6.25E-2</v>
      </c>
    </row>
    <row r="1163" spans="1:9">
      <c r="A1163" t="s">
        <v>199</v>
      </c>
      <c r="B1163">
        <v>98</v>
      </c>
      <c r="C1163" t="s">
        <v>202</v>
      </c>
      <c r="D1163">
        <v>968</v>
      </c>
      <c r="E1163" s="1">
        <v>1.35E-2</v>
      </c>
      <c r="H1163" s="1">
        <v>0.93779999999999997</v>
      </c>
      <c r="I1163" s="1">
        <v>4.8599999999999997E-2</v>
      </c>
    </row>
    <row r="1164" spans="1:9">
      <c r="A1164" t="s">
        <v>199</v>
      </c>
      <c r="B1164">
        <v>77</v>
      </c>
      <c r="C1164" t="s">
        <v>203</v>
      </c>
      <c r="D1164">
        <v>968</v>
      </c>
      <c r="E1164" s="1">
        <v>7.4000000000000003E-3</v>
      </c>
      <c r="H1164" s="1">
        <v>0.94340000000000002</v>
      </c>
      <c r="I1164" s="1">
        <v>4.9099999999999998E-2</v>
      </c>
    </row>
    <row r="1165" spans="1:9">
      <c r="A1165" t="s">
        <v>209</v>
      </c>
      <c r="B1165">
        <v>74</v>
      </c>
      <c r="C1165" t="s">
        <v>210</v>
      </c>
      <c r="D1165">
        <v>968</v>
      </c>
      <c r="E1165" s="1">
        <v>1.77E-2</v>
      </c>
      <c r="F1165" s="1">
        <v>8.3000000000000001E-3</v>
      </c>
      <c r="H1165" s="1">
        <v>0.95730000000000004</v>
      </c>
      <c r="I1165" s="1">
        <v>1.67E-2</v>
      </c>
    </row>
    <row r="1166" spans="1:9">
      <c r="A1166" t="s">
        <v>209</v>
      </c>
      <c r="B1166">
        <v>97</v>
      </c>
      <c r="C1166" t="s">
        <v>211</v>
      </c>
      <c r="D1166">
        <v>968</v>
      </c>
      <c r="E1166" s="1">
        <v>2.4E-2</v>
      </c>
      <c r="H1166" s="1">
        <v>0.96389999999999998</v>
      </c>
      <c r="I1166" s="1">
        <v>1.2E-2</v>
      </c>
    </row>
    <row r="1167" spans="1:9">
      <c r="A1167" t="s">
        <v>209</v>
      </c>
      <c r="B1167">
        <v>85</v>
      </c>
      <c r="C1167" t="s">
        <v>212</v>
      </c>
      <c r="D1167">
        <v>968</v>
      </c>
      <c r="H1167" s="1">
        <v>0.92269999999999996</v>
      </c>
      <c r="I1167" s="1">
        <v>7.7299999999999994E-2</v>
      </c>
    </row>
    <row r="1169" spans="1:9">
      <c r="A1169" t="s">
        <v>368</v>
      </c>
    </row>
    <row r="1170" spans="1:9">
      <c r="A1170" t="s">
        <v>189</v>
      </c>
      <c r="B1170" t="s">
        <v>195</v>
      </c>
      <c r="C1170" t="s">
        <v>190</v>
      </c>
      <c r="D1170" t="s">
        <v>196</v>
      </c>
      <c r="E1170" t="s">
        <v>228</v>
      </c>
      <c r="F1170" t="s">
        <v>369</v>
      </c>
      <c r="G1170" t="s">
        <v>223</v>
      </c>
      <c r="H1170" t="s">
        <v>370</v>
      </c>
      <c r="I1170" t="s">
        <v>371</v>
      </c>
    </row>
    <row r="1171" spans="1:9">
      <c r="A1171" t="s">
        <v>197</v>
      </c>
      <c r="B1171">
        <v>968</v>
      </c>
      <c r="C1171" t="s">
        <v>198</v>
      </c>
      <c r="D1171">
        <v>968</v>
      </c>
      <c r="E1171" s="1">
        <v>3.3999999999999998E-3</v>
      </c>
      <c r="F1171" s="1">
        <v>0.66690000000000005</v>
      </c>
      <c r="G1171" s="1">
        <v>8.5000000000000006E-3</v>
      </c>
      <c r="H1171" s="1">
        <v>0.15110000000000001</v>
      </c>
      <c r="I1171" s="1">
        <v>0.1701</v>
      </c>
    </row>
    <row r="1172" spans="1:9">
      <c r="A1172" t="s">
        <v>204</v>
      </c>
      <c r="B1172">
        <v>91</v>
      </c>
      <c r="C1172" t="s">
        <v>205</v>
      </c>
      <c r="D1172">
        <v>968</v>
      </c>
      <c r="F1172" s="1">
        <v>0.83689999999999998</v>
      </c>
      <c r="G1172" s="1">
        <v>3.6700000000000003E-2</v>
      </c>
      <c r="H1172" s="1">
        <v>5.7799999999999997E-2</v>
      </c>
      <c r="I1172" s="1">
        <v>6.8599999999999994E-2</v>
      </c>
    </row>
    <row r="1173" spans="1:9">
      <c r="A1173" t="s">
        <v>204</v>
      </c>
      <c r="B1173">
        <v>72</v>
      </c>
      <c r="C1173" t="s">
        <v>206</v>
      </c>
      <c r="D1173">
        <v>968</v>
      </c>
      <c r="F1173" s="1">
        <v>0.58140000000000003</v>
      </c>
      <c r="H1173" s="1">
        <v>0.1978</v>
      </c>
      <c r="I1173" s="1">
        <v>0.2208</v>
      </c>
    </row>
    <row r="1174" spans="1:9">
      <c r="A1174" t="s">
        <v>204</v>
      </c>
      <c r="B1174">
        <v>131</v>
      </c>
      <c r="C1174" t="s">
        <v>207</v>
      </c>
      <c r="D1174">
        <v>968</v>
      </c>
      <c r="F1174" s="1">
        <v>0.6099</v>
      </c>
      <c r="H1174" s="1">
        <v>5.1400000000000001E-2</v>
      </c>
      <c r="I1174" s="1">
        <v>0.33860000000000001</v>
      </c>
    </row>
    <row r="1175" spans="1:9">
      <c r="A1175" t="s">
        <v>204</v>
      </c>
      <c r="B1175">
        <v>74</v>
      </c>
      <c r="C1175" t="s">
        <v>208</v>
      </c>
      <c r="D1175">
        <v>968</v>
      </c>
      <c r="F1175" s="1">
        <v>0.74319999999999997</v>
      </c>
      <c r="H1175" s="1">
        <v>0.16220000000000001</v>
      </c>
      <c r="I1175" s="1">
        <v>9.4600000000000004E-2</v>
      </c>
    </row>
    <row r="1176" spans="1:9">
      <c r="A1176" t="s">
        <v>199</v>
      </c>
      <c r="B1176">
        <v>73</v>
      </c>
      <c r="C1176" t="s">
        <v>200</v>
      </c>
      <c r="D1176">
        <v>968</v>
      </c>
      <c r="F1176" s="1">
        <v>0.65400000000000003</v>
      </c>
      <c r="H1176" s="1">
        <v>0.12740000000000001</v>
      </c>
      <c r="I1176" s="1">
        <v>0.21859999999999999</v>
      </c>
    </row>
    <row r="1177" spans="1:9">
      <c r="A1177" t="s">
        <v>199</v>
      </c>
      <c r="B1177">
        <v>96</v>
      </c>
      <c r="C1177" t="s">
        <v>201</v>
      </c>
      <c r="D1177">
        <v>968</v>
      </c>
      <c r="F1177" s="1">
        <v>0.69789999999999996</v>
      </c>
      <c r="H1177" s="1">
        <v>0.17710000000000001</v>
      </c>
      <c r="I1177" s="1">
        <v>0.125</v>
      </c>
    </row>
    <row r="1178" spans="1:9">
      <c r="A1178" t="s">
        <v>199</v>
      </c>
      <c r="B1178">
        <v>98</v>
      </c>
      <c r="C1178" t="s">
        <v>202</v>
      </c>
      <c r="D1178">
        <v>968</v>
      </c>
      <c r="E1178" s="1">
        <v>9.5999999999999992E-3</v>
      </c>
      <c r="F1178" s="1">
        <v>0.5706</v>
      </c>
      <c r="H1178" s="1">
        <v>0.216</v>
      </c>
      <c r="I1178" s="1">
        <v>0.20369999999999999</v>
      </c>
    </row>
    <row r="1179" spans="1:9">
      <c r="A1179" t="s">
        <v>199</v>
      </c>
      <c r="B1179">
        <v>77</v>
      </c>
      <c r="C1179" t="s">
        <v>203</v>
      </c>
      <c r="D1179">
        <v>968</v>
      </c>
      <c r="E1179" s="1">
        <v>7.4000000000000003E-3</v>
      </c>
      <c r="F1179" s="1">
        <v>0.60760000000000003</v>
      </c>
      <c r="H1179" s="1">
        <v>0.28299999999999997</v>
      </c>
      <c r="I1179" s="1">
        <v>0.10199999999999999</v>
      </c>
    </row>
    <row r="1180" spans="1:9">
      <c r="A1180" t="s">
        <v>209</v>
      </c>
      <c r="B1180">
        <v>74</v>
      </c>
      <c r="C1180" t="s">
        <v>210</v>
      </c>
      <c r="D1180">
        <v>968</v>
      </c>
      <c r="F1180" s="1">
        <v>0.57540000000000002</v>
      </c>
      <c r="G1180" s="1">
        <v>1.77E-2</v>
      </c>
      <c r="H1180" s="1">
        <v>0.14680000000000001</v>
      </c>
      <c r="I1180" s="1">
        <v>0.26019999999999999</v>
      </c>
    </row>
    <row r="1181" spans="1:9">
      <c r="A1181" t="s">
        <v>209</v>
      </c>
      <c r="B1181">
        <v>97</v>
      </c>
      <c r="C1181" t="s">
        <v>211</v>
      </c>
      <c r="D1181">
        <v>968</v>
      </c>
      <c r="E1181" s="1">
        <v>4.1999999999999997E-3</v>
      </c>
      <c r="F1181" s="1">
        <v>0.60650000000000004</v>
      </c>
      <c r="H1181" s="1">
        <v>0.1867</v>
      </c>
      <c r="I1181" s="1">
        <v>0.2026</v>
      </c>
    </row>
    <row r="1182" spans="1:9">
      <c r="A1182" t="s">
        <v>209</v>
      </c>
      <c r="B1182">
        <v>85</v>
      </c>
      <c r="C1182" t="s">
        <v>212</v>
      </c>
      <c r="D1182">
        <v>968</v>
      </c>
      <c r="E1182" s="1">
        <v>1.4E-2</v>
      </c>
      <c r="F1182" s="1">
        <v>0.51900000000000002</v>
      </c>
      <c r="G1182" s="1">
        <v>7.1999999999999998E-3</v>
      </c>
      <c r="H1182" s="1">
        <v>0.27079999999999999</v>
      </c>
      <c r="I1182" s="1">
        <v>0.18909999999999999</v>
      </c>
    </row>
    <row r="1184" spans="1:9">
      <c r="A1184" t="s">
        <v>372</v>
      </c>
    </row>
    <row r="1185" spans="1:10">
      <c r="A1185" t="s">
        <v>189</v>
      </c>
      <c r="B1185" t="s">
        <v>195</v>
      </c>
      <c r="C1185" t="s">
        <v>190</v>
      </c>
      <c r="D1185" t="s">
        <v>196</v>
      </c>
      <c r="E1185" t="s">
        <v>228</v>
      </c>
      <c r="F1185" t="s">
        <v>215</v>
      </c>
      <c r="G1185" t="s">
        <v>216</v>
      </c>
    </row>
    <row r="1186" spans="1:10">
      <c r="A1186" t="s">
        <v>197</v>
      </c>
      <c r="B1186">
        <v>968</v>
      </c>
      <c r="C1186" t="s">
        <v>198</v>
      </c>
      <c r="D1186">
        <v>968</v>
      </c>
      <c r="E1186" s="1">
        <v>2.0000000000000001E-4</v>
      </c>
      <c r="F1186" s="1">
        <v>0.91820000000000002</v>
      </c>
      <c r="G1186" s="1">
        <v>8.1600000000000006E-2</v>
      </c>
    </row>
    <row r="1187" spans="1:10">
      <c r="A1187" t="s">
        <v>204</v>
      </c>
      <c r="B1187">
        <v>91</v>
      </c>
      <c r="C1187" t="s">
        <v>205</v>
      </c>
      <c r="D1187">
        <v>968</v>
      </c>
      <c r="F1187" s="1">
        <v>0.97929999999999995</v>
      </c>
      <c r="G1187" s="1">
        <v>2.07E-2</v>
      </c>
    </row>
    <row r="1188" spans="1:10">
      <c r="A1188" t="s">
        <v>204</v>
      </c>
      <c r="B1188">
        <v>72</v>
      </c>
      <c r="C1188" t="s">
        <v>206</v>
      </c>
      <c r="D1188">
        <v>968</v>
      </c>
      <c r="F1188" s="1">
        <v>0.9163</v>
      </c>
      <c r="G1188" s="1">
        <v>8.3699999999999997E-2</v>
      </c>
    </row>
    <row r="1189" spans="1:10">
      <c r="A1189" t="s">
        <v>204</v>
      </c>
      <c r="B1189">
        <v>131</v>
      </c>
      <c r="C1189" t="s">
        <v>207</v>
      </c>
      <c r="D1189">
        <v>968</v>
      </c>
      <c r="F1189" s="1">
        <v>0.92279999999999995</v>
      </c>
      <c r="G1189" s="1">
        <v>7.7200000000000005E-2</v>
      </c>
    </row>
    <row r="1190" spans="1:10">
      <c r="A1190" t="s">
        <v>204</v>
      </c>
      <c r="B1190">
        <v>74</v>
      </c>
      <c r="C1190" t="s">
        <v>208</v>
      </c>
      <c r="D1190">
        <v>968</v>
      </c>
      <c r="F1190" s="1">
        <v>0.97299999999999998</v>
      </c>
      <c r="G1190" s="1">
        <v>2.7E-2</v>
      </c>
    </row>
    <row r="1191" spans="1:10">
      <c r="A1191" t="s">
        <v>199</v>
      </c>
      <c r="B1191">
        <v>73</v>
      </c>
      <c r="C1191" t="s">
        <v>200</v>
      </c>
      <c r="D1191">
        <v>968</v>
      </c>
      <c r="F1191" s="1">
        <v>0.93830000000000002</v>
      </c>
      <c r="G1191" s="1">
        <v>6.1699999999999998E-2</v>
      </c>
    </row>
    <row r="1192" spans="1:10">
      <c r="A1192" t="s">
        <v>199</v>
      </c>
      <c r="B1192">
        <v>96</v>
      </c>
      <c r="C1192" t="s">
        <v>201</v>
      </c>
      <c r="D1192">
        <v>968</v>
      </c>
      <c r="F1192" s="1">
        <v>0.85419999999999996</v>
      </c>
      <c r="G1192" s="1">
        <v>0.14580000000000001</v>
      </c>
    </row>
    <row r="1193" spans="1:10">
      <c r="A1193" t="s">
        <v>199</v>
      </c>
      <c r="B1193">
        <v>98</v>
      </c>
      <c r="C1193" t="s">
        <v>202</v>
      </c>
      <c r="D1193">
        <v>968</v>
      </c>
      <c r="F1193" s="1">
        <v>0.88070000000000004</v>
      </c>
      <c r="G1193" s="1">
        <v>0.1193</v>
      </c>
    </row>
    <row r="1194" spans="1:10">
      <c r="A1194" t="s">
        <v>199</v>
      </c>
      <c r="B1194">
        <v>77</v>
      </c>
      <c r="C1194" t="s">
        <v>203</v>
      </c>
      <c r="D1194">
        <v>968</v>
      </c>
      <c r="F1194" s="1">
        <v>0.96619999999999995</v>
      </c>
      <c r="G1194" s="1">
        <v>3.3799999999999997E-2</v>
      </c>
    </row>
    <row r="1195" spans="1:10">
      <c r="A1195" t="s">
        <v>209</v>
      </c>
      <c r="B1195">
        <v>74</v>
      </c>
      <c r="C1195" t="s">
        <v>210</v>
      </c>
      <c r="D1195">
        <v>968</v>
      </c>
      <c r="F1195" s="1">
        <v>0.92290000000000005</v>
      </c>
      <c r="G1195" s="1">
        <v>7.7100000000000002E-2</v>
      </c>
    </row>
    <row r="1196" spans="1:10">
      <c r="A1196" t="s">
        <v>209</v>
      </c>
      <c r="B1196">
        <v>97</v>
      </c>
      <c r="C1196" t="s">
        <v>211</v>
      </c>
      <c r="D1196">
        <v>968</v>
      </c>
      <c r="E1196" s="1">
        <v>4.1999999999999997E-3</v>
      </c>
      <c r="F1196" s="1">
        <v>0.86809999999999998</v>
      </c>
      <c r="G1196" s="1">
        <v>0.12770000000000001</v>
      </c>
    </row>
    <row r="1197" spans="1:10">
      <c r="A1197" t="s">
        <v>209</v>
      </c>
      <c r="B1197">
        <v>85</v>
      </c>
      <c r="C1197" t="s">
        <v>212</v>
      </c>
      <c r="D1197">
        <v>968</v>
      </c>
      <c r="F1197" s="1">
        <v>0.92759999999999998</v>
      </c>
      <c r="G1197" s="1">
        <v>7.2400000000000006E-2</v>
      </c>
    </row>
    <row r="1199" spans="1:10">
      <c r="A1199" t="s">
        <v>373</v>
      </c>
    </row>
    <row r="1200" spans="1:10">
      <c r="A1200" t="s">
        <v>189</v>
      </c>
      <c r="B1200" t="s">
        <v>195</v>
      </c>
      <c r="C1200" t="s">
        <v>190</v>
      </c>
      <c r="D1200" t="s">
        <v>196</v>
      </c>
      <c r="E1200" t="s">
        <v>374</v>
      </c>
      <c r="F1200" t="s">
        <v>375</v>
      </c>
      <c r="G1200" t="s">
        <v>376</v>
      </c>
      <c r="H1200" t="s">
        <v>377</v>
      </c>
      <c r="I1200" t="s">
        <v>378</v>
      </c>
      <c r="J1200" t="s">
        <v>379</v>
      </c>
    </row>
    <row r="1201" spans="1:12">
      <c r="A1201" t="s">
        <v>197</v>
      </c>
      <c r="B1201">
        <v>968</v>
      </c>
      <c r="C1201" t="s">
        <v>198</v>
      </c>
      <c r="D1201">
        <v>968</v>
      </c>
      <c r="E1201" s="1">
        <v>2.1600000000000001E-2</v>
      </c>
      <c r="F1201" s="1">
        <v>0.79720000000000002</v>
      </c>
      <c r="G1201" s="1">
        <v>3.9300000000000002E-2</v>
      </c>
      <c r="H1201" s="1">
        <v>5.5399999999999998E-2</v>
      </c>
      <c r="I1201" s="1">
        <v>6.9800000000000001E-2</v>
      </c>
      <c r="J1201" s="1">
        <v>1.67E-2</v>
      </c>
    </row>
    <row r="1202" spans="1:12">
      <c r="A1202" t="s">
        <v>204</v>
      </c>
      <c r="B1202">
        <v>91</v>
      </c>
      <c r="C1202" t="s">
        <v>205</v>
      </c>
      <c r="D1202">
        <v>968</v>
      </c>
      <c r="E1202" s="1">
        <v>2.1899999999999999E-2</v>
      </c>
      <c r="F1202" s="1">
        <v>0.88919999999999999</v>
      </c>
      <c r="G1202" s="1">
        <v>2.2499999999999999E-2</v>
      </c>
      <c r="H1202" s="1">
        <v>4.48E-2</v>
      </c>
      <c r="I1202" s="1">
        <v>2.1499999999999998E-2</v>
      </c>
    </row>
    <row r="1203" spans="1:12">
      <c r="A1203" t="s">
        <v>204</v>
      </c>
      <c r="B1203">
        <v>72</v>
      </c>
      <c r="C1203" t="s">
        <v>206</v>
      </c>
      <c r="D1203">
        <v>968</v>
      </c>
      <c r="E1203" s="1">
        <v>7.2099999999999997E-2</v>
      </c>
      <c r="F1203" s="1">
        <v>0.66049999999999998</v>
      </c>
      <c r="G1203" s="1">
        <v>9.2999999999999999E-2</v>
      </c>
      <c r="H1203" s="1">
        <v>6.7500000000000004E-2</v>
      </c>
      <c r="I1203" s="1">
        <v>7.4499999999999997E-2</v>
      </c>
      <c r="J1203" s="1">
        <v>3.2500000000000001E-2</v>
      </c>
    </row>
    <row r="1204" spans="1:12">
      <c r="A1204" t="s">
        <v>204</v>
      </c>
      <c r="B1204">
        <v>131</v>
      </c>
      <c r="C1204" t="s">
        <v>207</v>
      </c>
      <c r="D1204">
        <v>968</v>
      </c>
      <c r="E1204" s="1">
        <v>8.3999999999999995E-3</v>
      </c>
      <c r="F1204" s="1">
        <v>0.74460000000000004</v>
      </c>
      <c r="G1204" s="1">
        <v>1.7100000000000001E-2</v>
      </c>
      <c r="H1204" s="1">
        <v>2.4E-2</v>
      </c>
      <c r="I1204" s="1">
        <v>0.15179999999999999</v>
      </c>
      <c r="J1204" s="1">
        <v>5.3999999999999999E-2</v>
      </c>
    </row>
    <row r="1205" spans="1:12">
      <c r="A1205" t="s">
        <v>204</v>
      </c>
      <c r="B1205">
        <v>74</v>
      </c>
      <c r="C1205" t="s">
        <v>208</v>
      </c>
      <c r="D1205">
        <v>968</v>
      </c>
      <c r="F1205" s="1">
        <v>0.89190000000000003</v>
      </c>
      <c r="G1205" s="1">
        <v>2.7E-2</v>
      </c>
      <c r="H1205" s="1">
        <v>4.0500000000000001E-2</v>
      </c>
      <c r="I1205" s="1">
        <v>4.0500000000000001E-2</v>
      </c>
    </row>
    <row r="1206" spans="1:12">
      <c r="A1206" t="s">
        <v>199</v>
      </c>
      <c r="B1206">
        <v>73</v>
      </c>
      <c r="C1206" t="s">
        <v>200</v>
      </c>
      <c r="D1206">
        <v>968</v>
      </c>
      <c r="E1206" s="1">
        <v>0.16109999999999999</v>
      </c>
      <c r="F1206" s="1">
        <v>0.69930000000000003</v>
      </c>
      <c r="G1206" s="1">
        <v>3.2000000000000002E-3</v>
      </c>
      <c r="H1206" s="1">
        <v>7.4300000000000005E-2</v>
      </c>
      <c r="I1206" s="1">
        <v>6.2199999999999998E-2</v>
      </c>
    </row>
    <row r="1207" spans="1:12">
      <c r="A1207" t="s">
        <v>199</v>
      </c>
      <c r="B1207">
        <v>96</v>
      </c>
      <c r="C1207" t="s">
        <v>201</v>
      </c>
      <c r="D1207">
        <v>968</v>
      </c>
      <c r="E1207" s="1">
        <v>2.0799999999999999E-2</v>
      </c>
      <c r="F1207" s="1">
        <v>0.84379999999999999</v>
      </c>
      <c r="G1207" s="1">
        <v>3.1199999999999999E-2</v>
      </c>
      <c r="H1207" s="1">
        <v>4.1700000000000001E-2</v>
      </c>
      <c r="I1207" s="1">
        <v>6.25E-2</v>
      </c>
    </row>
    <row r="1208" spans="1:12">
      <c r="A1208" t="s">
        <v>199</v>
      </c>
      <c r="B1208">
        <v>98</v>
      </c>
      <c r="C1208" t="s">
        <v>202</v>
      </c>
      <c r="D1208">
        <v>968</v>
      </c>
      <c r="E1208" s="1">
        <v>1.2200000000000001E-2</v>
      </c>
      <c r="F1208" s="1">
        <v>0.69779999999999998</v>
      </c>
      <c r="G1208" s="1">
        <v>8.8700000000000001E-2</v>
      </c>
      <c r="H1208" s="1">
        <v>0.1111</v>
      </c>
      <c r="I1208" s="1">
        <v>8.1600000000000006E-2</v>
      </c>
      <c r="J1208" s="1">
        <v>8.5000000000000006E-3</v>
      </c>
    </row>
    <row r="1209" spans="1:12">
      <c r="A1209" t="s">
        <v>199</v>
      </c>
      <c r="B1209">
        <v>77</v>
      </c>
      <c r="C1209" t="s">
        <v>203</v>
      </c>
      <c r="D1209">
        <v>968</v>
      </c>
      <c r="E1209" s="1">
        <v>5.1999999999999998E-2</v>
      </c>
      <c r="F1209" s="1">
        <v>0.59109999999999996</v>
      </c>
      <c r="G1209" s="1">
        <v>0.12720000000000001</v>
      </c>
      <c r="H1209" s="1">
        <v>7.1400000000000005E-2</v>
      </c>
      <c r="I1209" s="1">
        <v>0.10489999999999999</v>
      </c>
      <c r="J1209" s="1">
        <v>5.33E-2</v>
      </c>
    </row>
    <row r="1210" spans="1:12">
      <c r="A1210" t="s">
        <v>209</v>
      </c>
      <c r="B1210">
        <v>74</v>
      </c>
      <c r="C1210" t="s">
        <v>210</v>
      </c>
      <c r="D1210">
        <v>968</v>
      </c>
      <c r="E1210" s="1">
        <v>5.1999999999999998E-2</v>
      </c>
      <c r="F1210" s="1">
        <v>0.5857</v>
      </c>
      <c r="G1210" s="1">
        <v>0.1031</v>
      </c>
      <c r="H1210" s="1">
        <v>0.16350000000000001</v>
      </c>
      <c r="I1210" s="1">
        <v>8.7400000000000005E-2</v>
      </c>
      <c r="J1210" s="1">
        <v>8.3000000000000001E-3</v>
      </c>
    </row>
    <row r="1211" spans="1:12">
      <c r="A1211" t="s">
        <v>209</v>
      </c>
      <c r="B1211">
        <v>97</v>
      </c>
      <c r="C1211" t="s">
        <v>211</v>
      </c>
      <c r="D1211">
        <v>968</v>
      </c>
      <c r="E1211" s="1">
        <v>2.8299999999999999E-2</v>
      </c>
      <c r="F1211" s="1">
        <v>0.73729999999999996</v>
      </c>
      <c r="G1211" s="1">
        <v>2.4E-2</v>
      </c>
      <c r="H1211" s="1">
        <v>0.12759999999999999</v>
      </c>
      <c r="I1211" s="1">
        <v>7.85E-2</v>
      </c>
      <c r="J1211" s="1">
        <v>4.1999999999999997E-3</v>
      </c>
    </row>
    <row r="1212" spans="1:12">
      <c r="A1212" t="s">
        <v>209</v>
      </c>
      <c r="B1212">
        <v>85</v>
      </c>
      <c r="C1212" t="s">
        <v>212</v>
      </c>
      <c r="D1212">
        <v>968</v>
      </c>
      <c r="E1212" s="1">
        <v>1.1599999999999999E-2</v>
      </c>
      <c r="F1212" s="1">
        <v>0.84099999999999997</v>
      </c>
      <c r="G1212" s="1">
        <v>3.3599999999999998E-2</v>
      </c>
      <c r="H1212" s="1">
        <v>2.7400000000000001E-2</v>
      </c>
      <c r="I1212" s="1">
        <v>4.4400000000000002E-2</v>
      </c>
      <c r="J1212" s="1">
        <v>4.19E-2</v>
      </c>
    </row>
    <row r="1214" spans="1:12">
      <c r="A1214" t="s">
        <v>380</v>
      </c>
    </row>
    <row r="1215" spans="1:12">
      <c r="A1215" t="s">
        <v>189</v>
      </c>
      <c r="B1215" t="s">
        <v>195</v>
      </c>
      <c r="C1215" t="s">
        <v>190</v>
      </c>
      <c r="D1215" t="s">
        <v>196</v>
      </c>
      <c r="E1215" t="s">
        <v>381</v>
      </c>
      <c r="F1215" t="s">
        <v>382</v>
      </c>
      <c r="G1215" t="s">
        <v>383</v>
      </c>
      <c r="H1215" t="s">
        <v>384</v>
      </c>
      <c r="I1215" t="s">
        <v>385</v>
      </c>
      <c r="J1215" t="s">
        <v>386</v>
      </c>
      <c r="K1215" t="s">
        <v>223</v>
      </c>
      <c r="L1215" t="s">
        <v>387</v>
      </c>
    </row>
    <row r="1216" spans="1:12">
      <c r="A1216" t="s">
        <v>197</v>
      </c>
      <c r="B1216">
        <v>968</v>
      </c>
      <c r="C1216" t="s">
        <v>198</v>
      </c>
      <c r="D1216">
        <v>968</v>
      </c>
      <c r="E1216" s="1">
        <v>0.02</v>
      </c>
      <c r="F1216" s="1">
        <v>2.9499999999999998E-2</v>
      </c>
      <c r="G1216" s="1">
        <v>1.7899999999999999E-2</v>
      </c>
      <c r="H1216" s="1">
        <v>7.1000000000000004E-3</v>
      </c>
      <c r="I1216" s="1">
        <v>6.8099999999999994E-2</v>
      </c>
      <c r="J1216" s="1">
        <v>0.60750000000000004</v>
      </c>
      <c r="K1216" s="1">
        <v>2.2000000000000001E-3</v>
      </c>
      <c r="L1216" s="1">
        <v>0.24779999999999999</v>
      </c>
    </row>
    <row r="1217" spans="1:13">
      <c r="A1217" t="s">
        <v>204</v>
      </c>
      <c r="B1217">
        <v>91</v>
      </c>
      <c r="C1217" t="s">
        <v>205</v>
      </c>
      <c r="D1217">
        <v>968</v>
      </c>
      <c r="E1217" s="1">
        <v>1.52E-2</v>
      </c>
      <c r="F1217" s="1">
        <v>5.8700000000000002E-2</v>
      </c>
      <c r="I1217" s="1">
        <v>8.7099999999999997E-2</v>
      </c>
      <c r="J1217" s="1">
        <v>0.60470000000000002</v>
      </c>
      <c r="L1217" s="1">
        <v>0.23430000000000001</v>
      </c>
    </row>
    <row r="1218" spans="1:13">
      <c r="A1218" t="s">
        <v>204</v>
      </c>
      <c r="B1218">
        <v>72</v>
      </c>
      <c r="C1218" t="s">
        <v>206</v>
      </c>
      <c r="D1218">
        <v>968</v>
      </c>
      <c r="E1218" s="1">
        <v>1.1599999999999999E-2</v>
      </c>
      <c r="F1218" s="1">
        <v>0.1371</v>
      </c>
      <c r="I1218" s="1">
        <v>2.3300000000000001E-2</v>
      </c>
      <c r="J1218" s="1">
        <v>0.51880000000000004</v>
      </c>
      <c r="L1218" s="1">
        <v>0.30919999999999997</v>
      </c>
    </row>
    <row r="1219" spans="1:13">
      <c r="A1219" t="s">
        <v>204</v>
      </c>
      <c r="B1219">
        <v>131</v>
      </c>
      <c r="C1219" t="s">
        <v>207</v>
      </c>
      <c r="D1219">
        <v>968</v>
      </c>
      <c r="E1219" s="1">
        <v>8.9999999999999998E-4</v>
      </c>
      <c r="F1219" s="1">
        <v>5.1999999999999998E-2</v>
      </c>
      <c r="G1219" s="1">
        <v>4.7E-2</v>
      </c>
      <c r="H1219" s="1">
        <v>4.5499999999999999E-2</v>
      </c>
      <c r="I1219" s="1">
        <v>1.29E-2</v>
      </c>
      <c r="J1219" s="1">
        <v>0.52159999999999995</v>
      </c>
      <c r="L1219" s="1">
        <v>0.32019999999999998</v>
      </c>
    </row>
    <row r="1220" spans="1:13">
      <c r="A1220" t="s">
        <v>204</v>
      </c>
      <c r="B1220">
        <v>74</v>
      </c>
      <c r="C1220" t="s">
        <v>208</v>
      </c>
      <c r="D1220">
        <v>968</v>
      </c>
      <c r="E1220" s="1">
        <v>2.7E-2</v>
      </c>
      <c r="F1220" s="1">
        <v>1.35E-2</v>
      </c>
      <c r="G1220" s="1">
        <v>2.7E-2</v>
      </c>
      <c r="I1220" s="1">
        <v>4.0500000000000001E-2</v>
      </c>
      <c r="J1220" s="1">
        <v>0.72970000000000002</v>
      </c>
      <c r="K1220" s="1">
        <v>1.35E-2</v>
      </c>
      <c r="L1220" s="1">
        <v>0.14860000000000001</v>
      </c>
    </row>
    <row r="1221" spans="1:13">
      <c r="A1221" t="s">
        <v>199</v>
      </c>
      <c r="B1221">
        <v>73</v>
      </c>
      <c r="C1221" t="s">
        <v>200</v>
      </c>
      <c r="D1221">
        <v>968</v>
      </c>
      <c r="H1221" s="1">
        <v>1.6000000000000001E-3</v>
      </c>
      <c r="I1221" s="1">
        <v>1.0999999999999999E-2</v>
      </c>
      <c r="J1221" s="1">
        <v>0.87090000000000001</v>
      </c>
      <c r="L1221" s="1">
        <v>0.11650000000000001</v>
      </c>
    </row>
    <row r="1222" spans="1:13">
      <c r="A1222" t="s">
        <v>199</v>
      </c>
      <c r="B1222">
        <v>96</v>
      </c>
      <c r="C1222" t="s">
        <v>201</v>
      </c>
      <c r="D1222">
        <v>968</v>
      </c>
      <c r="E1222" s="1">
        <v>4.1700000000000001E-2</v>
      </c>
      <c r="G1222" s="1">
        <v>2.0799999999999999E-2</v>
      </c>
      <c r="I1222" s="1">
        <v>4.1700000000000001E-2</v>
      </c>
      <c r="J1222" s="1">
        <v>0.66669999999999996</v>
      </c>
      <c r="L1222" s="1">
        <v>0.22919999999999999</v>
      </c>
    </row>
    <row r="1223" spans="1:13">
      <c r="A1223" t="s">
        <v>199</v>
      </c>
      <c r="B1223">
        <v>98</v>
      </c>
      <c r="C1223" t="s">
        <v>202</v>
      </c>
      <c r="D1223">
        <v>968</v>
      </c>
      <c r="E1223" s="1">
        <v>3.1699999999999999E-2</v>
      </c>
      <c r="F1223" s="1">
        <v>4.1599999999999998E-2</v>
      </c>
      <c r="G1223" s="1">
        <v>2.6599999999999999E-2</v>
      </c>
      <c r="I1223" s="1">
        <v>0.10630000000000001</v>
      </c>
      <c r="J1223" s="1">
        <v>0.52700000000000002</v>
      </c>
      <c r="K1223" s="1">
        <v>8.9999999999999993E-3</v>
      </c>
      <c r="L1223" s="1">
        <v>0.25779999999999997</v>
      </c>
    </row>
    <row r="1224" spans="1:13">
      <c r="A1224" t="s">
        <v>199</v>
      </c>
      <c r="B1224">
        <v>77</v>
      </c>
      <c r="C1224" t="s">
        <v>203</v>
      </c>
      <c r="D1224">
        <v>968</v>
      </c>
      <c r="E1224" s="1">
        <v>4.9099999999999998E-2</v>
      </c>
      <c r="F1224" s="1">
        <v>1.77E-2</v>
      </c>
      <c r="G1224" s="1">
        <v>8.2000000000000007E-3</v>
      </c>
      <c r="I1224" s="1">
        <v>6.0299999999999999E-2</v>
      </c>
      <c r="J1224" s="1">
        <v>0.60719999999999996</v>
      </c>
      <c r="L1224" s="1">
        <v>0.25740000000000002</v>
      </c>
    </row>
    <row r="1225" spans="1:13">
      <c r="A1225" t="s">
        <v>209</v>
      </c>
      <c r="B1225">
        <v>74</v>
      </c>
      <c r="C1225" t="s">
        <v>210</v>
      </c>
      <c r="D1225">
        <v>968</v>
      </c>
      <c r="E1225" s="1">
        <v>2.5999999999999999E-2</v>
      </c>
      <c r="F1225" s="1">
        <v>3.5299999999999998E-2</v>
      </c>
      <c r="H1225" s="1">
        <v>8.3000000000000001E-3</v>
      </c>
      <c r="I1225" s="1">
        <v>8.6400000000000005E-2</v>
      </c>
      <c r="J1225" s="1">
        <v>0.60970000000000002</v>
      </c>
      <c r="L1225" s="1">
        <v>0.23419999999999999</v>
      </c>
    </row>
    <row r="1226" spans="1:13">
      <c r="A1226" t="s">
        <v>209</v>
      </c>
      <c r="B1226">
        <v>97</v>
      </c>
      <c r="C1226" t="s">
        <v>211</v>
      </c>
      <c r="D1226">
        <v>968</v>
      </c>
      <c r="G1226" s="1">
        <v>1.41E-2</v>
      </c>
      <c r="I1226" s="1">
        <v>0.14030000000000001</v>
      </c>
      <c r="J1226" s="1">
        <v>0.57020000000000004</v>
      </c>
      <c r="L1226" s="1">
        <v>0.27539999999999998</v>
      </c>
    </row>
    <row r="1227" spans="1:13">
      <c r="A1227" t="s">
        <v>209</v>
      </c>
      <c r="B1227">
        <v>85</v>
      </c>
      <c r="C1227" t="s">
        <v>212</v>
      </c>
      <c r="D1227">
        <v>968</v>
      </c>
      <c r="E1227" s="1">
        <v>2.3999999999999998E-3</v>
      </c>
      <c r="I1227" s="1">
        <v>0.1101</v>
      </c>
      <c r="J1227" s="1">
        <v>0.62690000000000001</v>
      </c>
      <c r="L1227" s="1">
        <v>0.26050000000000001</v>
      </c>
    </row>
    <row r="1229" spans="1:13">
      <c r="A1229" t="s">
        <v>388</v>
      </c>
    </row>
    <row r="1230" spans="1:13">
      <c r="A1230" t="s">
        <v>214</v>
      </c>
      <c r="B1230" t="s">
        <v>189</v>
      </c>
      <c r="C1230" t="s">
        <v>195</v>
      </c>
      <c r="D1230" t="s">
        <v>190</v>
      </c>
      <c r="E1230" t="s">
        <v>196</v>
      </c>
      <c r="F1230" t="s">
        <v>381</v>
      </c>
      <c r="G1230" t="s">
        <v>382</v>
      </c>
      <c r="H1230" t="s">
        <v>383</v>
      </c>
      <c r="I1230" t="s">
        <v>384</v>
      </c>
      <c r="J1230" t="s">
        <v>385</v>
      </c>
      <c r="K1230" t="s">
        <v>386</v>
      </c>
      <c r="L1230" t="s">
        <v>223</v>
      </c>
      <c r="M1230" t="s">
        <v>387</v>
      </c>
    </row>
    <row r="1231" spans="1:13">
      <c r="A1231" t="s">
        <v>198</v>
      </c>
      <c r="B1231" t="s">
        <v>197</v>
      </c>
      <c r="C1231">
        <v>968</v>
      </c>
      <c r="D1231" t="s">
        <v>198</v>
      </c>
      <c r="E1231">
        <v>968</v>
      </c>
      <c r="F1231" s="1">
        <v>0.02</v>
      </c>
      <c r="G1231" s="1">
        <v>2.9499999999999998E-2</v>
      </c>
      <c r="H1231" s="1">
        <v>1.7899999999999999E-2</v>
      </c>
      <c r="I1231" s="1">
        <v>7.1000000000000004E-3</v>
      </c>
      <c r="J1231" s="1">
        <v>6.8099999999999994E-2</v>
      </c>
      <c r="K1231" s="1">
        <v>0.60750000000000004</v>
      </c>
      <c r="L1231" s="1">
        <v>2.2000000000000001E-3</v>
      </c>
      <c r="M1231" s="1">
        <v>0.24779999999999999</v>
      </c>
    </row>
    <row r="1232" spans="1:13">
      <c r="A1232" t="s">
        <v>235</v>
      </c>
      <c r="B1232" t="s">
        <v>204</v>
      </c>
      <c r="C1232">
        <v>63</v>
      </c>
      <c r="D1232" t="s">
        <v>208</v>
      </c>
      <c r="E1232">
        <v>968</v>
      </c>
      <c r="F1232" s="1">
        <v>3.1699999999999999E-2</v>
      </c>
      <c r="G1232" s="1">
        <v>1.5900000000000001E-2</v>
      </c>
      <c r="H1232" s="1">
        <v>3.1699999999999999E-2</v>
      </c>
      <c r="J1232" s="1">
        <v>3.1699999999999999E-2</v>
      </c>
      <c r="K1232" s="1">
        <v>0.69840000000000002</v>
      </c>
      <c r="L1232" s="1">
        <v>1.5900000000000001E-2</v>
      </c>
      <c r="M1232" s="1">
        <v>0.17460000000000001</v>
      </c>
    </row>
    <row r="1233" spans="1:13">
      <c r="A1233" t="s">
        <v>236</v>
      </c>
      <c r="B1233" t="s">
        <v>204</v>
      </c>
      <c r="C1233">
        <v>32</v>
      </c>
      <c r="D1233" t="s">
        <v>205</v>
      </c>
      <c r="E1233">
        <v>968</v>
      </c>
      <c r="J1233" s="1">
        <v>7.6700000000000004E-2</v>
      </c>
      <c r="K1233" s="1">
        <v>0.49130000000000001</v>
      </c>
      <c r="M1233" s="1">
        <v>0.43190000000000001</v>
      </c>
    </row>
    <row r="1234" spans="1:13">
      <c r="A1234" t="s">
        <v>235</v>
      </c>
      <c r="B1234" t="s">
        <v>204</v>
      </c>
      <c r="C1234">
        <v>58</v>
      </c>
      <c r="D1234" t="s">
        <v>205</v>
      </c>
      <c r="E1234">
        <v>968</v>
      </c>
      <c r="F1234" s="1">
        <v>1.8499999999999999E-2</v>
      </c>
      <c r="G1234" s="1">
        <v>7.1599999999999997E-2</v>
      </c>
      <c r="J1234" s="1">
        <v>8.9700000000000002E-2</v>
      </c>
      <c r="K1234" s="1">
        <v>0.63109999999999999</v>
      </c>
      <c r="M1234" s="1">
        <v>0.18920000000000001</v>
      </c>
    </row>
    <row r="1235" spans="1:13" s="26" customFormat="1">
      <c r="A1235" s="26" t="s">
        <v>236</v>
      </c>
      <c r="B1235" s="26" t="s">
        <v>204</v>
      </c>
      <c r="C1235" s="26">
        <v>21</v>
      </c>
      <c r="D1235" s="26" t="s">
        <v>206</v>
      </c>
      <c r="E1235" s="26">
        <v>968</v>
      </c>
      <c r="F1235" s="27">
        <v>4.2799999999999998E-2</v>
      </c>
      <c r="G1235" s="27">
        <v>0.28170000000000001</v>
      </c>
      <c r="J1235" s="27">
        <v>4.2799999999999998E-2</v>
      </c>
      <c r="K1235" s="27">
        <v>0.5302</v>
      </c>
      <c r="M1235" s="27">
        <v>0.10249999999999999</v>
      </c>
    </row>
    <row r="1236" spans="1:13">
      <c r="A1236" t="s">
        <v>235</v>
      </c>
      <c r="B1236" t="s">
        <v>204</v>
      </c>
      <c r="C1236">
        <v>47</v>
      </c>
      <c r="D1236" t="s">
        <v>206</v>
      </c>
      <c r="E1236">
        <v>968</v>
      </c>
      <c r="G1236" s="1">
        <v>8.9300000000000004E-2</v>
      </c>
      <c r="J1236" s="1">
        <v>1.72E-2</v>
      </c>
      <c r="K1236" s="1">
        <v>0.50180000000000002</v>
      </c>
      <c r="M1236" s="1">
        <v>0.39169999999999999</v>
      </c>
    </row>
    <row r="1237" spans="1:13">
      <c r="A1237" t="s">
        <v>236</v>
      </c>
      <c r="B1237" t="s">
        <v>204</v>
      </c>
      <c r="C1237">
        <v>81</v>
      </c>
      <c r="D1237" t="s">
        <v>207</v>
      </c>
      <c r="E1237">
        <v>968</v>
      </c>
      <c r="G1237" s="1">
        <v>0.1158</v>
      </c>
      <c r="H1237" s="1">
        <v>3.7000000000000002E-3</v>
      </c>
      <c r="J1237" s="1">
        <v>4.4999999999999997E-3</v>
      </c>
      <c r="K1237" s="1">
        <v>0.59830000000000005</v>
      </c>
      <c r="M1237" s="1">
        <v>0.2777</v>
      </c>
    </row>
    <row r="1238" spans="1:13">
      <c r="A1238" t="s">
        <v>235</v>
      </c>
      <c r="B1238" t="s">
        <v>204</v>
      </c>
      <c r="C1238">
        <v>45</v>
      </c>
      <c r="D1238" t="s">
        <v>207</v>
      </c>
      <c r="E1238">
        <v>968</v>
      </c>
      <c r="F1238" s="1">
        <v>1.6000000000000001E-3</v>
      </c>
      <c r="G1238" s="1">
        <v>8.6E-3</v>
      </c>
      <c r="H1238" s="1">
        <v>7.8299999999999995E-2</v>
      </c>
      <c r="I1238" s="1">
        <v>7.8299999999999995E-2</v>
      </c>
      <c r="J1238" s="1">
        <v>1.9099999999999999E-2</v>
      </c>
      <c r="K1238" s="1">
        <v>0.46739999999999998</v>
      </c>
      <c r="M1238" s="1">
        <v>0.3468</v>
      </c>
    </row>
    <row r="1239" spans="1:13" s="26" customFormat="1">
      <c r="A1239" s="26" t="s">
        <v>236</v>
      </c>
      <c r="B1239" s="26" t="s">
        <v>204</v>
      </c>
      <c r="C1239" s="26">
        <v>11</v>
      </c>
      <c r="D1239" s="26" t="s">
        <v>208</v>
      </c>
      <c r="E1239" s="26">
        <v>968</v>
      </c>
      <c r="J1239" s="27">
        <v>9.0899999999999995E-2</v>
      </c>
      <c r="K1239" s="27">
        <v>0.90910000000000002</v>
      </c>
    </row>
    <row r="1240" spans="1:13">
      <c r="A1240" t="s">
        <v>235</v>
      </c>
      <c r="B1240" t="s">
        <v>199</v>
      </c>
      <c r="C1240">
        <v>44</v>
      </c>
      <c r="D1240" t="s">
        <v>203</v>
      </c>
      <c r="E1240">
        <v>968</v>
      </c>
      <c r="F1240" s="1">
        <v>6.6500000000000004E-2</v>
      </c>
      <c r="G1240" s="1">
        <v>1.5100000000000001E-2</v>
      </c>
      <c r="H1240" s="1">
        <v>1.3100000000000001E-2</v>
      </c>
      <c r="J1240" s="1">
        <v>7.1099999999999997E-2</v>
      </c>
      <c r="K1240" s="1">
        <v>0.56679999999999997</v>
      </c>
      <c r="M1240" s="1">
        <v>0.26729999999999998</v>
      </c>
    </row>
    <row r="1241" spans="1:13">
      <c r="A1241" t="s">
        <v>236</v>
      </c>
      <c r="B1241" t="s">
        <v>199</v>
      </c>
      <c r="C1241">
        <v>32</v>
      </c>
      <c r="D1241" t="s">
        <v>203</v>
      </c>
      <c r="E1241">
        <v>968</v>
      </c>
      <c r="F1241" s="1">
        <v>2.1499999999999998E-2</v>
      </c>
      <c r="G1241" s="1">
        <v>2.3900000000000001E-2</v>
      </c>
      <c r="J1241" s="1">
        <v>4.53E-2</v>
      </c>
      <c r="K1241" s="1">
        <v>0.64990000000000003</v>
      </c>
      <c r="M1241" s="1">
        <v>0.25940000000000002</v>
      </c>
    </row>
    <row r="1242" spans="1:13">
      <c r="A1242" t="s">
        <v>235</v>
      </c>
      <c r="B1242" t="s">
        <v>199</v>
      </c>
      <c r="C1242">
        <v>60</v>
      </c>
      <c r="D1242" t="s">
        <v>202</v>
      </c>
      <c r="E1242">
        <v>968</v>
      </c>
      <c r="F1242" s="1">
        <v>5.5199999999999999E-2</v>
      </c>
      <c r="G1242" s="1">
        <v>5.57E-2</v>
      </c>
      <c r="H1242" s="1">
        <v>2.3199999999999998E-2</v>
      </c>
      <c r="J1242" s="1">
        <v>6.0100000000000001E-2</v>
      </c>
      <c r="K1242" s="1">
        <v>0.5302</v>
      </c>
      <c r="L1242" s="1">
        <v>1.5800000000000002E-2</v>
      </c>
      <c r="M1242" s="1">
        <v>0.25969999999999999</v>
      </c>
    </row>
    <row r="1243" spans="1:13" s="26" customFormat="1">
      <c r="A1243" s="26" t="s">
        <v>236</v>
      </c>
      <c r="B1243" s="26" t="s">
        <v>199</v>
      </c>
      <c r="C1243" s="26">
        <v>24</v>
      </c>
      <c r="D1243" s="26" t="s">
        <v>200</v>
      </c>
      <c r="E1243" s="26">
        <v>968</v>
      </c>
      <c r="I1243" s="27">
        <v>3.3999999999999998E-3</v>
      </c>
      <c r="K1243" s="27">
        <v>0.98660000000000003</v>
      </c>
      <c r="M1243" s="27">
        <v>1.01E-2</v>
      </c>
    </row>
    <row r="1244" spans="1:13">
      <c r="A1244" t="s">
        <v>235</v>
      </c>
      <c r="B1244" t="s">
        <v>199</v>
      </c>
      <c r="C1244">
        <v>46</v>
      </c>
      <c r="D1244" t="s">
        <v>200</v>
      </c>
      <c r="E1244">
        <v>968</v>
      </c>
      <c r="J1244" s="1">
        <v>2.1000000000000001E-2</v>
      </c>
      <c r="K1244" s="1">
        <v>0.77249999999999996</v>
      </c>
      <c r="M1244" s="1">
        <v>0.20649999999999999</v>
      </c>
    </row>
    <row r="1245" spans="1:13">
      <c r="A1245" t="s">
        <v>236</v>
      </c>
      <c r="B1245" t="s">
        <v>199</v>
      </c>
      <c r="C1245">
        <v>37</v>
      </c>
      <c r="D1245" t="s">
        <v>202</v>
      </c>
      <c r="E1245">
        <v>968</v>
      </c>
      <c r="G1245" s="1">
        <v>2.3300000000000001E-2</v>
      </c>
      <c r="H1245" s="1">
        <v>3.2300000000000002E-2</v>
      </c>
      <c r="J1245" s="1">
        <v>0.1411</v>
      </c>
      <c r="K1245" s="1">
        <v>0.53990000000000005</v>
      </c>
      <c r="M1245" s="1">
        <v>0.26350000000000001</v>
      </c>
    </row>
    <row r="1246" spans="1:13">
      <c r="A1246" t="s">
        <v>235</v>
      </c>
      <c r="B1246" t="s">
        <v>199</v>
      </c>
      <c r="C1246">
        <v>96</v>
      </c>
      <c r="D1246" t="s">
        <v>201</v>
      </c>
      <c r="E1246">
        <v>968</v>
      </c>
      <c r="F1246" s="1">
        <v>4.1700000000000001E-2</v>
      </c>
      <c r="H1246" s="1">
        <v>2.0799999999999999E-2</v>
      </c>
      <c r="J1246" s="1">
        <v>4.1700000000000001E-2</v>
      </c>
      <c r="K1246" s="1">
        <v>0.66669999999999996</v>
      </c>
      <c r="M1246" s="1">
        <v>0.22919999999999999</v>
      </c>
    </row>
    <row r="1247" spans="1:13">
      <c r="A1247" t="s">
        <v>236</v>
      </c>
      <c r="B1247" t="s">
        <v>209</v>
      </c>
      <c r="C1247">
        <v>39</v>
      </c>
      <c r="D1247" t="s">
        <v>211</v>
      </c>
      <c r="E1247">
        <v>968</v>
      </c>
      <c r="H1247" s="1">
        <v>2.76E-2</v>
      </c>
      <c r="J1247" s="1">
        <v>0.1086</v>
      </c>
      <c r="K1247" s="1">
        <v>0.63049999999999995</v>
      </c>
      <c r="M1247" s="1">
        <v>0.23330000000000001</v>
      </c>
    </row>
    <row r="1248" spans="1:13">
      <c r="A1248" t="s">
        <v>235</v>
      </c>
      <c r="B1248" t="s">
        <v>209</v>
      </c>
      <c r="C1248">
        <v>56</v>
      </c>
      <c r="D1248" t="s">
        <v>211</v>
      </c>
      <c r="E1248">
        <v>968</v>
      </c>
      <c r="H1248" s="1">
        <v>6.8999999999999999E-3</v>
      </c>
      <c r="J1248" s="1">
        <v>0.1658</v>
      </c>
      <c r="K1248" s="1">
        <v>0.56330000000000002</v>
      </c>
      <c r="M1248" s="1">
        <v>0.26400000000000001</v>
      </c>
    </row>
    <row r="1249" spans="1:13">
      <c r="A1249" t="s">
        <v>235</v>
      </c>
      <c r="B1249" t="s">
        <v>209</v>
      </c>
      <c r="C1249">
        <v>67</v>
      </c>
      <c r="D1249" t="s">
        <v>212</v>
      </c>
      <c r="E1249">
        <v>968</v>
      </c>
      <c r="J1249" s="1">
        <v>6.7699999999999996E-2</v>
      </c>
      <c r="K1249" s="1">
        <v>0.65569999999999995</v>
      </c>
      <c r="M1249" s="1">
        <v>0.27660000000000001</v>
      </c>
    </row>
    <row r="1250" spans="1:13" s="26" customFormat="1">
      <c r="A1250" s="26" t="s">
        <v>236</v>
      </c>
      <c r="B1250" s="26" t="s">
        <v>209</v>
      </c>
      <c r="C1250" s="26">
        <v>18</v>
      </c>
      <c r="D1250" s="26" t="s">
        <v>212</v>
      </c>
      <c r="E1250" s="26">
        <v>968</v>
      </c>
      <c r="F1250" s="27">
        <v>1.77E-2</v>
      </c>
      <c r="J1250" s="27">
        <v>0.37509999999999999</v>
      </c>
      <c r="K1250" s="27">
        <v>0.4471</v>
      </c>
      <c r="M1250" s="27">
        <v>0.16009999999999999</v>
      </c>
    </row>
    <row r="1251" spans="1:13">
      <c r="A1251" t="s">
        <v>236</v>
      </c>
      <c r="B1251" t="s">
        <v>209</v>
      </c>
      <c r="C1251">
        <v>38</v>
      </c>
      <c r="D1251" t="s">
        <v>210</v>
      </c>
      <c r="E1251">
        <v>968</v>
      </c>
      <c r="F1251" s="1">
        <v>2.0299999999999999E-2</v>
      </c>
      <c r="I1251" s="1">
        <v>2.0299999999999999E-2</v>
      </c>
      <c r="J1251" s="1">
        <v>0.16750000000000001</v>
      </c>
      <c r="K1251" s="1">
        <v>0.66990000000000005</v>
      </c>
      <c r="M1251" s="1">
        <v>0.122</v>
      </c>
    </row>
    <row r="1252" spans="1:13">
      <c r="A1252" t="s">
        <v>235</v>
      </c>
      <c r="B1252" t="s">
        <v>209</v>
      </c>
      <c r="C1252">
        <v>32</v>
      </c>
      <c r="D1252" t="s">
        <v>210</v>
      </c>
      <c r="E1252">
        <v>968</v>
      </c>
      <c r="F1252" s="1">
        <v>3.2300000000000002E-2</v>
      </c>
      <c r="G1252" s="1">
        <v>6.4600000000000005E-2</v>
      </c>
      <c r="J1252" s="1">
        <v>3.2300000000000002E-2</v>
      </c>
      <c r="K1252" s="1">
        <v>0.5494</v>
      </c>
      <c r="M1252" s="1">
        <v>0.32140000000000002</v>
      </c>
    </row>
    <row r="1254" spans="1:13">
      <c r="A1254" t="s">
        <v>389</v>
      </c>
    </row>
    <row r="1255" spans="1:13">
      <c r="A1255" t="s">
        <v>189</v>
      </c>
      <c r="B1255" t="s">
        <v>195</v>
      </c>
      <c r="C1255" t="s">
        <v>190</v>
      </c>
      <c r="D1255" t="s">
        <v>196</v>
      </c>
      <c r="E1255" t="s">
        <v>228</v>
      </c>
      <c r="F1255" t="s">
        <v>390</v>
      </c>
      <c r="G1255" t="s">
        <v>223</v>
      </c>
      <c r="H1255" t="s">
        <v>391</v>
      </c>
      <c r="I1255" t="s">
        <v>392</v>
      </c>
    </row>
    <row r="1256" spans="1:13">
      <c r="A1256" t="s">
        <v>197</v>
      </c>
      <c r="B1256">
        <v>968</v>
      </c>
      <c r="C1256" t="s">
        <v>198</v>
      </c>
      <c r="D1256">
        <v>968</v>
      </c>
      <c r="E1256" s="1">
        <v>1E-3</v>
      </c>
      <c r="F1256" s="1">
        <v>8.2900000000000001E-2</v>
      </c>
      <c r="G1256" s="1">
        <v>5.0000000000000001E-4</v>
      </c>
      <c r="H1256" s="1">
        <v>0.70069999999999999</v>
      </c>
      <c r="I1256" s="1">
        <v>0.215</v>
      </c>
    </row>
    <row r="1257" spans="1:13">
      <c r="A1257" t="s">
        <v>204</v>
      </c>
      <c r="B1257">
        <v>91</v>
      </c>
      <c r="C1257" t="s">
        <v>205</v>
      </c>
      <c r="D1257">
        <v>968</v>
      </c>
      <c r="F1257" s="1">
        <v>8.3799999999999999E-2</v>
      </c>
      <c r="G1257" s="1">
        <v>2.3999999999999998E-3</v>
      </c>
      <c r="H1257" s="1">
        <v>0.80359999999999998</v>
      </c>
      <c r="I1257" s="1">
        <v>0.1101</v>
      </c>
    </row>
    <row r="1258" spans="1:13">
      <c r="A1258" t="s">
        <v>204</v>
      </c>
      <c r="B1258">
        <v>72</v>
      </c>
      <c r="C1258" t="s">
        <v>206</v>
      </c>
      <c r="D1258">
        <v>968</v>
      </c>
      <c r="F1258" s="1">
        <v>6.7500000000000004E-2</v>
      </c>
      <c r="H1258" s="1">
        <v>0.66269999999999996</v>
      </c>
      <c r="I1258" s="1">
        <v>0.26979999999999998</v>
      </c>
    </row>
    <row r="1259" spans="1:13">
      <c r="A1259" t="s">
        <v>204</v>
      </c>
      <c r="B1259">
        <v>131</v>
      </c>
      <c r="C1259" t="s">
        <v>207</v>
      </c>
      <c r="D1259">
        <v>968</v>
      </c>
      <c r="E1259" s="1">
        <v>5.7999999999999996E-3</v>
      </c>
      <c r="F1259" s="1">
        <v>0.1411</v>
      </c>
      <c r="H1259" s="1">
        <v>0.59540000000000004</v>
      </c>
      <c r="I1259" s="1">
        <v>0.2576</v>
      </c>
    </row>
    <row r="1260" spans="1:13">
      <c r="A1260" t="s">
        <v>204</v>
      </c>
      <c r="B1260">
        <v>74</v>
      </c>
      <c r="C1260" t="s">
        <v>208</v>
      </c>
      <c r="D1260">
        <v>968</v>
      </c>
      <c r="F1260" s="1">
        <v>4.0500000000000001E-2</v>
      </c>
      <c r="H1260" s="1">
        <v>0.77029999999999998</v>
      </c>
      <c r="I1260" s="1">
        <v>0.18920000000000001</v>
      </c>
    </row>
    <row r="1261" spans="1:13">
      <c r="A1261" t="s">
        <v>199</v>
      </c>
      <c r="B1261">
        <v>73</v>
      </c>
      <c r="C1261" t="s">
        <v>200</v>
      </c>
      <c r="D1261">
        <v>968</v>
      </c>
      <c r="E1261" s="1">
        <v>1.6000000000000001E-3</v>
      </c>
      <c r="F1261" s="1">
        <v>0.18429999999999999</v>
      </c>
      <c r="H1261" s="1">
        <v>0.63560000000000005</v>
      </c>
      <c r="I1261" s="1">
        <v>0.17849999999999999</v>
      </c>
    </row>
    <row r="1262" spans="1:13">
      <c r="A1262" t="s">
        <v>199</v>
      </c>
      <c r="B1262">
        <v>96</v>
      </c>
      <c r="C1262" t="s">
        <v>201</v>
      </c>
      <c r="D1262">
        <v>968</v>
      </c>
      <c r="F1262" s="1">
        <v>1.04E-2</v>
      </c>
      <c r="H1262" s="1">
        <v>0.77080000000000004</v>
      </c>
      <c r="I1262" s="1">
        <v>0.21879999999999999</v>
      </c>
    </row>
    <row r="1263" spans="1:13">
      <c r="A1263" t="s">
        <v>199</v>
      </c>
      <c r="B1263">
        <v>98</v>
      </c>
      <c r="C1263" t="s">
        <v>202</v>
      </c>
      <c r="D1263">
        <v>968</v>
      </c>
      <c r="F1263" s="1">
        <v>0.12590000000000001</v>
      </c>
      <c r="H1263" s="1">
        <v>0.60780000000000001</v>
      </c>
      <c r="I1263" s="1">
        <v>0.26629999999999998</v>
      </c>
    </row>
    <row r="1264" spans="1:13">
      <c r="A1264" t="s">
        <v>199</v>
      </c>
      <c r="B1264">
        <v>77</v>
      </c>
      <c r="C1264" t="s">
        <v>203</v>
      </c>
      <c r="D1264">
        <v>968</v>
      </c>
      <c r="F1264" s="1">
        <v>0.109</v>
      </c>
      <c r="H1264" s="1">
        <v>0.66049999999999998</v>
      </c>
      <c r="I1264" s="1">
        <v>0.23039999999999999</v>
      </c>
    </row>
    <row r="1265" spans="1:9">
      <c r="A1265" t="s">
        <v>209</v>
      </c>
      <c r="B1265">
        <v>74</v>
      </c>
      <c r="C1265" t="s">
        <v>210</v>
      </c>
      <c r="D1265">
        <v>968</v>
      </c>
      <c r="E1265" s="1">
        <v>8.3000000000000001E-3</v>
      </c>
      <c r="F1265" s="1">
        <v>0.15709999999999999</v>
      </c>
      <c r="H1265" s="1">
        <v>0.69510000000000005</v>
      </c>
      <c r="I1265" s="1">
        <v>0.1394</v>
      </c>
    </row>
    <row r="1266" spans="1:9">
      <c r="A1266" t="s">
        <v>209</v>
      </c>
      <c r="B1266">
        <v>97</v>
      </c>
      <c r="C1266" t="s">
        <v>211</v>
      </c>
      <c r="D1266">
        <v>968</v>
      </c>
      <c r="F1266" s="1">
        <v>9.7900000000000001E-2</v>
      </c>
      <c r="H1266" s="1">
        <v>0.68969999999999998</v>
      </c>
      <c r="I1266" s="1">
        <v>0.21240000000000001</v>
      </c>
    </row>
    <row r="1267" spans="1:9">
      <c r="A1267" t="s">
        <v>209</v>
      </c>
      <c r="B1267">
        <v>85</v>
      </c>
      <c r="C1267" t="s">
        <v>212</v>
      </c>
      <c r="D1267">
        <v>968</v>
      </c>
      <c r="F1267" s="1">
        <v>4.9399999999999999E-2</v>
      </c>
      <c r="H1267" s="1">
        <v>0.65429999999999999</v>
      </c>
      <c r="I1267" s="1">
        <v>0.2964</v>
      </c>
    </row>
    <row r="1269" spans="1:9">
      <c r="A1269" t="s">
        <v>393</v>
      </c>
    </row>
    <row r="1270" spans="1:9">
      <c r="A1270" t="s">
        <v>189</v>
      </c>
      <c r="B1270" t="s">
        <v>195</v>
      </c>
      <c r="C1270" t="s">
        <v>190</v>
      </c>
      <c r="D1270" t="s">
        <v>196</v>
      </c>
      <c r="E1270" t="s">
        <v>228</v>
      </c>
      <c r="F1270" t="s">
        <v>215</v>
      </c>
      <c r="G1270" t="s">
        <v>216</v>
      </c>
    </row>
    <row r="1271" spans="1:9">
      <c r="A1271" t="s">
        <v>197</v>
      </c>
      <c r="B1271">
        <v>678</v>
      </c>
      <c r="C1271" t="s">
        <v>198</v>
      </c>
      <c r="D1271">
        <v>678</v>
      </c>
      <c r="E1271" s="1">
        <v>1.4E-3</v>
      </c>
      <c r="F1271" s="1">
        <v>5.3800000000000001E-2</v>
      </c>
      <c r="G1271" s="1">
        <v>0.94479999999999997</v>
      </c>
    </row>
    <row r="1272" spans="1:9">
      <c r="A1272" t="s">
        <v>204</v>
      </c>
      <c r="B1272">
        <v>49</v>
      </c>
      <c r="C1272" t="s">
        <v>205</v>
      </c>
      <c r="D1272">
        <v>678</v>
      </c>
      <c r="F1272" s="1">
        <v>8.5000000000000006E-2</v>
      </c>
      <c r="G1272" s="1">
        <v>0.91500000000000004</v>
      </c>
    </row>
    <row r="1273" spans="1:9">
      <c r="A1273" t="s">
        <v>204</v>
      </c>
      <c r="B1273">
        <v>64</v>
      </c>
      <c r="C1273" t="s">
        <v>206</v>
      </c>
      <c r="D1273">
        <v>678</v>
      </c>
      <c r="F1273" s="1">
        <v>0.1089</v>
      </c>
      <c r="G1273" s="1">
        <v>0.8911</v>
      </c>
    </row>
    <row r="1274" spans="1:9">
      <c r="A1274" t="s">
        <v>204</v>
      </c>
      <c r="B1274">
        <v>86</v>
      </c>
      <c r="C1274" t="s">
        <v>207</v>
      </c>
      <c r="D1274">
        <v>678</v>
      </c>
      <c r="F1274" s="1">
        <v>0.1032</v>
      </c>
      <c r="G1274" s="1">
        <v>0.89680000000000004</v>
      </c>
    </row>
    <row r="1275" spans="1:9">
      <c r="A1275" t="s">
        <v>204</v>
      </c>
      <c r="B1275">
        <v>47</v>
      </c>
      <c r="C1275" t="s">
        <v>208</v>
      </c>
      <c r="D1275">
        <v>678</v>
      </c>
      <c r="E1275" s="1">
        <v>2.1299999999999999E-2</v>
      </c>
      <c r="F1275" s="1">
        <v>0.10639999999999999</v>
      </c>
      <c r="G1275" s="1">
        <v>0.87229999999999996</v>
      </c>
    </row>
    <row r="1276" spans="1:9">
      <c r="A1276" t="s">
        <v>199</v>
      </c>
      <c r="B1276">
        <v>41</v>
      </c>
      <c r="C1276" t="s">
        <v>200</v>
      </c>
      <c r="D1276">
        <v>678</v>
      </c>
      <c r="G1276" s="1">
        <v>1</v>
      </c>
    </row>
    <row r="1277" spans="1:9">
      <c r="A1277" t="s">
        <v>199</v>
      </c>
      <c r="B1277">
        <v>73</v>
      </c>
      <c r="C1277" t="s">
        <v>201</v>
      </c>
      <c r="D1277">
        <v>678</v>
      </c>
      <c r="G1277" s="1">
        <v>1</v>
      </c>
    </row>
    <row r="1278" spans="1:9">
      <c r="A1278" t="s">
        <v>199</v>
      </c>
      <c r="B1278">
        <v>57</v>
      </c>
      <c r="C1278" t="s">
        <v>202</v>
      </c>
      <c r="D1278">
        <v>678</v>
      </c>
      <c r="F1278" s="1">
        <v>4.6399999999999997E-2</v>
      </c>
      <c r="G1278" s="1">
        <v>0.9536</v>
      </c>
    </row>
    <row r="1279" spans="1:9">
      <c r="A1279" t="s">
        <v>199</v>
      </c>
      <c r="B1279">
        <v>64</v>
      </c>
      <c r="C1279" t="s">
        <v>203</v>
      </c>
      <c r="D1279">
        <v>678</v>
      </c>
      <c r="F1279" s="1">
        <v>0.1883</v>
      </c>
      <c r="G1279" s="1">
        <v>0.81169999999999998</v>
      </c>
    </row>
    <row r="1280" spans="1:9">
      <c r="A1280" t="s">
        <v>209</v>
      </c>
      <c r="B1280">
        <v>54</v>
      </c>
      <c r="C1280" t="s">
        <v>210</v>
      </c>
      <c r="D1280">
        <v>678</v>
      </c>
      <c r="F1280" s="1">
        <v>6.1600000000000002E-2</v>
      </c>
      <c r="G1280" s="1">
        <v>0.93840000000000001</v>
      </c>
    </row>
    <row r="1281" spans="1:8">
      <c r="A1281" t="s">
        <v>209</v>
      </c>
      <c r="B1281">
        <v>80</v>
      </c>
      <c r="C1281" t="s">
        <v>211</v>
      </c>
      <c r="D1281">
        <v>678</v>
      </c>
      <c r="F1281" s="1">
        <v>5.9299999999999999E-2</v>
      </c>
      <c r="G1281" s="1">
        <v>0.94069999999999998</v>
      </c>
    </row>
    <row r="1282" spans="1:8">
      <c r="A1282" t="s">
        <v>209</v>
      </c>
      <c r="B1282">
        <v>63</v>
      </c>
      <c r="C1282" t="s">
        <v>212</v>
      </c>
      <c r="D1282">
        <v>678</v>
      </c>
      <c r="G1282" s="1">
        <v>1</v>
      </c>
    </row>
    <row r="1284" spans="1:8">
      <c r="A1284" t="s">
        <v>394</v>
      </c>
    </row>
    <row r="1285" spans="1:8">
      <c r="A1285" t="s">
        <v>214</v>
      </c>
      <c r="B1285" t="s">
        <v>189</v>
      </c>
      <c r="C1285" t="s">
        <v>195</v>
      </c>
      <c r="D1285" t="s">
        <v>190</v>
      </c>
      <c r="E1285" t="s">
        <v>196</v>
      </c>
      <c r="F1285" t="s">
        <v>228</v>
      </c>
      <c r="G1285" t="s">
        <v>215</v>
      </c>
      <c r="H1285" t="s">
        <v>216</v>
      </c>
    </row>
    <row r="1286" spans="1:8">
      <c r="A1286" t="s">
        <v>198</v>
      </c>
      <c r="B1286" t="s">
        <v>197</v>
      </c>
      <c r="C1286">
        <v>678</v>
      </c>
      <c r="D1286" t="s">
        <v>198</v>
      </c>
      <c r="E1286">
        <v>678</v>
      </c>
      <c r="F1286" s="1">
        <v>1.4E-3</v>
      </c>
      <c r="G1286" s="1">
        <v>5.3800000000000001E-2</v>
      </c>
      <c r="H1286" s="1">
        <v>0.94479999999999997</v>
      </c>
    </row>
    <row r="1287" spans="1:8" s="26" customFormat="1">
      <c r="A1287" s="26" t="s">
        <v>236</v>
      </c>
      <c r="B1287" s="26" t="s">
        <v>204</v>
      </c>
      <c r="C1287" s="26">
        <v>13</v>
      </c>
      <c r="D1287" s="26" t="s">
        <v>208</v>
      </c>
      <c r="E1287" s="26">
        <v>678</v>
      </c>
      <c r="H1287" s="27">
        <v>1</v>
      </c>
    </row>
    <row r="1288" spans="1:8" s="26" customFormat="1">
      <c r="A1288" s="26" t="s">
        <v>236</v>
      </c>
      <c r="B1288" s="26" t="s">
        <v>204</v>
      </c>
      <c r="C1288" s="26">
        <v>24</v>
      </c>
      <c r="D1288" s="26" t="s">
        <v>205</v>
      </c>
      <c r="E1288" s="26">
        <v>678</v>
      </c>
      <c r="G1288" s="27">
        <v>0.12939999999999999</v>
      </c>
      <c r="H1288" s="27">
        <v>0.87060000000000004</v>
      </c>
    </row>
    <row r="1289" spans="1:8" s="26" customFormat="1">
      <c r="A1289" s="26" t="s">
        <v>235</v>
      </c>
      <c r="B1289" s="26" t="s">
        <v>204</v>
      </c>
      <c r="C1289" s="26">
        <v>25</v>
      </c>
      <c r="D1289" s="26" t="s">
        <v>205</v>
      </c>
      <c r="E1289" s="26">
        <v>678</v>
      </c>
      <c r="G1289" s="27">
        <v>7.0599999999999996E-2</v>
      </c>
      <c r="H1289" s="27">
        <v>0.9294</v>
      </c>
    </row>
    <row r="1290" spans="1:8" s="26" customFormat="1">
      <c r="A1290" s="26" t="s">
        <v>236</v>
      </c>
      <c r="B1290" s="26" t="s">
        <v>204</v>
      </c>
      <c r="C1290" s="26">
        <v>25</v>
      </c>
      <c r="D1290" s="26" t="s">
        <v>206</v>
      </c>
      <c r="E1290" s="26">
        <v>678</v>
      </c>
      <c r="G1290" s="27">
        <v>0.11119999999999999</v>
      </c>
      <c r="H1290" s="27">
        <v>0.88880000000000003</v>
      </c>
    </row>
    <row r="1291" spans="1:8">
      <c r="A1291" t="s">
        <v>235</v>
      </c>
      <c r="B1291" t="s">
        <v>204</v>
      </c>
      <c r="C1291">
        <v>37</v>
      </c>
      <c r="D1291" t="s">
        <v>206</v>
      </c>
      <c r="E1291">
        <v>678</v>
      </c>
      <c r="G1291" s="1">
        <v>7.0599999999999996E-2</v>
      </c>
      <c r="H1291" s="1">
        <v>0.9294</v>
      </c>
    </row>
    <row r="1292" spans="1:8">
      <c r="A1292" t="s">
        <v>236</v>
      </c>
      <c r="B1292" t="s">
        <v>204</v>
      </c>
      <c r="C1292">
        <v>62</v>
      </c>
      <c r="D1292" t="s">
        <v>207</v>
      </c>
      <c r="E1292">
        <v>678</v>
      </c>
      <c r="G1292" s="1">
        <v>2.9399999999999999E-2</v>
      </c>
      <c r="H1292" s="1">
        <v>0.97060000000000002</v>
      </c>
    </row>
    <row r="1293" spans="1:8" s="26" customFormat="1">
      <c r="A1293" s="26" t="s">
        <v>235</v>
      </c>
      <c r="B1293" s="26" t="s">
        <v>204</v>
      </c>
      <c r="C1293" s="26">
        <v>20</v>
      </c>
      <c r="D1293" s="26" t="s">
        <v>207</v>
      </c>
      <c r="E1293" s="26">
        <v>678</v>
      </c>
      <c r="G1293" s="27">
        <v>0.15690000000000001</v>
      </c>
      <c r="H1293" s="27">
        <v>0.84309999999999996</v>
      </c>
    </row>
    <row r="1294" spans="1:8">
      <c r="A1294" t="s">
        <v>235</v>
      </c>
      <c r="B1294" t="s">
        <v>204</v>
      </c>
      <c r="C1294">
        <v>34</v>
      </c>
      <c r="D1294" t="s">
        <v>208</v>
      </c>
      <c r="E1294">
        <v>678</v>
      </c>
      <c r="F1294" s="1">
        <v>2.9399999999999999E-2</v>
      </c>
      <c r="G1294" s="1">
        <v>0.14710000000000001</v>
      </c>
      <c r="H1294" s="1">
        <v>0.82350000000000001</v>
      </c>
    </row>
    <row r="1295" spans="1:8">
      <c r="A1295" t="s">
        <v>236</v>
      </c>
      <c r="B1295" t="s">
        <v>199</v>
      </c>
      <c r="C1295">
        <v>35</v>
      </c>
      <c r="D1295" t="s">
        <v>203</v>
      </c>
      <c r="E1295">
        <v>678</v>
      </c>
      <c r="G1295" s="1">
        <v>0.42830000000000001</v>
      </c>
      <c r="H1295" s="1">
        <v>0.57169999999999999</v>
      </c>
    </row>
    <row r="1296" spans="1:8" s="26" customFormat="1">
      <c r="A1296" s="26" t="s">
        <v>235</v>
      </c>
      <c r="B1296" s="26" t="s">
        <v>199</v>
      </c>
      <c r="C1296" s="26">
        <v>28</v>
      </c>
      <c r="D1296" s="26" t="s">
        <v>203</v>
      </c>
      <c r="E1296" s="26">
        <v>678</v>
      </c>
      <c r="H1296" s="27">
        <v>1</v>
      </c>
    </row>
    <row r="1297" spans="1:8">
      <c r="A1297" t="s">
        <v>235</v>
      </c>
      <c r="B1297" t="s">
        <v>199</v>
      </c>
      <c r="C1297">
        <v>34</v>
      </c>
      <c r="D1297" t="s">
        <v>202</v>
      </c>
      <c r="E1297">
        <v>678</v>
      </c>
      <c r="G1297" s="1">
        <v>7.85E-2</v>
      </c>
      <c r="H1297" s="1">
        <v>0.92149999999999999</v>
      </c>
    </row>
    <row r="1298" spans="1:8" s="26" customFormat="1">
      <c r="A1298" s="26" t="s">
        <v>236</v>
      </c>
      <c r="B1298" s="26" t="s">
        <v>199</v>
      </c>
      <c r="C1298" s="26">
        <v>10</v>
      </c>
      <c r="D1298" s="26" t="s">
        <v>200</v>
      </c>
      <c r="E1298" s="26">
        <v>678</v>
      </c>
      <c r="H1298" s="27">
        <v>1</v>
      </c>
    </row>
    <row r="1299" spans="1:8" s="26" customFormat="1">
      <c r="A1299" s="26" t="s">
        <v>235</v>
      </c>
      <c r="B1299" s="26" t="s">
        <v>199</v>
      </c>
      <c r="C1299" s="26">
        <v>29</v>
      </c>
      <c r="D1299" s="26" t="s">
        <v>200</v>
      </c>
      <c r="E1299" s="26">
        <v>678</v>
      </c>
      <c r="H1299" s="27">
        <v>1</v>
      </c>
    </row>
    <row r="1300" spans="1:8" s="26" customFormat="1">
      <c r="A1300" s="26" t="s">
        <v>236</v>
      </c>
      <c r="B1300" s="26" t="s">
        <v>199</v>
      </c>
      <c r="C1300" s="26">
        <v>23</v>
      </c>
      <c r="D1300" s="26" t="s">
        <v>202</v>
      </c>
      <c r="E1300" s="26">
        <v>678</v>
      </c>
      <c r="H1300" s="27">
        <v>1</v>
      </c>
    </row>
    <row r="1301" spans="1:8">
      <c r="A1301" t="s">
        <v>235</v>
      </c>
      <c r="B1301" t="s">
        <v>199</v>
      </c>
      <c r="C1301">
        <v>73</v>
      </c>
      <c r="D1301" t="s">
        <v>201</v>
      </c>
      <c r="E1301">
        <v>678</v>
      </c>
      <c r="H1301" s="1">
        <v>1</v>
      </c>
    </row>
    <row r="1302" spans="1:8">
      <c r="A1302" t="s">
        <v>235</v>
      </c>
      <c r="B1302" t="s">
        <v>209</v>
      </c>
      <c r="C1302">
        <v>50</v>
      </c>
      <c r="D1302" t="s">
        <v>211</v>
      </c>
      <c r="E1302">
        <v>678</v>
      </c>
      <c r="G1302" s="1">
        <v>6.6299999999999998E-2</v>
      </c>
      <c r="H1302" s="1">
        <v>0.93369999999999997</v>
      </c>
    </row>
    <row r="1303" spans="1:8" s="26" customFormat="1">
      <c r="A1303" s="26" t="s">
        <v>236</v>
      </c>
      <c r="B1303" s="26" t="s">
        <v>209</v>
      </c>
      <c r="C1303" s="26">
        <v>27</v>
      </c>
      <c r="D1303" s="26" t="s">
        <v>211</v>
      </c>
      <c r="E1303" s="26">
        <v>678</v>
      </c>
      <c r="G1303" s="27">
        <v>5.5E-2</v>
      </c>
      <c r="H1303" s="27">
        <v>0.94499999999999995</v>
      </c>
    </row>
    <row r="1304" spans="1:8">
      <c r="A1304" t="s">
        <v>235</v>
      </c>
      <c r="B1304" t="s">
        <v>209</v>
      </c>
      <c r="C1304">
        <v>49</v>
      </c>
      <c r="D1304" t="s">
        <v>212</v>
      </c>
      <c r="E1304">
        <v>678</v>
      </c>
      <c r="H1304" s="1">
        <v>1</v>
      </c>
    </row>
    <row r="1305" spans="1:8" s="26" customFormat="1">
      <c r="A1305" s="26" t="s">
        <v>236</v>
      </c>
      <c r="B1305" s="26" t="s">
        <v>209</v>
      </c>
      <c r="C1305" s="26">
        <v>14</v>
      </c>
      <c r="D1305" s="26" t="s">
        <v>212</v>
      </c>
      <c r="E1305" s="26">
        <v>678</v>
      </c>
      <c r="H1305" s="27">
        <v>1</v>
      </c>
    </row>
    <row r="1306" spans="1:8" s="26" customFormat="1">
      <c r="A1306" s="26" t="s">
        <v>235</v>
      </c>
      <c r="B1306" s="26" t="s">
        <v>209</v>
      </c>
      <c r="C1306" s="26">
        <v>11</v>
      </c>
      <c r="D1306" s="26" t="s">
        <v>210</v>
      </c>
      <c r="E1306" s="26">
        <v>678</v>
      </c>
      <c r="H1306" s="27">
        <v>1</v>
      </c>
    </row>
    <row r="1307" spans="1:8">
      <c r="A1307" t="s">
        <v>236</v>
      </c>
      <c r="B1307" t="s">
        <v>209</v>
      </c>
      <c r="C1307">
        <v>38</v>
      </c>
      <c r="D1307" t="s">
        <v>210</v>
      </c>
      <c r="E1307">
        <v>678</v>
      </c>
      <c r="G1307" s="1">
        <v>9.74E-2</v>
      </c>
      <c r="H1307" s="1">
        <v>0.90259999999999996</v>
      </c>
    </row>
    <row r="1309" spans="1:8">
      <c r="A1309" t="s">
        <v>395</v>
      </c>
    </row>
    <row r="1310" spans="1:8">
      <c r="A1310" t="s">
        <v>189</v>
      </c>
      <c r="B1310" t="s">
        <v>195</v>
      </c>
      <c r="C1310" t="s">
        <v>190</v>
      </c>
      <c r="D1310" t="s">
        <v>196</v>
      </c>
      <c r="E1310" t="s">
        <v>396</v>
      </c>
      <c r="F1310" t="s">
        <v>397</v>
      </c>
      <c r="G1310" t="s">
        <v>398</v>
      </c>
    </row>
    <row r="1311" spans="1:8">
      <c r="A1311" t="s">
        <v>197</v>
      </c>
      <c r="B1311">
        <v>633</v>
      </c>
      <c r="C1311" t="s">
        <v>198</v>
      </c>
      <c r="D1311">
        <v>633</v>
      </c>
      <c r="E1311" s="1">
        <v>0.24079999999999999</v>
      </c>
      <c r="F1311" s="1">
        <v>0.2732</v>
      </c>
      <c r="G1311" s="1">
        <v>0.48609999999999998</v>
      </c>
    </row>
    <row r="1312" spans="1:8">
      <c r="A1312" t="s">
        <v>204</v>
      </c>
      <c r="B1312">
        <v>44</v>
      </c>
      <c r="C1312" t="s">
        <v>205</v>
      </c>
      <c r="D1312">
        <v>633</v>
      </c>
      <c r="E1312" s="1">
        <v>0.24329999999999999</v>
      </c>
      <c r="F1312" s="1">
        <v>0.1167</v>
      </c>
      <c r="G1312" s="1">
        <v>0.63990000000000002</v>
      </c>
    </row>
    <row r="1313" spans="1:8">
      <c r="A1313" t="s">
        <v>204</v>
      </c>
      <c r="B1313">
        <v>56</v>
      </c>
      <c r="C1313" t="s">
        <v>206</v>
      </c>
      <c r="D1313">
        <v>633</v>
      </c>
      <c r="E1313" s="1">
        <v>1.46E-2</v>
      </c>
      <c r="G1313" s="1">
        <v>0.98540000000000005</v>
      </c>
    </row>
    <row r="1314" spans="1:8">
      <c r="A1314" t="s">
        <v>204</v>
      </c>
      <c r="B1314">
        <v>82</v>
      </c>
      <c r="C1314" t="s">
        <v>207</v>
      </c>
      <c r="D1314">
        <v>633</v>
      </c>
      <c r="E1314" s="1">
        <v>9.6799999999999997E-2</v>
      </c>
      <c r="G1314" s="1">
        <v>0.9032</v>
      </c>
    </row>
    <row r="1315" spans="1:8">
      <c r="A1315" t="s">
        <v>204</v>
      </c>
      <c r="B1315">
        <v>41</v>
      </c>
      <c r="C1315" t="s">
        <v>208</v>
      </c>
      <c r="D1315">
        <v>633</v>
      </c>
      <c r="E1315" s="1">
        <v>2.4400000000000002E-2</v>
      </c>
      <c r="F1315" s="1">
        <v>0.122</v>
      </c>
      <c r="G1315" s="1">
        <v>0.85370000000000001</v>
      </c>
    </row>
    <row r="1316" spans="1:8">
      <c r="A1316" t="s">
        <v>199</v>
      </c>
      <c r="B1316">
        <v>41</v>
      </c>
      <c r="C1316" t="s">
        <v>200</v>
      </c>
      <c r="D1316">
        <v>633</v>
      </c>
      <c r="E1316" s="1">
        <v>0.52410000000000001</v>
      </c>
      <c r="F1316" s="1">
        <v>0.37769999999999998</v>
      </c>
      <c r="G1316" s="1">
        <v>9.8199999999999996E-2</v>
      </c>
    </row>
    <row r="1317" spans="1:8">
      <c r="A1317" t="s">
        <v>199</v>
      </c>
      <c r="B1317">
        <v>73</v>
      </c>
      <c r="C1317" t="s">
        <v>201</v>
      </c>
      <c r="D1317">
        <v>633</v>
      </c>
      <c r="E1317" s="1">
        <v>0.28770000000000001</v>
      </c>
      <c r="F1317" s="1">
        <v>0.50680000000000003</v>
      </c>
      <c r="G1317" s="1">
        <v>0.20549999999999999</v>
      </c>
    </row>
    <row r="1318" spans="1:8">
      <c r="A1318" t="s">
        <v>199</v>
      </c>
      <c r="B1318">
        <v>55</v>
      </c>
      <c r="C1318" t="s">
        <v>202</v>
      </c>
      <c r="D1318">
        <v>633</v>
      </c>
      <c r="E1318" s="1">
        <v>0.2833</v>
      </c>
      <c r="F1318" s="1">
        <v>0.35730000000000001</v>
      </c>
      <c r="G1318" s="1">
        <v>0.3594</v>
      </c>
    </row>
    <row r="1319" spans="1:8">
      <c r="A1319" t="s">
        <v>199</v>
      </c>
      <c r="B1319">
        <v>54</v>
      </c>
      <c r="C1319" t="s">
        <v>203</v>
      </c>
      <c r="D1319">
        <v>633</v>
      </c>
      <c r="E1319" s="1">
        <v>0.3548</v>
      </c>
      <c r="F1319" s="1">
        <v>0.15459999999999999</v>
      </c>
      <c r="G1319" s="1">
        <v>0.49059999999999998</v>
      </c>
    </row>
    <row r="1320" spans="1:8">
      <c r="A1320" t="s">
        <v>209</v>
      </c>
      <c r="B1320">
        <v>50</v>
      </c>
      <c r="C1320" t="s">
        <v>210</v>
      </c>
      <c r="D1320">
        <v>633</v>
      </c>
      <c r="E1320" s="1">
        <v>2.7199999999999998E-2</v>
      </c>
      <c r="F1320" s="1">
        <v>8.9800000000000005E-2</v>
      </c>
      <c r="G1320" s="1">
        <v>0.88300000000000001</v>
      </c>
    </row>
    <row r="1321" spans="1:8">
      <c r="A1321" t="s">
        <v>209</v>
      </c>
      <c r="B1321">
        <v>74</v>
      </c>
      <c r="C1321" t="s">
        <v>211</v>
      </c>
      <c r="D1321">
        <v>633</v>
      </c>
      <c r="E1321" s="1">
        <v>0.1211</v>
      </c>
      <c r="F1321" s="1">
        <v>0.21329999999999999</v>
      </c>
      <c r="G1321" s="1">
        <v>0.66559999999999997</v>
      </c>
    </row>
    <row r="1322" spans="1:8">
      <c r="A1322" t="s">
        <v>209</v>
      </c>
      <c r="B1322">
        <v>63</v>
      </c>
      <c r="C1322" t="s">
        <v>212</v>
      </c>
      <c r="D1322">
        <v>633</v>
      </c>
      <c r="E1322" s="1">
        <v>0.31580000000000003</v>
      </c>
      <c r="F1322" s="1">
        <v>0.28620000000000001</v>
      </c>
      <c r="G1322" s="1">
        <v>0.39800000000000002</v>
      </c>
    </row>
    <row r="1324" spans="1:8">
      <c r="A1324" t="s">
        <v>399</v>
      </c>
    </row>
    <row r="1325" spans="1:8">
      <c r="A1325" t="s">
        <v>214</v>
      </c>
      <c r="B1325" t="s">
        <v>189</v>
      </c>
      <c r="C1325" t="s">
        <v>195</v>
      </c>
      <c r="D1325" t="s">
        <v>190</v>
      </c>
      <c r="E1325" t="s">
        <v>196</v>
      </c>
      <c r="F1325" t="s">
        <v>396</v>
      </c>
      <c r="G1325" t="s">
        <v>397</v>
      </c>
      <c r="H1325" t="s">
        <v>398</v>
      </c>
    </row>
    <row r="1326" spans="1:8">
      <c r="A1326" t="s">
        <v>198</v>
      </c>
      <c r="B1326" t="s">
        <v>197</v>
      </c>
      <c r="C1326">
        <v>633</v>
      </c>
      <c r="D1326" t="s">
        <v>198</v>
      </c>
      <c r="E1326">
        <v>633</v>
      </c>
      <c r="F1326" s="1">
        <v>0.24079999999999999</v>
      </c>
      <c r="G1326" s="1">
        <v>0.2732</v>
      </c>
      <c r="H1326" s="1">
        <v>0.48609999999999998</v>
      </c>
    </row>
    <row r="1327" spans="1:8" s="26" customFormat="1">
      <c r="A1327" s="26" t="s">
        <v>235</v>
      </c>
      <c r="B1327" s="26" t="s">
        <v>204</v>
      </c>
      <c r="C1327" s="26">
        <v>28</v>
      </c>
      <c r="D1327" s="26" t="s">
        <v>208</v>
      </c>
      <c r="E1327" s="26">
        <v>633</v>
      </c>
      <c r="G1327" s="27">
        <v>0.17860000000000001</v>
      </c>
      <c r="H1327" s="27">
        <v>0.82140000000000002</v>
      </c>
    </row>
    <row r="1328" spans="1:8" s="26" customFormat="1">
      <c r="A1328" s="26" t="s">
        <v>236</v>
      </c>
      <c r="B1328" s="26" t="s">
        <v>204</v>
      </c>
      <c r="C1328" s="26">
        <v>22</v>
      </c>
      <c r="D1328" s="26" t="s">
        <v>205</v>
      </c>
      <c r="E1328" s="26">
        <v>633</v>
      </c>
      <c r="F1328" s="27">
        <v>3.3099999999999997E-2</v>
      </c>
      <c r="H1328" s="27">
        <v>0.96689999999999998</v>
      </c>
    </row>
    <row r="1329" spans="1:8" s="26" customFormat="1">
      <c r="A1329" s="26" t="s">
        <v>235</v>
      </c>
      <c r="B1329" s="26" t="s">
        <v>204</v>
      </c>
      <c r="C1329" s="26">
        <v>22</v>
      </c>
      <c r="D1329" s="26" t="s">
        <v>205</v>
      </c>
      <c r="E1329" s="26">
        <v>633</v>
      </c>
      <c r="F1329" s="27">
        <v>0.30719999999999997</v>
      </c>
      <c r="G1329" s="27">
        <v>0.1522</v>
      </c>
      <c r="H1329" s="27">
        <v>0.54069999999999996</v>
      </c>
    </row>
    <row r="1330" spans="1:8" s="26" customFormat="1">
      <c r="A1330" s="26" t="s">
        <v>236</v>
      </c>
      <c r="B1330" s="26" t="s">
        <v>204</v>
      </c>
      <c r="C1330" s="26">
        <v>22</v>
      </c>
      <c r="D1330" s="26" t="s">
        <v>206</v>
      </c>
      <c r="E1330" s="26">
        <v>633</v>
      </c>
      <c r="F1330" s="27">
        <v>4.1700000000000001E-2</v>
      </c>
      <c r="H1330" s="27">
        <v>0.95830000000000004</v>
      </c>
    </row>
    <row r="1331" spans="1:8">
      <c r="A1331" t="s">
        <v>235</v>
      </c>
      <c r="B1331" t="s">
        <v>204</v>
      </c>
      <c r="C1331">
        <v>34</v>
      </c>
      <c r="D1331" t="s">
        <v>206</v>
      </c>
      <c r="E1331">
        <v>633</v>
      </c>
      <c r="H1331" s="1">
        <v>1</v>
      </c>
    </row>
    <row r="1332" spans="1:8">
      <c r="A1332" t="s">
        <v>236</v>
      </c>
      <c r="B1332" t="s">
        <v>204</v>
      </c>
      <c r="C1332">
        <v>60</v>
      </c>
      <c r="D1332" t="s">
        <v>207</v>
      </c>
      <c r="E1332">
        <v>633</v>
      </c>
      <c r="F1332" s="1">
        <v>0.22639999999999999</v>
      </c>
      <c r="H1332" s="1">
        <v>0.77359999999999995</v>
      </c>
    </row>
    <row r="1333" spans="1:8" s="26" customFormat="1">
      <c r="A1333" s="26" t="s">
        <v>235</v>
      </c>
      <c r="B1333" s="26" t="s">
        <v>204</v>
      </c>
      <c r="C1333" s="26">
        <v>18</v>
      </c>
      <c r="D1333" s="26" t="s">
        <v>207</v>
      </c>
      <c r="E1333" s="26">
        <v>633</v>
      </c>
      <c r="H1333" s="27">
        <v>1</v>
      </c>
    </row>
    <row r="1334" spans="1:8" s="26" customFormat="1">
      <c r="A1334" s="26" t="s">
        <v>236</v>
      </c>
      <c r="B1334" s="26" t="s">
        <v>204</v>
      </c>
      <c r="C1334" s="26">
        <v>13</v>
      </c>
      <c r="D1334" s="26" t="s">
        <v>208</v>
      </c>
      <c r="E1334" s="26">
        <v>633</v>
      </c>
      <c r="F1334" s="27">
        <v>7.6899999999999996E-2</v>
      </c>
      <c r="H1334" s="27">
        <v>0.92310000000000003</v>
      </c>
    </row>
    <row r="1335" spans="1:8" s="26" customFormat="1">
      <c r="A1335" s="26" t="s">
        <v>235</v>
      </c>
      <c r="B1335" s="26" t="s">
        <v>199</v>
      </c>
      <c r="C1335" s="26">
        <v>28</v>
      </c>
      <c r="D1335" s="26" t="s">
        <v>203</v>
      </c>
      <c r="E1335" s="26">
        <v>633</v>
      </c>
      <c r="F1335" s="27">
        <v>0.36940000000000001</v>
      </c>
      <c r="G1335" s="27">
        <v>0.12529999999999999</v>
      </c>
      <c r="H1335" s="27">
        <v>0.50529999999999997</v>
      </c>
    </row>
    <row r="1336" spans="1:8" s="26" customFormat="1">
      <c r="A1336" s="26" t="s">
        <v>236</v>
      </c>
      <c r="B1336" s="26" t="s">
        <v>199</v>
      </c>
      <c r="C1336" s="26">
        <v>25</v>
      </c>
      <c r="D1336" s="26" t="s">
        <v>203</v>
      </c>
      <c r="E1336" s="26">
        <v>633</v>
      </c>
      <c r="F1336" s="27">
        <v>0.3639</v>
      </c>
      <c r="G1336" s="27">
        <v>0.12130000000000001</v>
      </c>
      <c r="H1336" s="27">
        <v>0.51480000000000004</v>
      </c>
    </row>
    <row r="1337" spans="1:8">
      <c r="A1337" t="s">
        <v>235</v>
      </c>
      <c r="B1337" t="s">
        <v>199</v>
      </c>
      <c r="C1337">
        <v>32</v>
      </c>
      <c r="D1337" t="s">
        <v>202</v>
      </c>
      <c r="E1337">
        <v>633</v>
      </c>
      <c r="F1337" s="1">
        <v>0.32519999999999999</v>
      </c>
      <c r="G1337" s="1">
        <v>0.39989999999999998</v>
      </c>
      <c r="H1337" s="1">
        <v>0.27479999999999999</v>
      </c>
    </row>
    <row r="1338" spans="1:8" s="26" customFormat="1">
      <c r="A1338" s="26" t="s">
        <v>236</v>
      </c>
      <c r="B1338" s="26" t="s">
        <v>199</v>
      </c>
      <c r="C1338" s="26">
        <v>10</v>
      </c>
      <c r="D1338" s="26" t="s">
        <v>200</v>
      </c>
      <c r="E1338" s="26">
        <v>633</v>
      </c>
      <c r="F1338" s="27">
        <v>0.69140000000000001</v>
      </c>
      <c r="G1338" s="27">
        <v>0.28199999999999997</v>
      </c>
      <c r="H1338" s="27">
        <v>2.6599999999999999E-2</v>
      </c>
    </row>
    <row r="1339" spans="1:8" s="26" customFormat="1">
      <c r="A1339" s="26" t="s">
        <v>235</v>
      </c>
      <c r="B1339" s="26" t="s">
        <v>199</v>
      </c>
      <c r="C1339" s="26">
        <v>29</v>
      </c>
      <c r="D1339" s="26" t="s">
        <v>200</v>
      </c>
      <c r="E1339" s="26">
        <v>633</v>
      </c>
      <c r="F1339" s="27">
        <v>0.42030000000000001</v>
      </c>
      <c r="G1339" s="27">
        <v>0.44169999999999998</v>
      </c>
      <c r="H1339" s="27">
        <v>0.13800000000000001</v>
      </c>
    </row>
    <row r="1340" spans="1:8" s="26" customFormat="1">
      <c r="A1340" s="26" t="s">
        <v>236</v>
      </c>
      <c r="B1340" s="26" t="s">
        <v>199</v>
      </c>
      <c r="C1340" s="26">
        <v>23</v>
      </c>
      <c r="D1340" s="26" t="s">
        <v>202</v>
      </c>
      <c r="E1340" s="26">
        <v>633</v>
      </c>
      <c r="F1340" s="27">
        <v>0.22750000000000001</v>
      </c>
      <c r="G1340" s="27">
        <v>0.3004</v>
      </c>
      <c r="H1340" s="27">
        <v>0.47210000000000002</v>
      </c>
    </row>
    <row r="1341" spans="1:8">
      <c r="A1341" t="s">
        <v>235</v>
      </c>
      <c r="B1341" t="s">
        <v>199</v>
      </c>
      <c r="C1341">
        <v>73</v>
      </c>
      <c r="D1341" t="s">
        <v>201</v>
      </c>
      <c r="E1341">
        <v>633</v>
      </c>
      <c r="F1341" s="1">
        <v>0.28770000000000001</v>
      </c>
      <c r="G1341" s="1">
        <v>0.50680000000000003</v>
      </c>
      <c r="H1341" s="1">
        <v>0.20549999999999999</v>
      </c>
    </row>
    <row r="1342" spans="1:8" s="26" customFormat="1">
      <c r="A1342" s="26" t="s">
        <v>236</v>
      </c>
      <c r="B1342" s="26" t="s">
        <v>209</v>
      </c>
      <c r="C1342" s="26">
        <v>25</v>
      </c>
      <c r="D1342" s="26" t="s">
        <v>211</v>
      </c>
      <c r="E1342" s="26">
        <v>633</v>
      </c>
      <c r="F1342" s="27">
        <v>0.19389999999999999</v>
      </c>
      <c r="G1342" s="27">
        <v>0.27279999999999999</v>
      </c>
      <c r="H1342" s="27">
        <v>0.5333</v>
      </c>
    </row>
    <row r="1343" spans="1:8">
      <c r="A1343" t="s">
        <v>235</v>
      </c>
      <c r="B1343" t="s">
        <v>209</v>
      </c>
      <c r="C1343">
        <v>46</v>
      </c>
      <c r="D1343" t="s">
        <v>211</v>
      </c>
      <c r="E1343">
        <v>633</v>
      </c>
      <c r="F1343" s="1">
        <v>3.6499999999999998E-2</v>
      </c>
      <c r="G1343" s="1">
        <v>0.20399999999999999</v>
      </c>
      <c r="H1343" s="1">
        <v>0.75949999999999995</v>
      </c>
    </row>
    <row r="1344" spans="1:8">
      <c r="A1344" t="s">
        <v>235</v>
      </c>
      <c r="B1344" t="s">
        <v>209</v>
      </c>
      <c r="C1344">
        <v>49</v>
      </c>
      <c r="D1344" t="s">
        <v>212</v>
      </c>
      <c r="E1344">
        <v>633</v>
      </c>
      <c r="F1344" s="1">
        <v>0.33250000000000002</v>
      </c>
      <c r="G1344" s="1">
        <v>0.27450000000000002</v>
      </c>
      <c r="H1344" s="1">
        <v>0.39300000000000002</v>
      </c>
    </row>
    <row r="1345" spans="1:18" s="26" customFormat="1">
      <c r="A1345" s="26" t="s">
        <v>236</v>
      </c>
      <c r="B1345" s="26" t="s">
        <v>209</v>
      </c>
      <c r="C1345" s="26">
        <v>14</v>
      </c>
      <c r="D1345" s="26" t="s">
        <v>212</v>
      </c>
      <c r="E1345" s="26">
        <v>633</v>
      </c>
      <c r="F1345" s="27">
        <v>0.20660000000000001</v>
      </c>
      <c r="G1345" s="27">
        <v>0.36280000000000001</v>
      </c>
      <c r="H1345" s="27">
        <v>0.43070000000000003</v>
      </c>
    </row>
    <row r="1346" spans="1:18" s="26" customFormat="1">
      <c r="A1346" s="26" t="s">
        <v>235</v>
      </c>
      <c r="B1346" s="26" t="s">
        <v>209</v>
      </c>
      <c r="C1346" s="26">
        <v>11</v>
      </c>
      <c r="D1346" s="26" t="s">
        <v>210</v>
      </c>
      <c r="E1346" s="26">
        <v>633</v>
      </c>
      <c r="H1346" s="27">
        <v>1</v>
      </c>
    </row>
    <row r="1347" spans="1:18">
      <c r="A1347" t="s">
        <v>236</v>
      </c>
      <c r="B1347" t="s">
        <v>209</v>
      </c>
      <c r="C1347">
        <v>34</v>
      </c>
      <c r="D1347" t="s">
        <v>210</v>
      </c>
      <c r="E1347">
        <v>633</v>
      </c>
      <c r="F1347" s="1">
        <v>4.4699999999999997E-2</v>
      </c>
      <c r="G1347" s="1">
        <v>0.14760000000000001</v>
      </c>
      <c r="H1347" s="1">
        <v>0.80769999999999997</v>
      </c>
    </row>
    <row r="1349" spans="1:18">
      <c r="A1349" t="s">
        <v>400</v>
      </c>
    </row>
    <row r="1350" spans="1:18">
      <c r="A1350" t="s">
        <v>189</v>
      </c>
      <c r="B1350" t="s">
        <v>195</v>
      </c>
      <c r="C1350" t="s">
        <v>190</v>
      </c>
      <c r="D1350" t="s">
        <v>196</v>
      </c>
      <c r="E1350" t="s">
        <v>401</v>
      </c>
      <c r="F1350" t="s">
        <v>402</v>
      </c>
      <c r="G1350" t="s">
        <v>403</v>
      </c>
      <c r="H1350" t="s">
        <v>404</v>
      </c>
      <c r="I1350" t="s">
        <v>405</v>
      </c>
      <c r="J1350" t="s">
        <v>406</v>
      </c>
      <c r="K1350" t="s">
        <v>407</v>
      </c>
      <c r="L1350" t="s">
        <v>408</v>
      </c>
      <c r="M1350" t="s">
        <v>409</v>
      </c>
      <c r="N1350" t="s">
        <v>410</v>
      </c>
      <c r="O1350" t="s">
        <v>411</v>
      </c>
      <c r="P1350" t="s">
        <v>412</v>
      </c>
      <c r="Q1350" t="s">
        <v>413</v>
      </c>
      <c r="R1350" t="s">
        <v>414</v>
      </c>
    </row>
    <row r="1351" spans="1:18">
      <c r="A1351" t="s">
        <v>197</v>
      </c>
      <c r="B1351">
        <v>633</v>
      </c>
      <c r="C1351" t="s">
        <v>198</v>
      </c>
      <c r="D1351">
        <v>633</v>
      </c>
      <c r="E1351" s="1">
        <v>6.8400000000000002E-2</v>
      </c>
      <c r="F1351" s="1">
        <v>3.0800000000000001E-2</v>
      </c>
      <c r="G1351" s="1">
        <v>6.5000000000000002E-2</v>
      </c>
      <c r="H1351" s="1">
        <v>0.1052</v>
      </c>
      <c r="I1351" s="1">
        <v>7.1199999999999999E-2</v>
      </c>
      <c r="J1351" s="1">
        <v>7.0300000000000001E-2</v>
      </c>
      <c r="K1351" s="1">
        <v>9.4500000000000001E-2</v>
      </c>
      <c r="L1351" s="1">
        <v>0.1048</v>
      </c>
      <c r="M1351" s="1">
        <v>5.96E-2</v>
      </c>
      <c r="N1351" s="1">
        <v>9.8699999999999996E-2</v>
      </c>
      <c r="O1351" s="1">
        <v>7.0499999999999993E-2</v>
      </c>
      <c r="P1351" s="1">
        <v>8.72E-2</v>
      </c>
      <c r="Q1351" s="1">
        <v>2.0299999999999999E-2</v>
      </c>
      <c r="R1351" s="1">
        <v>5.3199999999999997E-2</v>
      </c>
    </row>
    <row r="1352" spans="1:18">
      <c r="A1352" t="s">
        <v>204</v>
      </c>
      <c r="B1352">
        <v>44</v>
      </c>
      <c r="C1352" t="s">
        <v>205</v>
      </c>
      <c r="D1352">
        <v>633</v>
      </c>
      <c r="E1352" s="1">
        <v>6.5000000000000002E-2</v>
      </c>
      <c r="F1352" s="1">
        <v>1.54E-2</v>
      </c>
      <c r="H1352" s="1">
        <v>0.111</v>
      </c>
      <c r="I1352" s="1">
        <v>3.09E-2</v>
      </c>
      <c r="J1352" s="1">
        <v>3.8100000000000002E-2</v>
      </c>
      <c r="K1352" s="1">
        <v>0.13220000000000001</v>
      </c>
      <c r="L1352" s="1">
        <v>0.11169999999999999</v>
      </c>
      <c r="M1352" s="1">
        <v>5.8200000000000002E-2</v>
      </c>
      <c r="N1352" s="1">
        <v>0.1167</v>
      </c>
      <c r="O1352" s="1">
        <v>9.8599999999999993E-2</v>
      </c>
      <c r="P1352" s="1">
        <v>0.161</v>
      </c>
      <c r="Q1352" s="1">
        <v>7.7000000000000002E-3</v>
      </c>
      <c r="R1352" s="1">
        <v>5.3499999999999999E-2</v>
      </c>
    </row>
    <row r="1353" spans="1:18">
      <c r="A1353" t="s">
        <v>204</v>
      </c>
      <c r="B1353">
        <v>56</v>
      </c>
      <c r="C1353" t="s">
        <v>206</v>
      </c>
      <c r="D1353">
        <v>633</v>
      </c>
      <c r="E1353" s="1">
        <v>4.07E-2</v>
      </c>
      <c r="F1353" s="1">
        <v>2.0299999999999999E-2</v>
      </c>
      <c r="G1353" s="1">
        <v>2.0299999999999999E-2</v>
      </c>
      <c r="H1353" s="1">
        <v>0.1047</v>
      </c>
      <c r="I1353" s="1">
        <v>9.5899999999999999E-2</v>
      </c>
      <c r="J1353" s="1">
        <v>6.9800000000000001E-2</v>
      </c>
      <c r="K1353" s="1">
        <v>9.01E-2</v>
      </c>
      <c r="L1353" s="1">
        <v>0.189</v>
      </c>
      <c r="M1353" s="1">
        <v>9.01E-2</v>
      </c>
      <c r="N1353" s="1">
        <v>7.8600000000000003E-2</v>
      </c>
      <c r="O1353" s="1">
        <v>3.49E-2</v>
      </c>
      <c r="P1353" s="1">
        <v>6.0999999999999999E-2</v>
      </c>
      <c r="Q1353" s="1">
        <v>1.46E-2</v>
      </c>
      <c r="R1353" s="1">
        <v>9.01E-2</v>
      </c>
    </row>
    <row r="1354" spans="1:18">
      <c r="A1354" t="s">
        <v>204</v>
      </c>
      <c r="B1354">
        <v>82</v>
      </c>
      <c r="C1354" t="s">
        <v>207</v>
      </c>
      <c r="D1354">
        <v>633</v>
      </c>
      <c r="E1354" s="1">
        <v>3.44E-2</v>
      </c>
      <c r="F1354" s="1">
        <v>2.12E-2</v>
      </c>
      <c r="G1354" s="1">
        <v>0.2089</v>
      </c>
      <c r="H1354" s="1">
        <v>0.1381</v>
      </c>
      <c r="I1354" s="1">
        <v>4.8899999999999999E-2</v>
      </c>
      <c r="J1354" s="1">
        <v>3.0800000000000001E-2</v>
      </c>
      <c r="K1354" s="1">
        <v>0.13619999999999999</v>
      </c>
      <c r="L1354" s="1">
        <v>0.12470000000000001</v>
      </c>
      <c r="M1354" s="1">
        <v>3.9699999999999999E-2</v>
      </c>
      <c r="N1354" s="1">
        <v>0.113</v>
      </c>
      <c r="O1354" s="1">
        <v>4.8800000000000003E-2</v>
      </c>
      <c r="P1354" s="1">
        <v>3.2199999999999999E-2</v>
      </c>
      <c r="R1354" s="1">
        <v>2.3199999999999998E-2</v>
      </c>
    </row>
    <row r="1355" spans="1:18">
      <c r="A1355" t="s">
        <v>204</v>
      </c>
      <c r="B1355">
        <v>41</v>
      </c>
      <c r="C1355" t="s">
        <v>208</v>
      </c>
      <c r="D1355">
        <v>633</v>
      </c>
      <c r="E1355" s="1">
        <v>4.8800000000000003E-2</v>
      </c>
      <c r="F1355" s="1">
        <v>2.4400000000000002E-2</v>
      </c>
      <c r="G1355" s="1">
        <v>4.8800000000000003E-2</v>
      </c>
      <c r="H1355" s="1">
        <v>0.122</v>
      </c>
      <c r="I1355" s="1">
        <v>9.7600000000000006E-2</v>
      </c>
      <c r="J1355" s="1">
        <v>7.3200000000000001E-2</v>
      </c>
      <c r="K1355" s="1">
        <v>2.4400000000000002E-2</v>
      </c>
      <c r="L1355" s="1">
        <v>7.3200000000000001E-2</v>
      </c>
      <c r="M1355" s="1">
        <v>9.7600000000000006E-2</v>
      </c>
      <c r="N1355" s="1">
        <v>7.3200000000000001E-2</v>
      </c>
      <c r="O1355" s="1">
        <v>0.122</v>
      </c>
      <c r="P1355" s="1">
        <v>9.7600000000000006E-2</v>
      </c>
      <c r="R1355" s="1">
        <v>9.7600000000000006E-2</v>
      </c>
    </row>
    <row r="1356" spans="1:18">
      <c r="A1356" t="s">
        <v>199</v>
      </c>
      <c r="B1356">
        <v>41</v>
      </c>
      <c r="C1356" t="s">
        <v>200</v>
      </c>
      <c r="D1356">
        <v>633</v>
      </c>
      <c r="E1356" s="1">
        <v>6.5100000000000005E-2</v>
      </c>
      <c r="F1356" s="1">
        <v>4.1000000000000003E-3</v>
      </c>
      <c r="G1356" s="1">
        <v>6.0900000000000003E-2</v>
      </c>
      <c r="H1356" s="1">
        <v>2.0999999999999999E-3</v>
      </c>
      <c r="I1356" s="1">
        <v>0.1119</v>
      </c>
      <c r="J1356" s="1">
        <v>0.18149999999999999</v>
      </c>
      <c r="K1356" s="1">
        <v>6.1999999999999998E-3</v>
      </c>
      <c r="L1356" s="1">
        <v>6.3E-2</v>
      </c>
      <c r="M1356" s="1">
        <v>6.5100000000000005E-2</v>
      </c>
      <c r="N1356" s="1">
        <v>0.17699999999999999</v>
      </c>
      <c r="O1356" s="1">
        <v>8.3000000000000001E-3</v>
      </c>
      <c r="P1356" s="1">
        <v>0.25280000000000002</v>
      </c>
      <c r="R1356" s="1">
        <v>2.0999999999999999E-3</v>
      </c>
    </row>
    <row r="1357" spans="1:18">
      <c r="A1357" t="s">
        <v>199</v>
      </c>
      <c r="B1357">
        <v>73</v>
      </c>
      <c r="C1357" t="s">
        <v>201</v>
      </c>
      <c r="D1357">
        <v>633</v>
      </c>
      <c r="E1357" s="1">
        <v>8.2199999999999995E-2</v>
      </c>
      <c r="F1357" s="1">
        <v>2.7400000000000001E-2</v>
      </c>
      <c r="G1357" s="1">
        <v>1.37E-2</v>
      </c>
      <c r="H1357" s="1">
        <v>0.1096</v>
      </c>
      <c r="I1357" s="1">
        <v>6.8500000000000005E-2</v>
      </c>
      <c r="J1357" s="1">
        <v>5.4800000000000001E-2</v>
      </c>
      <c r="K1357" s="1">
        <v>9.5899999999999999E-2</v>
      </c>
      <c r="L1357" s="1">
        <v>0.13700000000000001</v>
      </c>
      <c r="M1357" s="1">
        <v>5.4800000000000001E-2</v>
      </c>
      <c r="N1357" s="1">
        <v>0.12330000000000001</v>
      </c>
      <c r="O1357" s="1">
        <v>5.4800000000000001E-2</v>
      </c>
      <c r="P1357" s="1">
        <v>0.1096</v>
      </c>
      <c r="Q1357" s="1">
        <v>4.1099999999999998E-2</v>
      </c>
      <c r="R1357" s="1">
        <v>2.7400000000000001E-2</v>
      </c>
    </row>
    <row r="1358" spans="1:18">
      <c r="A1358" t="s">
        <v>199</v>
      </c>
      <c r="B1358">
        <v>55</v>
      </c>
      <c r="C1358" t="s">
        <v>202</v>
      </c>
      <c r="D1358">
        <v>633</v>
      </c>
      <c r="E1358" s="1">
        <v>7.7799999999999994E-2</v>
      </c>
      <c r="F1358" s="1">
        <v>7.2999999999999995E-2</v>
      </c>
      <c r="G1358" s="1">
        <v>9.64E-2</v>
      </c>
      <c r="H1358" s="1">
        <v>7.2700000000000001E-2</v>
      </c>
      <c r="I1358" s="1">
        <v>9.35E-2</v>
      </c>
      <c r="J1358" s="1">
        <v>5.6399999999999999E-2</v>
      </c>
      <c r="K1358" s="1">
        <v>0.10970000000000001</v>
      </c>
      <c r="L1358" s="1">
        <v>0.10199999999999999</v>
      </c>
      <c r="M1358" s="1">
        <v>6.2899999999999998E-2</v>
      </c>
      <c r="O1358" s="1">
        <v>7.8700000000000006E-2</v>
      </c>
      <c r="P1358" s="1">
        <v>4.7199999999999999E-2</v>
      </c>
      <c r="Q1358" s="1">
        <v>3.2599999999999997E-2</v>
      </c>
      <c r="R1358" s="1">
        <v>9.7000000000000003E-2</v>
      </c>
    </row>
    <row r="1359" spans="1:18">
      <c r="A1359" t="s">
        <v>199</v>
      </c>
      <c r="B1359">
        <v>54</v>
      </c>
      <c r="C1359" t="s">
        <v>203</v>
      </c>
      <c r="D1359">
        <v>633</v>
      </c>
      <c r="E1359" s="1">
        <v>1.0699999999999999E-2</v>
      </c>
      <c r="F1359" s="1">
        <v>6.9800000000000001E-2</v>
      </c>
      <c r="G1359" s="1">
        <v>7.2400000000000006E-2</v>
      </c>
      <c r="H1359" s="1">
        <v>0.1047</v>
      </c>
      <c r="I1359" s="1">
        <v>3.8100000000000002E-2</v>
      </c>
      <c r="J1359" s="1">
        <v>0.1401</v>
      </c>
      <c r="K1359" s="1">
        <v>0.1138</v>
      </c>
      <c r="L1359" s="1">
        <v>0.1842</v>
      </c>
      <c r="M1359" s="1">
        <v>9.4399999999999998E-2</v>
      </c>
      <c r="N1359" s="1">
        <v>2.3099999999999999E-2</v>
      </c>
      <c r="O1359" s="1">
        <v>5.6899999999999999E-2</v>
      </c>
      <c r="P1359" s="1">
        <v>9.5999999999999992E-3</v>
      </c>
      <c r="Q1359" s="1">
        <v>3.49E-2</v>
      </c>
      <c r="R1359" s="1">
        <v>4.7199999999999999E-2</v>
      </c>
    </row>
    <row r="1360" spans="1:18">
      <c r="A1360" t="s">
        <v>209</v>
      </c>
      <c r="B1360">
        <v>50</v>
      </c>
      <c r="C1360" t="s">
        <v>210</v>
      </c>
      <c r="D1360">
        <v>633</v>
      </c>
      <c r="E1360" s="1">
        <v>7.85E-2</v>
      </c>
      <c r="F1360" s="1">
        <v>0.08</v>
      </c>
      <c r="G1360" s="1">
        <v>0.04</v>
      </c>
      <c r="H1360" s="1">
        <v>2.7199999999999998E-2</v>
      </c>
      <c r="I1360" s="1">
        <v>0.08</v>
      </c>
      <c r="J1360" s="1">
        <v>5.28E-2</v>
      </c>
      <c r="K1360" s="1">
        <v>9.4299999999999995E-2</v>
      </c>
      <c r="L1360" s="1">
        <v>0.1072</v>
      </c>
      <c r="M1360" s="1">
        <v>9.2799999999999994E-2</v>
      </c>
      <c r="N1360" s="1">
        <v>9.2799999999999994E-2</v>
      </c>
      <c r="O1360" s="1">
        <v>5.28E-2</v>
      </c>
      <c r="P1360" s="1">
        <v>6.7199999999999996E-2</v>
      </c>
      <c r="R1360" s="1">
        <v>0.1343</v>
      </c>
    </row>
    <row r="1361" spans="1:18">
      <c r="A1361" t="s">
        <v>209</v>
      </c>
      <c r="B1361">
        <v>74</v>
      </c>
      <c r="C1361" t="s">
        <v>211</v>
      </c>
      <c r="D1361">
        <v>633</v>
      </c>
      <c r="E1361" s="1">
        <v>5.8099999999999999E-2</v>
      </c>
      <c r="F1361" s="1">
        <v>3.44E-2</v>
      </c>
      <c r="G1361" s="1">
        <v>2.7699999999999999E-2</v>
      </c>
      <c r="H1361" s="1">
        <v>0.13719999999999999</v>
      </c>
      <c r="I1361" s="1">
        <v>0.08</v>
      </c>
      <c r="J1361" s="1">
        <v>9.7900000000000001E-2</v>
      </c>
      <c r="K1361" s="1">
        <v>9.9199999999999997E-2</v>
      </c>
      <c r="L1361" s="1">
        <v>8.2699999999999996E-2</v>
      </c>
      <c r="M1361" s="1">
        <v>2.06E-2</v>
      </c>
      <c r="N1361" s="1">
        <v>9.4799999999999995E-2</v>
      </c>
      <c r="O1361" s="1">
        <v>6.4799999999999996E-2</v>
      </c>
      <c r="P1361" s="1">
        <v>0.12970000000000001</v>
      </c>
      <c r="R1361" s="1">
        <v>7.2800000000000004E-2</v>
      </c>
    </row>
    <row r="1362" spans="1:18">
      <c r="A1362" t="s">
        <v>209</v>
      </c>
      <c r="B1362">
        <v>63</v>
      </c>
      <c r="C1362" t="s">
        <v>212</v>
      </c>
      <c r="D1362">
        <v>633</v>
      </c>
      <c r="E1362" s="1">
        <v>0.1048</v>
      </c>
      <c r="F1362" s="1">
        <v>7.7000000000000002E-3</v>
      </c>
      <c r="G1362" s="1">
        <v>7.85E-2</v>
      </c>
      <c r="H1362" s="1">
        <v>0.1048</v>
      </c>
      <c r="I1362" s="1">
        <v>8.8499999999999995E-2</v>
      </c>
      <c r="J1362" s="1">
        <v>0.1081</v>
      </c>
      <c r="K1362" s="1">
        <v>5.3699999999999998E-2</v>
      </c>
      <c r="L1362" s="1">
        <v>2.23E-2</v>
      </c>
      <c r="M1362" s="1">
        <v>6.6799999999999998E-2</v>
      </c>
      <c r="N1362" s="1">
        <v>0.15090000000000001</v>
      </c>
      <c r="O1362" s="1">
        <v>9.35E-2</v>
      </c>
      <c r="P1362" s="1">
        <v>4.1300000000000003E-2</v>
      </c>
      <c r="Q1362" s="1">
        <v>1.9E-2</v>
      </c>
      <c r="R1362" s="1">
        <v>6.0299999999999999E-2</v>
      </c>
    </row>
    <row r="1364" spans="1:18">
      <c r="A1364" t="s">
        <v>415</v>
      </c>
    </row>
    <row r="1365" spans="1:18">
      <c r="A1365" t="s">
        <v>189</v>
      </c>
      <c r="B1365" t="s">
        <v>195</v>
      </c>
      <c r="C1365" t="s">
        <v>190</v>
      </c>
      <c r="D1365" t="s">
        <v>196</v>
      </c>
      <c r="E1365" t="s">
        <v>416</v>
      </c>
      <c r="F1365" t="s">
        <v>417</v>
      </c>
      <c r="G1365" t="s">
        <v>418</v>
      </c>
      <c r="H1365" t="s">
        <v>278</v>
      </c>
      <c r="I1365" t="s">
        <v>419</v>
      </c>
      <c r="J1365" t="s">
        <v>420</v>
      </c>
      <c r="K1365" t="s">
        <v>421</v>
      </c>
      <c r="L1365" t="s">
        <v>422</v>
      </c>
      <c r="M1365" t="s">
        <v>423</v>
      </c>
    </row>
    <row r="1366" spans="1:18">
      <c r="A1366" t="s">
        <v>197</v>
      </c>
      <c r="B1366">
        <v>44</v>
      </c>
      <c r="C1366" t="s">
        <v>198</v>
      </c>
      <c r="D1366">
        <v>44</v>
      </c>
      <c r="E1366" s="1">
        <v>0.41980000000000001</v>
      </c>
      <c r="F1366" s="1">
        <v>1.5E-3</v>
      </c>
      <c r="G1366" s="1">
        <v>0.34160000000000001</v>
      </c>
      <c r="H1366" s="1">
        <v>2.64E-2</v>
      </c>
      <c r="I1366" s="1">
        <v>0.27979999999999999</v>
      </c>
      <c r="J1366" s="1">
        <v>0.31530000000000002</v>
      </c>
      <c r="K1366" s="1">
        <v>9.4E-2</v>
      </c>
      <c r="L1366" s="1">
        <v>6.9000000000000006E-2</v>
      </c>
      <c r="M1366" s="1">
        <v>1.5E-3</v>
      </c>
    </row>
    <row r="1367" spans="1:18" s="26" customFormat="1">
      <c r="A1367" s="26" t="s">
        <v>204</v>
      </c>
      <c r="B1367" s="26">
        <v>5</v>
      </c>
      <c r="C1367" s="26" t="s">
        <v>205</v>
      </c>
      <c r="D1367" s="26">
        <v>44</v>
      </c>
      <c r="E1367" s="27">
        <v>8.3099999999999993E-2</v>
      </c>
      <c r="J1367" s="27">
        <v>0.50680000000000003</v>
      </c>
      <c r="K1367" s="27">
        <v>0.41</v>
      </c>
    </row>
    <row r="1368" spans="1:18" s="26" customFormat="1">
      <c r="A1368" s="26" t="s">
        <v>204</v>
      </c>
      <c r="B1368" s="26">
        <v>8</v>
      </c>
      <c r="C1368" s="26" t="s">
        <v>206</v>
      </c>
      <c r="D1368" s="26">
        <v>44</v>
      </c>
      <c r="E1368" s="27">
        <v>0.35730000000000001</v>
      </c>
      <c r="G1368" s="27">
        <v>0.35730000000000001</v>
      </c>
      <c r="I1368" s="27">
        <v>0.2382</v>
      </c>
      <c r="J1368" s="27">
        <v>0.1663</v>
      </c>
    </row>
    <row r="1369" spans="1:18" s="26" customFormat="1">
      <c r="A1369" s="26" t="s">
        <v>204</v>
      </c>
      <c r="B1369" s="26">
        <v>4</v>
      </c>
      <c r="C1369" s="26" t="s">
        <v>207</v>
      </c>
      <c r="D1369" s="26">
        <v>44</v>
      </c>
      <c r="E1369" s="27">
        <v>1</v>
      </c>
      <c r="G1369" s="27">
        <v>0.84150000000000003</v>
      </c>
      <c r="I1369" s="27">
        <v>0.84150000000000003</v>
      </c>
    </row>
    <row r="1370" spans="1:18" s="26" customFormat="1">
      <c r="A1370" s="26" t="s">
        <v>204</v>
      </c>
      <c r="B1370" s="26">
        <v>5</v>
      </c>
      <c r="C1370" s="26" t="s">
        <v>208</v>
      </c>
      <c r="D1370" s="26">
        <v>44</v>
      </c>
      <c r="G1370" s="27">
        <v>0.2</v>
      </c>
      <c r="H1370" s="27">
        <v>0.2</v>
      </c>
      <c r="J1370" s="27">
        <v>0.6</v>
      </c>
    </row>
    <row r="1371" spans="1:18" s="26" customFormat="1">
      <c r="A1371" s="26" t="s">
        <v>199</v>
      </c>
      <c r="B1371" s="26">
        <v>2</v>
      </c>
      <c r="C1371" s="26" t="s">
        <v>202</v>
      </c>
      <c r="D1371" s="26">
        <v>44</v>
      </c>
      <c r="J1371" s="27">
        <v>0.5</v>
      </c>
      <c r="L1371" s="27">
        <v>0.5</v>
      </c>
    </row>
    <row r="1372" spans="1:18" s="26" customFormat="1">
      <c r="A1372" s="26" t="s">
        <v>199</v>
      </c>
      <c r="B1372" s="26">
        <v>10</v>
      </c>
      <c r="C1372" s="26" t="s">
        <v>203</v>
      </c>
      <c r="D1372" s="26">
        <v>44</v>
      </c>
      <c r="E1372" s="27">
        <v>0.70850000000000002</v>
      </c>
      <c r="G1372" s="27">
        <v>0.45150000000000001</v>
      </c>
      <c r="I1372" s="27">
        <v>0.30099999999999999</v>
      </c>
      <c r="J1372" s="27">
        <v>9.9400000000000002E-2</v>
      </c>
      <c r="L1372" s="27">
        <v>4.1599999999999998E-2</v>
      </c>
    </row>
    <row r="1373" spans="1:18" s="26" customFormat="1">
      <c r="A1373" s="26" t="s">
        <v>209</v>
      </c>
      <c r="B1373" s="26">
        <v>4</v>
      </c>
      <c r="C1373" s="26" t="s">
        <v>210</v>
      </c>
      <c r="D1373" s="26">
        <v>44</v>
      </c>
      <c r="F1373" s="27">
        <v>0.19539999999999999</v>
      </c>
      <c r="G1373" s="27">
        <v>0.19539999999999999</v>
      </c>
      <c r="K1373" s="27">
        <v>0.60919999999999996</v>
      </c>
      <c r="M1373" s="27">
        <v>0.19539999999999999</v>
      </c>
    </row>
    <row r="1374" spans="1:18" s="26" customFormat="1">
      <c r="A1374" s="26" t="s">
        <v>209</v>
      </c>
      <c r="B1374" s="26">
        <v>6</v>
      </c>
      <c r="C1374" s="26" t="s">
        <v>211</v>
      </c>
      <c r="D1374" s="26">
        <v>44</v>
      </c>
      <c r="J1374" s="27">
        <v>0.80149999999999999</v>
      </c>
      <c r="K1374" s="27">
        <v>0.19850000000000001</v>
      </c>
    </row>
    <row r="1376" spans="1:18">
      <c r="A1376" t="s">
        <v>424</v>
      </c>
    </row>
    <row r="1377" spans="1:9">
      <c r="A1377" t="s">
        <v>189</v>
      </c>
      <c r="B1377" t="s">
        <v>195</v>
      </c>
      <c r="C1377" t="s">
        <v>190</v>
      </c>
      <c r="D1377" t="s">
        <v>196</v>
      </c>
      <c r="E1377" t="s">
        <v>228</v>
      </c>
      <c r="F1377" t="s">
        <v>215</v>
      </c>
      <c r="G1377" t="s">
        <v>223</v>
      </c>
      <c r="H1377" t="s">
        <v>216</v>
      </c>
    </row>
    <row r="1378" spans="1:9">
      <c r="A1378" t="s">
        <v>197</v>
      </c>
      <c r="B1378">
        <v>449</v>
      </c>
      <c r="C1378" t="s">
        <v>198</v>
      </c>
      <c r="D1378">
        <v>449</v>
      </c>
      <c r="E1378" s="1">
        <v>4.8999999999999998E-3</v>
      </c>
      <c r="F1378" s="1">
        <v>0.73350000000000004</v>
      </c>
      <c r="G1378" s="1">
        <v>5.9999999999999995E-4</v>
      </c>
      <c r="H1378" s="1">
        <v>0.26100000000000001</v>
      </c>
    </row>
    <row r="1379" spans="1:9">
      <c r="A1379" t="s">
        <v>204</v>
      </c>
      <c r="B1379">
        <v>34</v>
      </c>
      <c r="C1379" t="s">
        <v>205</v>
      </c>
      <c r="D1379">
        <v>449</v>
      </c>
      <c r="F1379" s="1">
        <v>0.89959999999999996</v>
      </c>
      <c r="H1379" s="1">
        <v>0.1004</v>
      </c>
    </row>
    <row r="1380" spans="1:9">
      <c r="A1380" t="s">
        <v>204</v>
      </c>
      <c r="B1380">
        <v>40</v>
      </c>
      <c r="C1380" t="s">
        <v>206</v>
      </c>
      <c r="D1380">
        <v>449</v>
      </c>
      <c r="F1380" s="1">
        <v>0.71489999999999998</v>
      </c>
      <c r="H1380" s="1">
        <v>0.28510000000000002</v>
      </c>
    </row>
    <row r="1381" spans="1:9">
      <c r="A1381" t="s">
        <v>204</v>
      </c>
      <c r="B1381">
        <v>56</v>
      </c>
      <c r="C1381" t="s">
        <v>207</v>
      </c>
      <c r="D1381">
        <v>449</v>
      </c>
      <c r="F1381" s="1">
        <v>0.59789999999999999</v>
      </c>
      <c r="H1381" s="1">
        <v>0.40210000000000001</v>
      </c>
    </row>
    <row r="1382" spans="1:9">
      <c r="A1382" t="s">
        <v>204</v>
      </c>
      <c r="B1382">
        <v>30</v>
      </c>
      <c r="C1382" t="s">
        <v>208</v>
      </c>
      <c r="D1382">
        <v>449</v>
      </c>
      <c r="F1382" s="1">
        <v>0.73329999999999995</v>
      </c>
      <c r="H1382" s="1">
        <v>0.26669999999999999</v>
      </c>
    </row>
    <row r="1383" spans="1:9">
      <c r="A1383" t="s">
        <v>199</v>
      </c>
      <c r="B1383">
        <v>30</v>
      </c>
      <c r="C1383" t="s">
        <v>200</v>
      </c>
      <c r="D1383">
        <v>449</v>
      </c>
      <c r="F1383" s="1">
        <v>0.61240000000000006</v>
      </c>
      <c r="H1383" s="1">
        <v>0.3876</v>
      </c>
    </row>
    <row r="1384" spans="1:9">
      <c r="A1384" t="s">
        <v>199</v>
      </c>
      <c r="B1384">
        <v>57</v>
      </c>
      <c r="C1384" t="s">
        <v>201</v>
      </c>
      <c r="D1384">
        <v>449</v>
      </c>
      <c r="E1384" s="1">
        <v>1.7500000000000002E-2</v>
      </c>
      <c r="F1384" s="1">
        <v>0.77190000000000003</v>
      </c>
      <c r="H1384" s="1">
        <v>0.21049999999999999</v>
      </c>
    </row>
    <row r="1385" spans="1:9">
      <c r="A1385" t="s">
        <v>199</v>
      </c>
      <c r="B1385">
        <v>37</v>
      </c>
      <c r="C1385" t="s">
        <v>202</v>
      </c>
      <c r="D1385">
        <v>449</v>
      </c>
      <c r="F1385" s="1">
        <v>0.55369999999999997</v>
      </c>
      <c r="H1385" s="1">
        <v>0.44629999999999997</v>
      </c>
    </row>
    <row r="1386" spans="1:9">
      <c r="A1386" t="s">
        <v>199</v>
      </c>
      <c r="B1386">
        <v>37</v>
      </c>
      <c r="C1386" t="s">
        <v>203</v>
      </c>
      <c r="D1386">
        <v>449</v>
      </c>
      <c r="F1386" s="1">
        <v>0.61019999999999996</v>
      </c>
      <c r="H1386" s="1">
        <v>0.38979999999999998</v>
      </c>
    </row>
    <row r="1387" spans="1:9">
      <c r="A1387" t="s">
        <v>209</v>
      </c>
      <c r="B1387">
        <v>30</v>
      </c>
      <c r="C1387" t="s">
        <v>210</v>
      </c>
      <c r="D1387">
        <v>449</v>
      </c>
      <c r="F1387" s="1">
        <v>0.78129999999999999</v>
      </c>
      <c r="H1387" s="1">
        <v>0.21870000000000001</v>
      </c>
    </row>
    <row r="1388" spans="1:9">
      <c r="A1388" t="s">
        <v>209</v>
      </c>
      <c r="B1388">
        <v>52</v>
      </c>
      <c r="C1388" t="s">
        <v>211</v>
      </c>
      <c r="D1388">
        <v>449</v>
      </c>
      <c r="F1388" s="1">
        <v>0.60770000000000002</v>
      </c>
      <c r="H1388" s="1">
        <v>0.39229999999999998</v>
      </c>
    </row>
    <row r="1389" spans="1:9">
      <c r="A1389" t="s">
        <v>209</v>
      </c>
      <c r="B1389">
        <v>46</v>
      </c>
      <c r="C1389" t="s">
        <v>212</v>
      </c>
      <c r="D1389">
        <v>449</v>
      </c>
      <c r="F1389" s="1">
        <v>0.90449999999999997</v>
      </c>
      <c r="G1389" s="1">
        <v>4.4999999999999997E-3</v>
      </c>
      <c r="H1389" s="1">
        <v>9.0999999999999998E-2</v>
      </c>
    </row>
    <row r="1391" spans="1:9">
      <c r="A1391" t="s">
        <v>425</v>
      </c>
    </row>
    <row r="1392" spans="1:9">
      <c r="A1392" t="s">
        <v>214</v>
      </c>
      <c r="B1392" t="s">
        <v>189</v>
      </c>
      <c r="C1392" t="s">
        <v>195</v>
      </c>
      <c r="D1392" t="s">
        <v>190</v>
      </c>
      <c r="E1392" t="s">
        <v>196</v>
      </c>
      <c r="F1392" t="s">
        <v>228</v>
      </c>
      <c r="G1392" t="s">
        <v>215</v>
      </c>
      <c r="H1392" t="s">
        <v>223</v>
      </c>
      <c r="I1392" t="s">
        <v>216</v>
      </c>
    </row>
    <row r="1393" spans="1:9">
      <c r="A1393" t="s">
        <v>198</v>
      </c>
      <c r="B1393" t="s">
        <v>197</v>
      </c>
      <c r="C1393">
        <v>449</v>
      </c>
      <c r="D1393" t="s">
        <v>198</v>
      </c>
      <c r="E1393">
        <v>449</v>
      </c>
      <c r="F1393" s="1">
        <v>4.8999999999999998E-3</v>
      </c>
      <c r="G1393" s="1">
        <v>0.73350000000000004</v>
      </c>
      <c r="H1393" s="1">
        <v>5.9999999999999995E-4</v>
      </c>
      <c r="I1393" s="1">
        <v>0.26100000000000001</v>
      </c>
    </row>
    <row r="1394" spans="1:9" s="26" customFormat="1">
      <c r="A1394" s="26" t="s">
        <v>235</v>
      </c>
      <c r="B1394" s="26" t="s">
        <v>204</v>
      </c>
      <c r="C1394" s="26">
        <v>23</v>
      </c>
      <c r="D1394" s="26" t="s">
        <v>208</v>
      </c>
      <c r="E1394" s="26">
        <v>449</v>
      </c>
      <c r="G1394" s="27">
        <v>0.78259999999999996</v>
      </c>
      <c r="I1394" s="27">
        <v>0.21740000000000001</v>
      </c>
    </row>
    <row r="1395" spans="1:9" s="26" customFormat="1">
      <c r="A1395" s="26" t="s">
        <v>236</v>
      </c>
      <c r="B1395" s="26" t="s">
        <v>204</v>
      </c>
      <c r="C1395" s="26">
        <v>16</v>
      </c>
      <c r="D1395" s="26" t="s">
        <v>205</v>
      </c>
      <c r="E1395" s="26">
        <v>449</v>
      </c>
      <c r="G1395" s="27">
        <v>0.8518</v>
      </c>
      <c r="I1395" s="27">
        <v>0.1482</v>
      </c>
    </row>
    <row r="1396" spans="1:9" s="26" customFormat="1">
      <c r="A1396" s="26" t="s">
        <v>235</v>
      </c>
      <c r="B1396" s="26" t="s">
        <v>204</v>
      </c>
      <c r="C1396" s="26">
        <v>18</v>
      </c>
      <c r="D1396" s="26" t="s">
        <v>205</v>
      </c>
      <c r="E1396" s="26">
        <v>449</v>
      </c>
      <c r="G1396" s="27">
        <v>0.91210000000000002</v>
      </c>
      <c r="I1396" s="27">
        <v>8.7900000000000006E-2</v>
      </c>
    </row>
    <row r="1397" spans="1:9" s="26" customFormat="1">
      <c r="A1397" s="26" t="s">
        <v>236</v>
      </c>
      <c r="B1397" s="26" t="s">
        <v>204</v>
      </c>
      <c r="C1397" s="26">
        <v>15</v>
      </c>
      <c r="D1397" s="26" t="s">
        <v>206</v>
      </c>
      <c r="E1397" s="26">
        <v>449</v>
      </c>
      <c r="G1397" s="27">
        <v>0.87649999999999995</v>
      </c>
      <c r="I1397" s="27">
        <v>0.1235</v>
      </c>
    </row>
    <row r="1398" spans="1:9" s="26" customFormat="1">
      <c r="A1398" s="26" t="s">
        <v>235</v>
      </c>
      <c r="B1398" s="26" t="s">
        <v>204</v>
      </c>
      <c r="C1398" s="26">
        <v>25</v>
      </c>
      <c r="D1398" s="26" t="s">
        <v>206</v>
      </c>
      <c r="E1398" s="26">
        <v>449</v>
      </c>
      <c r="G1398" s="27">
        <v>0.63360000000000005</v>
      </c>
      <c r="I1398" s="27">
        <v>0.3664</v>
      </c>
    </row>
    <row r="1399" spans="1:9">
      <c r="A1399" t="s">
        <v>236</v>
      </c>
      <c r="B1399" t="s">
        <v>204</v>
      </c>
      <c r="C1399">
        <v>41</v>
      </c>
      <c r="D1399" t="s">
        <v>207</v>
      </c>
      <c r="E1399">
        <v>449</v>
      </c>
      <c r="G1399" s="1">
        <v>0.40300000000000002</v>
      </c>
      <c r="I1399" s="1">
        <v>0.59699999999999998</v>
      </c>
    </row>
    <row r="1400" spans="1:9" s="26" customFormat="1">
      <c r="A1400" s="26" t="s">
        <v>235</v>
      </c>
      <c r="B1400" s="26" t="s">
        <v>204</v>
      </c>
      <c r="C1400" s="26">
        <v>12</v>
      </c>
      <c r="D1400" s="26" t="s">
        <v>207</v>
      </c>
      <c r="E1400" s="26">
        <v>449</v>
      </c>
      <c r="G1400" s="27">
        <v>0.98709999999999998</v>
      </c>
      <c r="I1400" s="27">
        <v>1.29E-2</v>
      </c>
    </row>
    <row r="1401" spans="1:9" s="26" customFormat="1">
      <c r="A1401" s="26" t="s">
        <v>236</v>
      </c>
      <c r="B1401" s="26" t="s">
        <v>204</v>
      </c>
      <c r="C1401" s="26">
        <v>7</v>
      </c>
      <c r="D1401" s="26" t="s">
        <v>208</v>
      </c>
      <c r="E1401" s="26">
        <v>449</v>
      </c>
      <c r="G1401" s="27">
        <v>0.57140000000000002</v>
      </c>
      <c r="I1401" s="27">
        <v>0.42859999999999998</v>
      </c>
    </row>
    <row r="1402" spans="1:9" s="26" customFormat="1">
      <c r="A1402" s="26" t="s">
        <v>235</v>
      </c>
      <c r="B1402" s="26" t="s">
        <v>199</v>
      </c>
      <c r="C1402" s="26">
        <v>21</v>
      </c>
      <c r="D1402" s="26" t="s">
        <v>203</v>
      </c>
      <c r="E1402" s="26">
        <v>449</v>
      </c>
      <c r="G1402" s="27">
        <v>0.65529999999999999</v>
      </c>
      <c r="I1402" s="27">
        <v>0.34470000000000001</v>
      </c>
    </row>
    <row r="1403" spans="1:9" s="26" customFormat="1">
      <c r="A1403" s="26" t="s">
        <v>236</v>
      </c>
      <c r="B1403" s="26" t="s">
        <v>199</v>
      </c>
      <c r="C1403" s="26">
        <v>15</v>
      </c>
      <c r="D1403" s="26" t="s">
        <v>203</v>
      </c>
      <c r="E1403" s="26">
        <v>449</v>
      </c>
      <c r="G1403" s="27">
        <v>0.60329999999999995</v>
      </c>
      <c r="I1403" s="27">
        <v>0.3967</v>
      </c>
    </row>
    <row r="1404" spans="1:9" s="26" customFormat="1">
      <c r="A1404" s="26" t="s">
        <v>235</v>
      </c>
      <c r="B1404" s="26" t="s">
        <v>199</v>
      </c>
      <c r="C1404" s="26">
        <v>24</v>
      </c>
      <c r="D1404" s="26" t="s">
        <v>202</v>
      </c>
      <c r="E1404" s="26">
        <v>449</v>
      </c>
      <c r="G1404" s="27">
        <v>0.54800000000000004</v>
      </c>
      <c r="I1404" s="27">
        <v>0.45200000000000001</v>
      </c>
    </row>
    <row r="1405" spans="1:9" s="26" customFormat="1">
      <c r="A1405" s="26" t="s">
        <v>236</v>
      </c>
      <c r="B1405" s="26" t="s">
        <v>199</v>
      </c>
      <c r="C1405" s="26">
        <v>6</v>
      </c>
      <c r="D1405" s="26" t="s">
        <v>200</v>
      </c>
      <c r="E1405" s="26">
        <v>449</v>
      </c>
      <c r="G1405" s="27">
        <v>0.9899</v>
      </c>
      <c r="I1405" s="27">
        <v>1.01E-2</v>
      </c>
    </row>
    <row r="1406" spans="1:9" s="26" customFormat="1">
      <c r="A1406" s="26" t="s">
        <v>235</v>
      </c>
      <c r="B1406" s="26" t="s">
        <v>199</v>
      </c>
      <c r="C1406" s="26">
        <v>22</v>
      </c>
      <c r="D1406" s="26" t="s">
        <v>200</v>
      </c>
      <c r="E1406" s="26">
        <v>449</v>
      </c>
      <c r="G1406" s="27">
        <v>0.43909999999999999</v>
      </c>
      <c r="I1406" s="27">
        <v>0.56089999999999995</v>
      </c>
    </row>
    <row r="1407" spans="1:9" s="26" customFormat="1">
      <c r="A1407" s="26" t="s">
        <v>236</v>
      </c>
      <c r="B1407" s="26" t="s">
        <v>199</v>
      </c>
      <c r="C1407" s="26">
        <v>13</v>
      </c>
      <c r="D1407" s="26" t="s">
        <v>202</v>
      </c>
      <c r="E1407" s="26">
        <v>449</v>
      </c>
      <c r="G1407" s="27">
        <v>0.56240000000000001</v>
      </c>
      <c r="I1407" s="27">
        <v>0.43759999999999999</v>
      </c>
    </row>
    <row r="1408" spans="1:9">
      <c r="A1408" t="s">
        <v>235</v>
      </c>
      <c r="B1408" t="s">
        <v>199</v>
      </c>
      <c r="C1408">
        <v>57</v>
      </c>
      <c r="D1408" t="s">
        <v>201</v>
      </c>
      <c r="E1408">
        <v>449</v>
      </c>
      <c r="F1408" s="1">
        <v>1.7500000000000002E-2</v>
      </c>
      <c r="G1408" s="1">
        <v>0.77190000000000003</v>
      </c>
      <c r="I1408" s="1">
        <v>0.21049999999999999</v>
      </c>
    </row>
    <row r="1409" spans="1:9" s="26" customFormat="1">
      <c r="A1409" s="26" t="s">
        <v>236</v>
      </c>
      <c r="B1409" s="26" t="s">
        <v>209</v>
      </c>
      <c r="C1409" s="26">
        <v>19</v>
      </c>
      <c r="D1409" s="26" t="s">
        <v>211</v>
      </c>
      <c r="E1409" s="26">
        <v>449</v>
      </c>
      <c r="G1409" s="27">
        <v>0.47589999999999999</v>
      </c>
      <c r="I1409" s="27">
        <v>0.52410000000000001</v>
      </c>
    </row>
    <row r="1410" spans="1:9">
      <c r="A1410" t="s">
        <v>235</v>
      </c>
      <c r="B1410" t="s">
        <v>209</v>
      </c>
      <c r="C1410">
        <v>31</v>
      </c>
      <c r="D1410" t="s">
        <v>211</v>
      </c>
      <c r="E1410">
        <v>449</v>
      </c>
      <c r="G1410" s="1">
        <v>0.64439999999999997</v>
      </c>
      <c r="I1410" s="1">
        <v>0.35560000000000003</v>
      </c>
    </row>
    <row r="1411" spans="1:9">
      <c r="A1411" t="s">
        <v>235</v>
      </c>
      <c r="B1411" t="s">
        <v>209</v>
      </c>
      <c r="C1411">
        <v>37</v>
      </c>
      <c r="D1411" t="s">
        <v>212</v>
      </c>
      <c r="E1411">
        <v>449</v>
      </c>
      <c r="G1411" s="1">
        <v>0.90149999999999997</v>
      </c>
      <c r="H1411" s="1">
        <v>5.1000000000000004E-3</v>
      </c>
      <c r="I1411" s="1">
        <v>9.3399999999999997E-2</v>
      </c>
    </row>
    <row r="1412" spans="1:9" s="26" customFormat="1">
      <c r="A1412" s="26" t="s">
        <v>236</v>
      </c>
      <c r="B1412" s="26" t="s">
        <v>209</v>
      </c>
      <c r="C1412" s="26">
        <v>9</v>
      </c>
      <c r="D1412" s="26" t="s">
        <v>212</v>
      </c>
      <c r="E1412" s="26">
        <v>449</v>
      </c>
      <c r="G1412" s="27">
        <v>0.92649999999999999</v>
      </c>
      <c r="I1412" s="27">
        <v>7.3499999999999996E-2</v>
      </c>
    </row>
    <row r="1413" spans="1:9" s="26" customFormat="1">
      <c r="A1413" s="26" t="s">
        <v>236</v>
      </c>
      <c r="B1413" s="26" t="s">
        <v>209</v>
      </c>
      <c r="C1413" s="26">
        <v>19</v>
      </c>
      <c r="D1413" s="26" t="s">
        <v>210</v>
      </c>
      <c r="E1413" s="26">
        <v>449</v>
      </c>
      <c r="G1413" s="27">
        <v>0.88380000000000003</v>
      </c>
      <c r="I1413" s="27">
        <v>0.1162</v>
      </c>
    </row>
    <row r="1414" spans="1:9" s="26" customFormat="1">
      <c r="A1414" s="26" t="s">
        <v>235</v>
      </c>
      <c r="B1414" s="26" t="s">
        <v>209</v>
      </c>
      <c r="C1414" s="26">
        <v>8</v>
      </c>
      <c r="D1414" s="26" t="s">
        <v>210</v>
      </c>
      <c r="E1414" s="26">
        <v>449</v>
      </c>
      <c r="G1414" s="27">
        <v>0.75</v>
      </c>
      <c r="I1414" s="27">
        <v>0.25</v>
      </c>
    </row>
    <row r="1416" spans="1:9">
      <c r="A1416" t="s">
        <v>426</v>
      </c>
    </row>
    <row r="1417" spans="1:9">
      <c r="A1417" t="s">
        <v>189</v>
      </c>
      <c r="B1417" t="s">
        <v>195</v>
      </c>
      <c r="C1417" t="s">
        <v>190</v>
      </c>
      <c r="D1417" t="s">
        <v>196</v>
      </c>
      <c r="E1417" t="s">
        <v>228</v>
      </c>
      <c r="F1417" t="s">
        <v>215</v>
      </c>
      <c r="G1417" t="s">
        <v>216</v>
      </c>
    </row>
    <row r="1418" spans="1:9">
      <c r="A1418" t="s">
        <v>197</v>
      </c>
      <c r="B1418">
        <v>170</v>
      </c>
      <c r="C1418" t="s">
        <v>198</v>
      </c>
      <c r="D1418">
        <v>170</v>
      </c>
      <c r="E1418" s="1">
        <v>8.6E-3</v>
      </c>
      <c r="F1418" s="1">
        <v>0.89149999999999996</v>
      </c>
      <c r="G1418" s="1">
        <v>9.9900000000000003E-2</v>
      </c>
    </row>
    <row r="1419" spans="1:9" s="26" customFormat="1">
      <c r="A1419" s="26" t="s">
        <v>204</v>
      </c>
      <c r="B1419" s="26">
        <v>5</v>
      </c>
      <c r="C1419" s="26" t="s">
        <v>205</v>
      </c>
      <c r="D1419" s="26">
        <v>170</v>
      </c>
      <c r="F1419" s="27">
        <v>1</v>
      </c>
    </row>
    <row r="1420" spans="1:9" s="26" customFormat="1">
      <c r="A1420" s="26" t="s">
        <v>204</v>
      </c>
      <c r="B1420" s="26">
        <v>1</v>
      </c>
      <c r="C1420" s="26" t="s">
        <v>206</v>
      </c>
      <c r="D1420" s="26">
        <v>170</v>
      </c>
      <c r="G1420" s="27">
        <v>1</v>
      </c>
    </row>
    <row r="1421" spans="1:9" s="26" customFormat="1">
      <c r="A1421" s="26" t="s">
        <v>204</v>
      </c>
      <c r="B1421" s="26">
        <v>1</v>
      </c>
      <c r="C1421" s="26" t="s">
        <v>207</v>
      </c>
      <c r="D1421" s="26">
        <v>170</v>
      </c>
      <c r="F1421" s="27">
        <v>1</v>
      </c>
    </row>
    <row r="1422" spans="1:9" s="26" customFormat="1">
      <c r="A1422" s="26" t="s">
        <v>204</v>
      </c>
      <c r="B1422" s="26">
        <v>3</v>
      </c>
      <c r="C1422" s="26" t="s">
        <v>208</v>
      </c>
      <c r="D1422" s="26">
        <v>170</v>
      </c>
      <c r="F1422" s="27">
        <v>1</v>
      </c>
    </row>
    <row r="1423" spans="1:9" s="26" customFormat="1">
      <c r="A1423" s="26" t="s">
        <v>199</v>
      </c>
      <c r="B1423" s="26">
        <v>17</v>
      </c>
      <c r="C1423" s="26" t="s">
        <v>200</v>
      </c>
      <c r="D1423" s="26">
        <v>170</v>
      </c>
      <c r="F1423" s="27">
        <v>0.78249999999999997</v>
      </c>
      <c r="G1423" s="27">
        <v>0.2175</v>
      </c>
    </row>
    <row r="1424" spans="1:9">
      <c r="A1424" t="s">
        <v>199</v>
      </c>
      <c r="B1424">
        <v>46</v>
      </c>
      <c r="C1424" t="s">
        <v>201</v>
      </c>
      <c r="D1424">
        <v>170</v>
      </c>
      <c r="E1424" s="1">
        <v>2.1700000000000001E-2</v>
      </c>
      <c r="F1424" s="1">
        <v>0.86960000000000004</v>
      </c>
      <c r="G1424" s="1">
        <v>0.1087</v>
      </c>
    </row>
    <row r="1425" spans="1:8" s="26" customFormat="1">
      <c r="A1425" s="26" t="s">
        <v>199</v>
      </c>
      <c r="B1425" s="26">
        <v>28</v>
      </c>
      <c r="C1425" s="26" t="s">
        <v>202</v>
      </c>
      <c r="D1425" s="26">
        <v>170</v>
      </c>
      <c r="F1425" s="27">
        <v>0.90339999999999998</v>
      </c>
      <c r="G1425" s="27">
        <v>9.6600000000000005E-2</v>
      </c>
    </row>
    <row r="1426" spans="1:8" s="26" customFormat="1">
      <c r="A1426" s="26" t="s">
        <v>199</v>
      </c>
      <c r="B1426" s="26">
        <v>19</v>
      </c>
      <c r="C1426" s="26" t="s">
        <v>203</v>
      </c>
      <c r="D1426" s="26">
        <v>170</v>
      </c>
      <c r="F1426" s="27">
        <v>0.76670000000000005</v>
      </c>
      <c r="G1426" s="27">
        <v>0.23330000000000001</v>
      </c>
    </row>
    <row r="1427" spans="1:8" s="26" customFormat="1">
      <c r="A1427" s="26" t="s">
        <v>209</v>
      </c>
      <c r="B1427" s="26">
        <v>5</v>
      </c>
      <c r="C1427" s="26" t="s">
        <v>210</v>
      </c>
      <c r="D1427" s="26">
        <v>170</v>
      </c>
      <c r="F1427" s="27">
        <v>0.83650000000000002</v>
      </c>
      <c r="G1427" s="27">
        <v>0.16350000000000001</v>
      </c>
    </row>
    <row r="1428" spans="1:8" s="26" customFormat="1">
      <c r="A1428" s="26" t="s">
        <v>209</v>
      </c>
      <c r="B1428" s="26">
        <v>15</v>
      </c>
      <c r="C1428" s="26" t="s">
        <v>211</v>
      </c>
      <c r="D1428" s="26">
        <v>170</v>
      </c>
      <c r="F1428" s="27">
        <v>0.88539999999999996</v>
      </c>
      <c r="G1428" s="27">
        <v>0.11459999999999999</v>
      </c>
    </row>
    <row r="1429" spans="1:8">
      <c r="A1429" t="s">
        <v>209</v>
      </c>
      <c r="B1429">
        <v>30</v>
      </c>
      <c r="C1429" t="s">
        <v>212</v>
      </c>
      <c r="D1429">
        <v>170</v>
      </c>
      <c r="F1429" s="1">
        <v>0.91990000000000005</v>
      </c>
      <c r="G1429" s="1">
        <v>8.0100000000000005E-2</v>
      </c>
    </row>
    <row r="1431" spans="1:8">
      <c r="A1431" t="s">
        <v>427</v>
      </c>
    </row>
    <row r="1432" spans="1:8">
      <c r="A1432" t="s">
        <v>214</v>
      </c>
      <c r="B1432" t="s">
        <v>189</v>
      </c>
      <c r="C1432" t="s">
        <v>195</v>
      </c>
      <c r="D1432" t="s">
        <v>190</v>
      </c>
      <c r="E1432" t="s">
        <v>196</v>
      </c>
      <c r="F1432" t="s">
        <v>228</v>
      </c>
      <c r="G1432" t="s">
        <v>215</v>
      </c>
      <c r="H1432" t="s">
        <v>216</v>
      </c>
    </row>
    <row r="1433" spans="1:8">
      <c r="A1433" t="s">
        <v>198</v>
      </c>
      <c r="B1433" t="s">
        <v>197</v>
      </c>
      <c r="C1433">
        <v>170</v>
      </c>
      <c r="D1433" t="s">
        <v>198</v>
      </c>
      <c r="E1433">
        <v>170</v>
      </c>
      <c r="F1433" s="1">
        <v>8.6E-3</v>
      </c>
      <c r="G1433" s="1">
        <v>0.89149999999999996</v>
      </c>
      <c r="H1433" s="1">
        <v>9.9900000000000003E-2</v>
      </c>
    </row>
    <row r="1434" spans="1:8" s="26" customFormat="1">
      <c r="A1434" s="26" t="s">
        <v>235</v>
      </c>
      <c r="B1434" s="26" t="s">
        <v>204</v>
      </c>
      <c r="C1434" s="26">
        <v>2</v>
      </c>
      <c r="D1434" s="26" t="s">
        <v>208</v>
      </c>
      <c r="E1434" s="26">
        <v>170</v>
      </c>
      <c r="G1434" s="27">
        <v>1</v>
      </c>
    </row>
    <row r="1435" spans="1:8" s="26" customFormat="1">
      <c r="A1435" s="26" t="s">
        <v>236</v>
      </c>
      <c r="B1435" s="26" t="s">
        <v>204</v>
      </c>
      <c r="C1435" s="26">
        <v>1</v>
      </c>
      <c r="D1435" s="26" t="s">
        <v>205</v>
      </c>
      <c r="E1435" s="26">
        <v>170</v>
      </c>
      <c r="G1435" s="27">
        <v>1</v>
      </c>
    </row>
    <row r="1436" spans="1:8" s="26" customFormat="1">
      <c r="A1436" s="26" t="s">
        <v>235</v>
      </c>
      <c r="B1436" s="26" t="s">
        <v>204</v>
      </c>
      <c r="C1436" s="26">
        <v>4</v>
      </c>
      <c r="D1436" s="26" t="s">
        <v>205</v>
      </c>
      <c r="E1436" s="26">
        <v>170</v>
      </c>
      <c r="G1436" s="27">
        <v>1</v>
      </c>
    </row>
    <row r="1437" spans="1:8" s="26" customFormat="1">
      <c r="A1437" s="26" t="s">
        <v>236</v>
      </c>
      <c r="B1437" s="26" t="s">
        <v>204</v>
      </c>
      <c r="C1437" s="26">
        <v>1</v>
      </c>
      <c r="D1437" s="26" t="s">
        <v>206</v>
      </c>
      <c r="E1437" s="26">
        <v>170</v>
      </c>
      <c r="H1437" s="27">
        <v>1</v>
      </c>
    </row>
    <row r="1438" spans="1:8" s="26" customFormat="1">
      <c r="A1438" s="26" t="s">
        <v>236</v>
      </c>
      <c r="B1438" s="26" t="s">
        <v>204</v>
      </c>
      <c r="C1438" s="26">
        <v>1</v>
      </c>
      <c r="D1438" s="26" t="s">
        <v>207</v>
      </c>
      <c r="E1438" s="26">
        <v>170</v>
      </c>
      <c r="G1438" s="27">
        <v>1</v>
      </c>
    </row>
    <row r="1439" spans="1:8" s="26" customFormat="1">
      <c r="A1439" s="26" t="s">
        <v>236</v>
      </c>
      <c r="B1439" s="26" t="s">
        <v>204</v>
      </c>
      <c r="C1439" s="26">
        <v>1</v>
      </c>
      <c r="D1439" s="26" t="s">
        <v>208</v>
      </c>
      <c r="E1439" s="26">
        <v>170</v>
      </c>
      <c r="G1439" s="27">
        <v>1</v>
      </c>
    </row>
    <row r="1440" spans="1:8" s="26" customFormat="1">
      <c r="A1440" s="26" t="s">
        <v>235</v>
      </c>
      <c r="B1440" s="26" t="s">
        <v>199</v>
      </c>
      <c r="C1440" s="26">
        <v>10</v>
      </c>
      <c r="D1440" s="26" t="s">
        <v>203</v>
      </c>
      <c r="E1440" s="26">
        <v>170</v>
      </c>
      <c r="G1440" s="27">
        <v>0.86280000000000001</v>
      </c>
      <c r="H1440" s="27">
        <v>0.13719999999999999</v>
      </c>
    </row>
    <row r="1441" spans="1:8" s="26" customFormat="1">
      <c r="A1441" s="26" t="s">
        <v>236</v>
      </c>
      <c r="B1441" s="26" t="s">
        <v>199</v>
      </c>
      <c r="C1441" s="26">
        <v>8</v>
      </c>
      <c r="D1441" s="26" t="s">
        <v>203</v>
      </c>
      <c r="E1441" s="26">
        <v>170</v>
      </c>
      <c r="G1441" s="27">
        <v>0.45329999999999998</v>
      </c>
      <c r="H1441" s="27">
        <v>0.54669999999999996</v>
      </c>
    </row>
    <row r="1442" spans="1:8" s="26" customFormat="1">
      <c r="A1442" s="26" t="s">
        <v>236</v>
      </c>
      <c r="B1442" s="26" t="s">
        <v>199</v>
      </c>
      <c r="C1442" s="26">
        <v>3</v>
      </c>
      <c r="D1442" s="26" t="s">
        <v>200</v>
      </c>
      <c r="E1442" s="26">
        <v>170</v>
      </c>
      <c r="G1442" s="27">
        <v>1</v>
      </c>
    </row>
    <row r="1443" spans="1:8">
      <c r="A1443" t="s">
        <v>235</v>
      </c>
      <c r="B1443" t="s">
        <v>199</v>
      </c>
      <c r="C1443">
        <v>46</v>
      </c>
      <c r="D1443" t="s">
        <v>201</v>
      </c>
      <c r="E1443">
        <v>170</v>
      </c>
      <c r="F1443" s="1">
        <v>2.1700000000000001E-2</v>
      </c>
      <c r="G1443" s="1">
        <v>0.86960000000000004</v>
      </c>
      <c r="H1443" s="1">
        <v>0.1087</v>
      </c>
    </row>
    <row r="1444" spans="1:8" s="26" customFormat="1">
      <c r="A1444" s="26" t="s">
        <v>235</v>
      </c>
      <c r="B1444" s="26" t="s">
        <v>199</v>
      </c>
      <c r="C1444" s="26">
        <v>14</v>
      </c>
      <c r="D1444" s="26" t="s">
        <v>200</v>
      </c>
      <c r="E1444" s="26">
        <v>170</v>
      </c>
      <c r="G1444" s="27">
        <v>0.66520000000000001</v>
      </c>
      <c r="H1444" s="27">
        <v>0.33479999999999999</v>
      </c>
    </row>
    <row r="1445" spans="1:8" s="26" customFormat="1">
      <c r="A1445" s="26" t="s">
        <v>235</v>
      </c>
      <c r="B1445" s="26" t="s">
        <v>199</v>
      </c>
      <c r="C1445" s="26">
        <v>19</v>
      </c>
      <c r="D1445" s="26" t="s">
        <v>202</v>
      </c>
      <c r="E1445" s="26">
        <v>170</v>
      </c>
      <c r="G1445" s="27">
        <v>0.94640000000000002</v>
      </c>
      <c r="H1445" s="27">
        <v>5.3600000000000002E-2</v>
      </c>
    </row>
    <row r="1446" spans="1:8" s="26" customFormat="1">
      <c r="A1446" s="26" t="s">
        <v>236</v>
      </c>
      <c r="B1446" s="26" t="s">
        <v>199</v>
      </c>
      <c r="C1446" s="26">
        <v>9</v>
      </c>
      <c r="D1446" s="26" t="s">
        <v>202</v>
      </c>
      <c r="E1446" s="26">
        <v>170</v>
      </c>
      <c r="G1446" s="27">
        <v>0.82899999999999996</v>
      </c>
      <c r="H1446" s="27">
        <v>0.17100000000000001</v>
      </c>
    </row>
    <row r="1447" spans="1:8" s="26" customFormat="1">
      <c r="A1447" s="26" t="s">
        <v>235</v>
      </c>
      <c r="B1447" s="26" t="s">
        <v>209</v>
      </c>
      <c r="C1447" s="26">
        <v>6</v>
      </c>
      <c r="D1447" s="26" t="s">
        <v>211</v>
      </c>
      <c r="E1447" s="26">
        <v>170</v>
      </c>
      <c r="G1447" s="27">
        <v>0.77100000000000002</v>
      </c>
      <c r="H1447" s="27">
        <v>0.22900000000000001</v>
      </c>
    </row>
    <row r="1448" spans="1:8" s="26" customFormat="1">
      <c r="A1448" s="26" t="s">
        <v>236</v>
      </c>
      <c r="B1448" s="26" t="s">
        <v>209</v>
      </c>
      <c r="C1448" s="26">
        <v>8</v>
      </c>
      <c r="D1448" s="26" t="s">
        <v>211</v>
      </c>
      <c r="E1448" s="26">
        <v>170</v>
      </c>
      <c r="G1448" s="27">
        <v>0.95199999999999996</v>
      </c>
      <c r="H1448" s="27">
        <v>4.8000000000000001E-2</v>
      </c>
    </row>
    <row r="1449" spans="1:8" s="26" customFormat="1">
      <c r="A1449" s="26" t="s">
        <v>236</v>
      </c>
      <c r="B1449" s="26" t="s">
        <v>209</v>
      </c>
      <c r="C1449" s="26">
        <v>6</v>
      </c>
      <c r="D1449" s="26" t="s">
        <v>212</v>
      </c>
      <c r="E1449" s="26">
        <v>170</v>
      </c>
      <c r="G1449" s="27">
        <v>1</v>
      </c>
    </row>
    <row r="1450" spans="1:8" s="26" customFormat="1">
      <c r="A1450" s="26" t="s">
        <v>235</v>
      </c>
      <c r="B1450" s="26" t="s">
        <v>209</v>
      </c>
      <c r="C1450" s="26">
        <v>24</v>
      </c>
      <c r="D1450" s="26" t="s">
        <v>212</v>
      </c>
      <c r="E1450" s="26">
        <v>170</v>
      </c>
      <c r="G1450" s="27">
        <v>0.90980000000000005</v>
      </c>
      <c r="H1450" s="27">
        <v>9.0200000000000002E-2</v>
      </c>
    </row>
    <row r="1451" spans="1:8" s="26" customFormat="1">
      <c r="A1451" s="26" t="s">
        <v>236</v>
      </c>
      <c r="B1451" s="26" t="s">
        <v>209</v>
      </c>
      <c r="C1451" s="26">
        <v>5</v>
      </c>
      <c r="D1451" s="26" t="s">
        <v>210</v>
      </c>
      <c r="E1451" s="26">
        <v>170</v>
      </c>
      <c r="G1451" s="27">
        <v>0.83650000000000002</v>
      </c>
      <c r="H1451" s="27">
        <v>0.16350000000000001</v>
      </c>
    </row>
    <row r="1453" spans="1:8">
      <c r="A1453" t="s">
        <v>428</v>
      </c>
    </row>
    <row r="1454" spans="1:8">
      <c r="A1454" t="s">
        <v>189</v>
      </c>
      <c r="B1454" t="s">
        <v>195</v>
      </c>
      <c r="C1454" t="s">
        <v>190</v>
      </c>
      <c r="D1454" t="s">
        <v>196</v>
      </c>
      <c r="E1454" t="s">
        <v>228</v>
      </c>
      <c r="F1454" t="s">
        <v>215</v>
      </c>
      <c r="G1454" t="s">
        <v>223</v>
      </c>
      <c r="H1454" t="s">
        <v>216</v>
      </c>
    </row>
    <row r="1455" spans="1:8">
      <c r="A1455" t="s">
        <v>197</v>
      </c>
      <c r="B1455">
        <v>374</v>
      </c>
      <c r="C1455" t="s">
        <v>198</v>
      </c>
      <c r="D1455">
        <v>374</v>
      </c>
      <c r="E1455" s="1">
        <v>5.1000000000000004E-3</v>
      </c>
      <c r="F1455" s="1">
        <v>0.8488</v>
      </c>
      <c r="G1455" s="1">
        <v>1.8E-3</v>
      </c>
      <c r="H1455" s="1">
        <v>0.14430000000000001</v>
      </c>
    </row>
    <row r="1456" spans="1:8">
      <c r="A1456" t="s">
        <v>204</v>
      </c>
      <c r="B1456">
        <v>33</v>
      </c>
      <c r="C1456" t="s">
        <v>205</v>
      </c>
      <c r="D1456">
        <v>374</v>
      </c>
      <c r="E1456" s="1">
        <v>1.21E-2</v>
      </c>
      <c r="F1456" s="1">
        <v>0.873</v>
      </c>
      <c r="H1456" s="1">
        <v>0.1149</v>
      </c>
    </row>
    <row r="1457" spans="1:9">
      <c r="A1457" t="s">
        <v>204</v>
      </c>
      <c r="B1457">
        <v>40</v>
      </c>
      <c r="C1457" t="s">
        <v>206</v>
      </c>
      <c r="D1457">
        <v>374</v>
      </c>
      <c r="F1457" s="1">
        <v>0.61580000000000001</v>
      </c>
      <c r="H1457" s="1">
        <v>0.38419999999999999</v>
      </c>
    </row>
    <row r="1458" spans="1:9">
      <c r="A1458" t="s">
        <v>204</v>
      </c>
      <c r="B1458">
        <v>56</v>
      </c>
      <c r="C1458" t="s">
        <v>207</v>
      </c>
      <c r="D1458">
        <v>374</v>
      </c>
      <c r="E1458" s="1">
        <v>1.5900000000000001E-2</v>
      </c>
      <c r="F1458" s="1">
        <v>0.87719999999999998</v>
      </c>
      <c r="G1458" s="1">
        <v>1.5900000000000001E-2</v>
      </c>
      <c r="H1458" s="1">
        <v>9.0999999999999998E-2</v>
      </c>
    </row>
    <row r="1459" spans="1:9" s="26" customFormat="1">
      <c r="A1459" s="26" t="s">
        <v>204</v>
      </c>
      <c r="B1459" s="26">
        <v>28</v>
      </c>
      <c r="C1459" s="26" t="s">
        <v>208</v>
      </c>
      <c r="D1459" s="26">
        <v>374</v>
      </c>
      <c r="F1459" s="27">
        <v>0.78569999999999995</v>
      </c>
      <c r="H1459" s="27">
        <v>0.21429999999999999</v>
      </c>
    </row>
    <row r="1460" spans="1:9" s="26" customFormat="1">
      <c r="A1460" s="26" t="s">
        <v>199</v>
      </c>
      <c r="B1460" s="26">
        <v>23</v>
      </c>
      <c r="C1460" s="26" t="s">
        <v>200</v>
      </c>
      <c r="D1460" s="26">
        <v>374</v>
      </c>
      <c r="F1460" s="27">
        <v>0.97570000000000001</v>
      </c>
      <c r="H1460" s="27">
        <v>2.4299999999999999E-2</v>
      </c>
    </row>
    <row r="1461" spans="1:9">
      <c r="A1461" t="s">
        <v>199</v>
      </c>
      <c r="B1461">
        <v>31</v>
      </c>
      <c r="C1461" t="s">
        <v>201</v>
      </c>
      <c r="D1461">
        <v>374</v>
      </c>
      <c r="F1461" s="1">
        <v>0.871</v>
      </c>
      <c r="H1461" s="1">
        <v>0.129</v>
      </c>
    </row>
    <row r="1462" spans="1:9" s="26" customFormat="1">
      <c r="A1462" s="26" t="s">
        <v>199</v>
      </c>
      <c r="B1462" s="26">
        <v>24</v>
      </c>
      <c r="C1462" s="26" t="s">
        <v>202</v>
      </c>
      <c r="D1462" s="26">
        <v>374</v>
      </c>
      <c r="F1462" s="27">
        <v>0.89380000000000004</v>
      </c>
      <c r="H1462" s="27">
        <v>0.1062</v>
      </c>
    </row>
    <row r="1463" spans="1:9">
      <c r="A1463" t="s">
        <v>199</v>
      </c>
      <c r="B1463">
        <v>34</v>
      </c>
      <c r="C1463" t="s">
        <v>203</v>
      </c>
      <c r="D1463">
        <v>374</v>
      </c>
      <c r="F1463" s="1">
        <v>0.77580000000000005</v>
      </c>
      <c r="H1463" s="1">
        <v>0.22420000000000001</v>
      </c>
    </row>
    <row r="1464" spans="1:9" s="26" customFormat="1">
      <c r="A1464" s="26" t="s">
        <v>209</v>
      </c>
      <c r="B1464" s="26">
        <v>27</v>
      </c>
      <c r="C1464" s="26" t="s">
        <v>210</v>
      </c>
      <c r="D1464" s="26">
        <v>374</v>
      </c>
      <c r="F1464" s="27">
        <v>0.60289999999999999</v>
      </c>
      <c r="H1464" s="27">
        <v>0.39710000000000001</v>
      </c>
    </row>
    <row r="1465" spans="1:9">
      <c r="A1465" t="s">
        <v>209</v>
      </c>
      <c r="B1465">
        <v>46</v>
      </c>
      <c r="C1465" t="s">
        <v>211</v>
      </c>
      <c r="D1465">
        <v>374</v>
      </c>
      <c r="E1465" s="1">
        <v>2.07E-2</v>
      </c>
      <c r="F1465" s="1">
        <v>0.74650000000000005</v>
      </c>
      <c r="H1465" s="1">
        <v>0.23280000000000001</v>
      </c>
    </row>
    <row r="1466" spans="1:9">
      <c r="A1466" t="s">
        <v>209</v>
      </c>
      <c r="B1466">
        <v>32</v>
      </c>
      <c r="C1466" t="s">
        <v>212</v>
      </c>
      <c r="D1466">
        <v>374</v>
      </c>
      <c r="F1466" s="1">
        <v>0.88090000000000002</v>
      </c>
      <c r="H1466" s="1">
        <v>0.1191</v>
      </c>
    </row>
    <row r="1468" spans="1:9">
      <c r="A1468" t="s">
        <v>429</v>
      </c>
    </row>
    <row r="1469" spans="1:9">
      <c r="A1469" t="s">
        <v>214</v>
      </c>
      <c r="B1469" t="s">
        <v>189</v>
      </c>
      <c r="C1469" t="s">
        <v>195</v>
      </c>
      <c r="D1469" t="s">
        <v>190</v>
      </c>
      <c r="E1469" t="s">
        <v>196</v>
      </c>
      <c r="F1469" t="s">
        <v>228</v>
      </c>
      <c r="G1469" t="s">
        <v>215</v>
      </c>
      <c r="H1469" t="s">
        <v>223</v>
      </c>
      <c r="I1469" t="s">
        <v>216</v>
      </c>
    </row>
    <row r="1470" spans="1:9">
      <c r="A1470" t="s">
        <v>198</v>
      </c>
      <c r="B1470" t="s">
        <v>197</v>
      </c>
      <c r="C1470">
        <v>374</v>
      </c>
      <c r="D1470" t="s">
        <v>198</v>
      </c>
      <c r="E1470">
        <v>374</v>
      </c>
      <c r="F1470" s="1">
        <v>5.1000000000000004E-3</v>
      </c>
      <c r="G1470" s="1">
        <v>0.8488</v>
      </c>
      <c r="H1470" s="1">
        <v>1.8E-3</v>
      </c>
      <c r="I1470" s="1">
        <v>0.14430000000000001</v>
      </c>
    </row>
    <row r="1471" spans="1:9" s="26" customFormat="1">
      <c r="A1471" s="26" t="s">
        <v>236</v>
      </c>
      <c r="B1471" s="26" t="s">
        <v>204</v>
      </c>
      <c r="C1471" s="26">
        <v>7</v>
      </c>
      <c r="D1471" s="26" t="s">
        <v>208</v>
      </c>
      <c r="E1471" s="26">
        <v>374</v>
      </c>
      <c r="G1471" s="27">
        <v>0.71430000000000005</v>
      </c>
      <c r="I1471" s="27">
        <v>0.28570000000000001</v>
      </c>
    </row>
    <row r="1472" spans="1:9" s="26" customFormat="1">
      <c r="A1472" s="26" t="s">
        <v>236</v>
      </c>
      <c r="B1472" s="26" t="s">
        <v>204</v>
      </c>
      <c r="C1472" s="26">
        <v>16</v>
      </c>
      <c r="D1472" s="26" t="s">
        <v>205</v>
      </c>
      <c r="E1472" s="26">
        <v>374</v>
      </c>
      <c r="F1472" s="27">
        <v>4.9399999999999999E-2</v>
      </c>
      <c r="G1472" s="27">
        <v>0.8518</v>
      </c>
      <c r="I1472" s="27">
        <v>9.8799999999999999E-2</v>
      </c>
    </row>
    <row r="1473" spans="1:9" s="26" customFormat="1">
      <c r="A1473" s="26" t="s">
        <v>235</v>
      </c>
      <c r="B1473" s="26" t="s">
        <v>204</v>
      </c>
      <c r="C1473" s="26">
        <v>17</v>
      </c>
      <c r="D1473" s="26" t="s">
        <v>205</v>
      </c>
      <c r="E1473" s="26">
        <v>374</v>
      </c>
      <c r="G1473" s="27">
        <v>0.87980000000000003</v>
      </c>
      <c r="I1473" s="27">
        <v>0.1202</v>
      </c>
    </row>
    <row r="1474" spans="1:9" s="26" customFormat="1">
      <c r="A1474" s="26" t="s">
        <v>236</v>
      </c>
      <c r="B1474" s="26" t="s">
        <v>204</v>
      </c>
      <c r="C1474" s="26">
        <v>15</v>
      </c>
      <c r="D1474" s="26" t="s">
        <v>206</v>
      </c>
      <c r="E1474" s="26">
        <v>374</v>
      </c>
      <c r="G1474" s="27">
        <v>0.72840000000000005</v>
      </c>
      <c r="I1474" s="27">
        <v>0.27160000000000001</v>
      </c>
    </row>
    <row r="1475" spans="1:9" s="26" customFormat="1">
      <c r="A1475" s="26" t="s">
        <v>235</v>
      </c>
      <c r="B1475" s="26" t="s">
        <v>204</v>
      </c>
      <c r="C1475" s="26">
        <v>25</v>
      </c>
      <c r="D1475" s="26" t="s">
        <v>206</v>
      </c>
      <c r="E1475" s="26">
        <v>374</v>
      </c>
      <c r="G1475" s="27">
        <v>0.55900000000000005</v>
      </c>
      <c r="I1475" s="27">
        <v>0.441</v>
      </c>
    </row>
    <row r="1476" spans="1:9">
      <c r="A1476" t="s">
        <v>236</v>
      </c>
      <c r="B1476" t="s">
        <v>204</v>
      </c>
      <c r="C1476">
        <v>41</v>
      </c>
      <c r="D1476" t="s">
        <v>207</v>
      </c>
      <c r="E1476">
        <v>374</v>
      </c>
      <c r="F1476" s="1">
        <v>2.4500000000000001E-2</v>
      </c>
      <c r="G1476" s="1">
        <v>0.81679999999999997</v>
      </c>
      <c r="H1476" s="1">
        <v>2.4500000000000001E-2</v>
      </c>
      <c r="I1476" s="1">
        <v>0.13420000000000001</v>
      </c>
    </row>
    <row r="1477" spans="1:9" s="26" customFormat="1">
      <c r="A1477" s="26" t="s">
        <v>235</v>
      </c>
      <c r="B1477" s="26" t="s">
        <v>204</v>
      </c>
      <c r="C1477" s="26">
        <v>12</v>
      </c>
      <c r="D1477" s="26" t="s">
        <v>207</v>
      </c>
      <c r="E1477" s="26">
        <v>374</v>
      </c>
      <c r="G1477" s="27">
        <v>0.98709999999999998</v>
      </c>
      <c r="I1477" s="27">
        <v>1.29E-2</v>
      </c>
    </row>
    <row r="1478" spans="1:9" s="26" customFormat="1">
      <c r="A1478" s="26" t="s">
        <v>235</v>
      </c>
      <c r="B1478" s="26" t="s">
        <v>204</v>
      </c>
      <c r="C1478" s="26">
        <v>21</v>
      </c>
      <c r="D1478" s="26" t="s">
        <v>208</v>
      </c>
      <c r="E1478" s="26">
        <v>374</v>
      </c>
      <c r="G1478" s="27">
        <v>0.8095</v>
      </c>
      <c r="I1478" s="27">
        <v>0.1905</v>
      </c>
    </row>
    <row r="1479" spans="1:9" s="26" customFormat="1">
      <c r="A1479" s="26" t="s">
        <v>236</v>
      </c>
      <c r="B1479" s="26" t="s">
        <v>199</v>
      </c>
      <c r="C1479" s="26">
        <v>14</v>
      </c>
      <c r="D1479" s="26" t="s">
        <v>203</v>
      </c>
      <c r="E1479" s="26">
        <v>374</v>
      </c>
      <c r="G1479" s="27">
        <v>0.81469999999999998</v>
      </c>
      <c r="I1479" s="27">
        <v>0.18529999999999999</v>
      </c>
    </row>
    <row r="1480" spans="1:9" s="26" customFormat="1">
      <c r="A1480" s="26" t="s">
        <v>235</v>
      </c>
      <c r="B1480" s="26" t="s">
        <v>199</v>
      </c>
      <c r="C1480" s="26">
        <v>20</v>
      </c>
      <c r="D1480" s="26" t="s">
        <v>203</v>
      </c>
      <c r="E1480" s="26">
        <v>374</v>
      </c>
      <c r="G1480" s="27">
        <v>0.76070000000000004</v>
      </c>
      <c r="I1480" s="27">
        <v>0.23930000000000001</v>
      </c>
    </row>
    <row r="1481" spans="1:9" s="26" customFormat="1">
      <c r="A1481" s="26" t="s">
        <v>235</v>
      </c>
      <c r="B1481" s="26" t="s">
        <v>199</v>
      </c>
      <c r="C1481" s="26">
        <v>14</v>
      </c>
      <c r="D1481" s="26" t="s">
        <v>202</v>
      </c>
      <c r="E1481" s="26">
        <v>374</v>
      </c>
      <c r="G1481" s="27">
        <v>0.90469999999999995</v>
      </c>
      <c r="I1481" s="27">
        <v>9.5299999999999996E-2</v>
      </c>
    </row>
    <row r="1482" spans="1:9" s="26" customFormat="1">
      <c r="A1482" s="26" t="s">
        <v>236</v>
      </c>
      <c r="B1482" s="26" t="s">
        <v>199</v>
      </c>
      <c r="C1482" s="26">
        <v>4</v>
      </c>
      <c r="D1482" s="26" t="s">
        <v>200</v>
      </c>
      <c r="E1482" s="26">
        <v>374</v>
      </c>
      <c r="G1482" s="27">
        <v>0.97840000000000005</v>
      </c>
      <c r="I1482" s="27">
        <v>2.1600000000000001E-2</v>
      </c>
    </row>
    <row r="1483" spans="1:9" s="26" customFormat="1">
      <c r="A1483" s="26" t="s">
        <v>235</v>
      </c>
      <c r="B1483" s="26" t="s">
        <v>199</v>
      </c>
      <c r="C1483" s="26">
        <v>17</v>
      </c>
      <c r="D1483" s="26" t="s">
        <v>200</v>
      </c>
      <c r="E1483" s="26">
        <v>374</v>
      </c>
      <c r="G1483" s="27">
        <v>0.98280000000000001</v>
      </c>
      <c r="I1483" s="27">
        <v>1.72E-2</v>
      </c>
    </row>
    <row r="1484" spans="1:9" s="26" customFormat="1">
      <c r="A1484" s="26" t="s">
        <v>236</v>
      </c>
      <c r="B1484" s="26" t="s">
        <v>199</v>
      </c>
      <c r="C1484" s="26">
        <v>10</v>
      </c>
      <c r="D1484" s="26" t="s">
        <v>202</v>
      </c>
      <c r="E1484" s="26">
        <v>374</v>
      </c>
      <c r="G1484" s="27">
        <v>0.88009999999999999</v>
      </c>
      <c r="I1484" s="27">
        <v>0.11990000000000001</v>
      </c>
    </row>
    <row r="1485" spans="1:9">
      <c r="A1485" t="s">
        <v>235</v>
      </c>
      <c r="B1485" t="s">
        <v>199</v>
      </c>
      <c r="C1485">
        <v>31</v>
      </c>
      <c r="D1485" t="s">
        <v>201</v>
      </c>
      <c r="E1485">
        <v>374</v>
      </c>
      <c r="G1485" s="1">
        <v>0.871</v>
      </c>
      <c r="I1485" s="1">
        <v>0.129</v>
      </c>
    </row>
    <row r="1486" spans="1:9" s="26" customFormat="1">
      <c r="A1486" s="26" t="s">
        <v>236</v>
      </c>
      <c r="B1486" s="26" t="s">
        <v>209</v>
      </c>
      <c r="C1486" s="26">
        <v>16</v>
      </c>
      <c r="D1486" s="26" t="s">
        <v>211</v>
      </c>
      <c r="E1486" s="26">
        <v>374</v>
      </c>
      <c r="G1486" s="27">
        <v>0.72460000000000002</v>
      </c>
      <c r="I1486" s="27">
        <v>0.27539999999999998</v>
      </c>
    </row>
    <row r="1487" spans="1:9" s="26" customFormat="1">
      <c r="A1487" s="26" t="s">
        <v>235</v>
      </c>
      <c r="B1487" s="26" t="s">
        <v>209</v>
      </c>
      <c r="C1487" s="26">
        <v>28</v>
      </c>
      <c r="D1487" s="26" t="s">
        <v>211</v>
      </c>
      <c r="E1487" s="26">
        <v>374</v>
      </c>
      <c r="F1487" s="27">
        <v>3.32E-2</v>
      </c>
      <c r="G1487" s="27">
        <v>0.73160000000000003</v>
      </c>
      <c r="I1487" s="27">
        <v>0.23519999999999999</v>
      </c>
    </row>
    <row r="1488" spans="1:9" s="26" customFormat="1">
      <c r="A1488" s="26" t="s">
        <v>235</v>
      </c>
      <c r="B1488" s="26" t="s">
        <v>209</v>
      </c>
      <c r="C1488" s="26">
        <v>27</v>
      </c>
      <c r="D1488" s="26" t="s">
        <v>212</v>
      </c>
      <c r="E1488" s="26">
        <v>374</v>
      </c>
      <c r="G1488" s="27">
        <v>0.86739999999999995</v>
      </c>
      <c r="I1488" s="27">
        <v>0.1326</v>
      </c>
    </row>
    <row r="1489" spans="1:9" s="26" customFormat="1">
      <c r="A1489" s="26" t="s">
        <v>236</v>
      </c>
      <c r="B1489" s="26" t="s">
        <v>209</v>
      </c>
      <c r="C1489" s="26">
        <v>5</v>
      </c>
      <c r="D1489" s="26" t="s">
        <v>212</v>
      </c>
      <c r="E1489" s="26">
        <v>374</v>
      </c>
      <c r="G1489" s="27">
        <v>1</v>
      </c>
    </row>
    <row r="1490" spans="1:9" s="26" customFormat="1">
      <c r="A1490" s="26" t="s">
        <v>236</v>
      </c>
      <c r="B1490" s="26" t="s">
        <v>209</v>
      </c>
      <c r="C1490" s="26">
        <v>16</v>
      </c>
      <c r="D1490" s="26" t="s">
        <v>210</v>
      </c>
      <c r="E1490" s="26">
        <v>374</v>
      </c>
      <c r="G1490" s="27">
        <v>0.69630000000000003</v>
      </c>
      <c r="I1490" s="27">
        <v>0.30370000000000003</v>
      </c>
    </row>
    <row r="1491" spans="1:9" s="26" customFormat="1">
      <c r="A1491" s="26" t="s">
        <v>235</v>
      </c>
      <c r="B1491" s="26" t="s">
        <v>209</v>
      </c>
      <c r="C1491" s="26">
        <v>8</v>
      </c>
      <c r="D1491" s="26" t="s">
        <v>210</v>
      </c>
      <c r="E1491" s="26">
        <v>374</v>
      </c>
      <c r="G1491" s="27">
        <v>0.5</v>
      </c>
      <c r="I1491" s="27">
        <v>0.5</v>
      </c>
    </row>
    <row r="1493" spans="1:9">
      <c r="A1493" t="s">
        <v>430</v>
      </c>
    </row>
    <row r="1494" spans="1:9">
      <c r="A1494" t="s">
        <v>189</v>
      </c>
      <c r="B1494" t="s">
        <v>195</v>
      </c>
      <c r="C1494" t="s">
        <v>190</v>
      </c>
      <c r="D1494" t="s">
        <v>196</v>
      </c>
      <c r="E1494" t="s">
        <v>228</v>
      </c>
      <c r="F1494" t="s">
        <v>215</v>
      </c>
      <c r="G1494" t="s">
        <v>216</v>
      </c>
    </row>
    <row r="1495" spans="1:9">
      <c r="A1495" t="s">
        <v>197</v>
      </c>
      <c r="B1495">
        <v>449</v>
      </c>
      <c r="C1495" t="s">
        <v>198</v>
      </c>
      <c r="D1495">
        <v>449</v>
      </c>
      <c r="E1495" s="1">
        <v>1.7899999999999999E-2</v>
      </c>
      <c r="F1495" s="1">
        <v>0.53849999999999998</v>
      </c>
      <c r="G1495" s="1">
        <v>0.44359999999999999</v>
      </c>
    </row>
    <row r="1496" spans="1:9">
      <c r="A1496" t="s">
        <v>204</v>
      </c>
      <c r="B1496">
        <v>34</v>
      </c>
      <c r="C1496" t="s">
        <v>205</v>
      </c>
      <c r="D1496">
        <v>449</v>
      </c>
      <c r="E1496" s="1">
        <v>2.0400000000000001E-2</v>
      </c>
      <c r="F1496" s="1">
        <v>0.77529999999999999</v>
      </c>
      <c r="G1496" s="1">
        <v>0.20430000000000001</v>
      </c>
    </row>
    <row r="1497" spans="1:9">
      <c r="A1497" t="s">
        <v>204</v>
      </c>
      <c r="B1497">
        <v>40</v>
      </c>
      <c r="C1497" t="s">
        <v>206</v>
      </c>
      <c r="D1497">
        <v>449</v>
      </c>
      <c r="E1497" s="1">
        <v>2.07E-2</v>
      </c>
      <c r="F1497" s="1">
        <v>0.50409999999999999</v>
      </c>
      <c r="G1497" s="1">
        <v>0.47520000000000001</v>
      </c>
    </row>
    <row r="1498" spans="1:9">
      <c r="A1498" t="s">
        <v>204</v>
      </c>
      <c r="B1498">
        <v>56</v>
      </c>
      <c r="C1498" t="s">
        <v>207</v>
      </c>
      <c r="D1498">
        <v>449</v>
      </c>
      <c r="E1498" s="1">
        <v>1.0999999999999999E-2</v>
      </c>
      <c r="F1498" s="1">
        <v>0.17660000000000001</v>
      </c>
      <c r="G1498" s="1">
        <v>0.81230000000000002</v>
      </c>
    </row>
    <row r="1499" spans="1:9">
      <c r="A1499" t="s">
        <v>204</v>
      </c>
      <c r="B1499">
        <v>30</v>
      </c>
      <c r="C1499" t="s">
        <v>208</v>
      </c>
      <c r="D1499">
        <v>449</v>
      </c>
      <c r="F1499" s="1">
        <v>0.36670000000000003</v>
      </c>
      <c r="G1499" s="1">
        <v>0.63329999999999997</v>
      </c>
    </row>
    <row r="1500" spans="1:9">
      <c r="A1500" t="s">
        <v>199</v>
      </c>
      <c r="B1500">
        <v>30</v>
      </c>
      <c r="C1500" t="s">
        <v>200</v>
      </c>
      <c r="D1500">
        <v>449</v>
      </c>
      <c r="F1500" s="1">
        <v>0.83220000000000005</v>
      </c>
      <c r="G1500" s="1">
        <v>0.1678</v>
      </c>
    </row>
    <row r="1501" spans="1:9">
      <c r="A1501" t="s">
        <v>199</v>
      </c>
      <c r="B1501">
        <v>57</v>
      </c>
      <c r="C1501" t="s">
        <v>201</v>
      </c>
      <c r="D1501">
        <v>449</v>
      </c>
      <c r="E1501" s="1">
        <v>3.5099999999999999E-2</v>
      </c>
      <c r="F1501" s="1">
        <v>0.66669999999999996</v>
      </c>
      <c r="G1501" s="1">
        <v>0.29820000000000002</v>
      </c>
    </row>
    <row r="1502" spans="1:9">
      <c r="A1502" t="s">
        <v>199</v>
      </c>
      <c r="B1502">
        <v>37</v>
      </c>
      <c r="C1502" t="s">
        <v>202</v>
      </c>
      <c r="D1502">
        <v>449</v>
      </c>
      <c r="E1502" s="1">
        <v>2.47E-2</v>
      </c>
      <c r="F1502" s="1">
        <v>0.55400000000000005</v>
      </c>
      <c r="G1502" s="1">
        <v>0.4214</v>
      </c>
    </row>
    <row r="1503" spans="1:9">
      <c r="A1503" t="s">
        <v>199</v>
      </c>
      <c r="B1503">
        <v>37</v>
      </c>
      <c r="C1503" t="s">
        <v>203</v>
      </c>
      <c r="D1503">
        <v>449</v>
      </c>
      <c r="F1503" s="1">
        <v>0.20180000000000001</v>
      </c>
      <c r="G1503" s="1">
        <v>0.79820000000000002</v>
      </c>
    </row>
    <row r="1504" spans="1:9">
      <c r="A1504" t="s">
        <v>209</v>
      </c>
      <c r="B1504">
        <v>30</v>
      </c>
      <c r="C1504" t="s">
        <v>210</v>
      </c>
      <c r="D1504">
        <v>449</v>
      </c>
      <c r="F1504" s="1">
        <v>0.34399999999999997</v>
      </c>
      <c r="G1504" s="1">
        <v>0.65600000000000003</v>
      </c>
    </row>
    <row r="1505" spans="1:8">
      <c r="A1505" t="s">
        <v>209</v>
      </c>
      <c r="B1505">
        <v>52</v>
      </c>
      <c r="C1505" t="s">
        <v>211</v>
      </c>
      <c r="D1505">
        <v>449</v>
      </c>
      <c r="E1505" s="1">
        <v>1.5299999999999999E-2</v>
      </c>
      <c r="F1505" s="1">
        <v>0.65820000000000001</v>
      </c>
      <c r="G1505" s="1">
        <v>0.32650000000000001</v>
      </c>
    </row>
    <row r="1506" spans="1:8">
      <c r="A1506" t="s">
        <v>209</v>
      </c>
      <c r="B1506">
        <v>46</v>
      </c>
      <c r="C1506" t="s">
        <v>212</v>
      </c>
      <c r="D1506">
        <v>449</v>
      </c>
      <c r="F1506" s="1">
        <v>0.37590000000000001</v>
      </c>
      <c r="G1506" s="1">
        <v>0.62409999999999999</v>
      </c>
    </row>
    <row r="1508" spans="1:8">
      <c r="A1508" t="s">
        <v>431</v>
      </c>
    </row>
    <row r="1509" spans="1:8">
      <c r="A1509" t="s">
        <v>214</v>
      </c>
      <c r="B1509" t="s">
        <v>189</v>
      </c>
      <c r="C1509" t="s">
        <v>195</v>
      </c>
      <c r="D1509" t="s">
        <v>190</v>
      </c>
      <c r="E1509" t="s">
        <v>196</v>
      </c>
      <c r="F1509" t="s">
        <v>228</v>
      </c>
      <c r="G1509" t="s">
        <v>215</v>
      </c>
      <c r="H1509" t="s">
        <v>216</v>
      </c>
    </row>
    <row r="1510" spans="1:8">
      <c r="A1510" t="s">
        <v>198</v>
      </c>
      <c r="B1510" t="s">
        <v>197</v>
      </c>
      <c r="C1510">
        <v>449</v>
      </c>
      <c r="D1510" t="s">
        <v>198</v>
      </c>
      <c r="E1510">
        <v>449</v>
      </c>
      <c r="F1510" s="1">
        <v>1.7899999999999999E-2</v>
      </c>
      <c r="G1510" s="1">
        <v>0.53849999999999998</v>
      </c>
      <c r="H1510" s="1">
        <v>0.44359999999999999</v>
      </c>
    </row>
    <row r="1511" spans="1:8" s="26" customFormat="1">
      <c r="A1511" s="26" t="s">
        <v>235</v>
      </c>
      <c r="B1511" s="26" t="s">
        <v>204</v>
      </c>
      <c r="C1511" s="26">
        <v>23</v>
      </c>
      <c r="D1511" s="26" t="s">
        <v>208</v>
      </c>
      <c r="E1511" s="26">
        <v>449</v>
      </c>
      <c r="G1511" s="27">
        <v>0.30430000000000001</v>
      </c>
      <c r="H1511" s="27">
        <v>0.69569999999999999</v>
      </c>
    </row>
    <row r="1512" spans="1:8" s="26" customFormat="1">
      <c r="A1512" s="26" t="s">
        <v>236</v>
      </c>
      <c r="B1512" s="26" t="s">
        <v>204</v>
      </c>
      <c r="C1512" s="26">
        <v>16</v>
      </c>
      <c r="D1512" s="26" t="s">
        <v>205</v>
      </c>
      <c r="E1512" s="26">
        <v>449</v>
      </c>
      <c r="F1512" s="27">
        <v>4.9399999999999999E-2</v>
      </c>
      <c r="G1512" s="27">
        <v>0.36099999999999999</v>
      </c>
      <c r="H1512" s="27">
        <v>0.58960000000000001</v>
      </c>
    </row>
    <row r="1513" spans="1:8" s="26" customFormat="1">
      <c r="A1513" s="26" t="s">
        <v>235</v>
      </c>
      <c r="B1513" s="26" t="s">
        <v>204</v>
      </c>
      <c r="C1513" s="26">
        <v>18</v>
      </c>
      <c r="D1513" s="26" t="s">
        <v>205</v>
      </c>
      <c r="E1513" s="26">
        <v>449</v>
      </c>
      <c r="F1513" s="27">
        <v>1.29E-2</v>
      </c>
      <c r="G1513" s="27">
        <v>0.8831</v>
      </c>
      <c r="H1513" s="27">
        <v>0.1041</v>
      </c>
    </row>
    <row r="1514" spans="1:8" s="26" customFormat="1">
      <c r="A1514" s="26" t="s">
        <v>236</v>
      </c>
      <c r="B1514" s="26" t="s">
        <v>204</v>
      </c>
      <c r="C1514" s="26">
        <v>15</v>
      </c>
      <c r="D1514" s="26" t="s">
        <v>206</v>
      </c>
      <c r="E1514" s="26">
        <v>449</v>
      </c>
      <c r="F1514" s="27">
        <v>6.1800000000000001E-2</v>
      </c>
      <c r="G1514" s="27">
        <v>0.39510000000000001</v>
      </c>
      <c r="H1514" s="27">
        <v>0.54310000000000003</v>
      </c>
    </row>
    <row r="1515" spans="1:8" s="26" customFormat="1">
      <c r="A1515" s="26" t="s">
        <v>235</v>
      </c>
      <c r="B1515" s="26" t="s">
        <v>204</v>
      </c>
      <c r="C1515" s="26">
        <v>25</v>
      </c>
      <c r="D1515" s="26" t="s">
        <v>206</v>
      </c>
      <c r="E1515" s="26">
        <v>449</v>
      </c>
      <c r="G1515" s="27">
        <v>0.55900000000000005</v>
      </c>
      <c r="H1515" s="27">
        <v>0.441</v>
      </c>
    </row>
    <row r="1516" spans="1:8">
      <c r="A1516" t="s">
        <v>236</v>
      </c>
      <c r="B1516" t="s">
        <v>204</v>
      </c>
      <c r="C1516">
        <v>41</v>
      </c>
      <c r="D1516" t="s">
        <v>207</v>
      </c>
      <c r="E1516">
        <v>449</v>
      </c>
      <c r="G1516" s="1">
        <v>0.14910000000000001</v>
      </c>
      <c r="H1516" s="1">
        <v>0.85089999999999999</v>
      </c>
    </row>
    <row r="1517" spans="1:8" s="26" customFormat="1">
      <c r="A1517" s="26" t="s">
        <v>235</v>
      </c>
      <c r="B1517" s="26" t="s">
        <v>204</v>
      </c>
      <c r="C1517" s="26">
        <v>12</v>
      </c>
      <c r="D1517" s="26" t="s">
        <v>207</v>
      </c>
      <c r="E1517" s="26">
        <v>449</v>
      </c>
      <c r="F1517" s="27">
        <v>3.5200000000000002E-2</v>
      </c>
      <c r="G1517" s="27">
        <v>0.1691</v>
      </c>
      <c r="H1517" s="27">
        <v>0.79579999999999995</v>
      </c>
    </row>
    <row r="1518" spans="1:8" s="26" customFormat="1">
      <c r="A1518" s="26" t="s">
        <v>236</v>
      </c>
      <c r="B1518" s="26" t="s">
        <v>204</v>
      </c>
      <c r="C1518" s="26">
        <v>7</v>
      </c>
      <c r="D1518" s="26" t="s">
        <v>208</v>
      </c>
      <c r="E1518" s="26">
        <v>449</v>
      </c>
      <c r="G1518" s="27">
        <v>0.57140000000000002</v>
      </c>
      <c r="H1518" s="27">
        <v>0.42859999999999998</v>
      </c>
    </row>
    <row r="1519" spans="1:8" s="26" customFormat="1">
      <c r="A1519" s="26" t="s">
        <v>235</v>
      </c>
      <c r="B1519" s="26" t="s">
        <v>199</v>
      </c>
      <c r="C1519" s="26">
        <v>21</v>
      </c>
      <c r="D1519" s="26" t="s">
        <v>203</v>
      </c>
      <c r="E1519" s="26">
        <v>449</v>
      </c>
      <c r="G1519" s="27">
        <v>0.14019999999999999</v>
      </c>
      <c r="H1519" s="27">
        <v>0.85980000000000001</v>
      </c>
    </row>
    <row r="1520" spans="1:8" s="26" customFormat="1">
      <c r="A1520" s="26" t="s">
        <v>236</v>
      </c>
      <c r="B1520" s="26" t="s">
        <v>199</v>
      </c>
      <c r="C1520" s="26">
        <v>15</v>
      </c>
      <c r="D1520" s="26" t="s">
        <v>203</v>
      </c>
      <c r="E1520" s="26">
        <v>449</v>
      </c>
      <c r="G1520" s="27">
        <v>0.3967</v>
      </c>
      <c r="H1520" s="27">
        <v>0.60329999999999995</v>
      </c>
    </row>
    <row r="1521" spans="1:8" s="26" customFormat="1">
      <c r="A1521" s="26" t="s">
        <v>235</v>
      </c>
      <c r="B1521" s="26" t="s">
        <v>199</v>
      </c>
      <c r="C1521" s="26">
        <v>24</v>
      </c>
      <c r="D1521" s="26" t="s">
        <v>202</v>
      </c>
      <c r="E1521" s="26">
        <v>449</v>
      </c>
      <c r="F1521" s="27">
        <v>4.07E-2</v>
      </c>
      <c r="G1521" s="27">
        <v>0.37759999999999999</v>
      </c>
      <c r="H1521" s="27">
        <v>0.58179999999999998</v>
      </c>
    </row>
    <row r="1522" spans="1:8" s="26" customFormat="1">
      <c r="A1522" s="26" t="s">
        <v>236</v>
      </c>
      <c r="B1522" s="26" t="s">
        <v>199</v>
      </c>
      <c r="C1522" s="26">
        <v>6</v>
      </c>
      <c r="D1522" s="26" t="s">
        <v>200</v>
      </c>
      <c r="E1522" s="26">
        <v>449</v>
      </c>
      <c r="G1522" s="27">
        <v>0.9698</v>
      </c>
      <c r="H1522" s="27">
        <v>3.0200000000000001E-2</v>
      </c>
    </row>
    <row r="1523" spans="1:8" s="26" customFormat="1">
      <c r="A1523" s="26" t="s">
        <v>235</v>
      </c>
      <c r="B1523" s="26" t="s">
        <v>199</v>
      </c>
      <c r="C1523" s="26">
        <v>22</v>
      </c>
      <c r="D1523" s="26" t="s">
        <v>200</v>
      </c>
      <c r="E1523" s="26">
        <v>449</v>
      </c>
      <c r="G1523" s="27">
        <v>0.76700000000000002</v>
      </c>
      <c r="H1523" s="27">
        <v>0.23300000000000001</v>
      </c>
    </row>
    <row r="1524" spans="1:8" s="26" customFormat="1">
      <c r="A1524" s="26" t="s">
        <v>236</v>
      </c>
      <c r="B1524" s="26" t="s">
        <v>199</v>
      </c>
      <c r="C1524" s="26">
        <v>13</v>
      </c>
      <c r="D1524" s="26" t="s">
        <v>202</v>
      </c>
      <c r="E1524" s="26">
        <v>449</v>
      </c>
      <c r="G1524" s="27">
        <v>0.82550000000000001</v>
      </c>
      <c r="H1524" s="27">
        <v>0.17449999999999999</v>
      </c>
    </row>
    <row r="1525" spans="1:8">
      <c r="A1525" t="s">
        <v>235</v>
      </c>
      <c r="B1525" t="s">
        <v>199</v>
      </c>
      <c r="C1525">
        <v>57</v>
      </c>
      <c r="D1525" t="s">
        <v>201</v>
      </c>
      <c r="E1525">
        <v>449</v>
      </c>
      <c r="F1525" s="1">
        <v>3.5099999999999999E-2</v>
      </c>
      <c r="G1525" s="1">
        <v>0.66669999999999996</v>
      </c>
      <c r="H1525" s="1">
        <v>0.29820000000000002</v>
      </c>
    </row>
    <row r="1526" spans="1:8" s="26" customFormat="1">
      <c r="A1526" s="26" t="s">
        <v>236</v>
      </c>
      <c r="B1526" s="26" t="s">
        <v>209</v>
      </c>
      <c r="C1526" s="26">
        <v>19</v>
      </c>
      <c r="D1526" s="26" t="s">
        <v>211</v>
      </c>
      <c r="E1526" s="26">
        <v>449</v>
      </c>
      <c r="F1526" s="27">
        <v>2.29E-2</v>
      </c>
      <c r="G1526" s="27">
        <v>0.61370000000000002</v>
      </c>
      <c r="H1526" s="27">
        <v>0.3634</v>
      </c>
    </row>
    <row r="1527" spans="1:8">
      <c r="A1527" t="s">
        <v>235</v>
      </c>
      <c r="B1527" t="s">
        <v>209</v>
      </c>
      <c r="C1527">
        <v>31</v>
      </c>
      <c r="D1527" t="s">
        <v>211</v>
      </c>
      <c r="E1527">
        <v>449</v>
      </c>
      <c r="F1527" s="1">
        <v>1.2500000000000001E-2</v>
      </c>
      <c r="G1527" s="1">
        <v>0.65169999999999995</v>
      </c>
      <c r="H1527" s="1">
        <v>0.33579999999999999</v>
      </c>
    </row>
    <row r="1528" spans="1:8">
      <c r="A1528" t="s">
        <v>235</v>
      </c>
      <c r="B1528" t="s">
        <v>209</v>
      </c>
      <c r="C1528">
        <v>37</v>
      </c>
      <c r="D1528" t="s">
        <v>212</v>
      </c>
      <c r="E1528">
        <v>449</v>
      </c>
      <c r="G1528" s="1">
        <v>0.316</v>
      </c>
      <c r="H1528" s="1">
        <v>0.68400000000000005</v>
      </c>
    </row>
    <row r="1529" spans="1:8" s="26" customFormat="1">
      <c r="A1529" s="26" t="s">
        <v>236</v>
      </c>
      <c r="B1529" s="26" t="s">
        <v>209</v>
      </c>
      <c r="C1529" s="26">
        <v>9</v>
      </c>
      <c r="D1529" s="26" t="s">
        <v>212</v>
      </c>
      <c r="E1529" s="26">
        <v>449</v>
      </c>
      <c r="G1529" s="27">
        <v>0.80620000000000003</v>
      </c>
      <c r="H1529" s="27">
        <v>0.1938</v>
      </c>
    </row>
    <row r="1530" spans="1:8" s="26" customFormat="1">
      <c r="A1530" s="26" t="s">
        <v>236</v>
      </c>
      <c r="B1530" s="26" t="s">
        <v>209</v>
      </c>
      <c r="C1530" s="26">
        <v>19</v>
      </c>
      <c r="D1530" s="26" t="s">
        <v>210</v>
      </c>
      <c r="E1530" s="26">
        <v>449</v>
      </c>
      <c r="G1530" s="27">
        <v>0.22370000000000001</v>
      </c>
      <c r="H1530" s="27">
        <v>0.77629999999999999</v>
      </c>
    </row>
    <row r="1531" spans="1:8" s="26" customFormat="1">
      <c r="A1531" s="26" t="s">
        <v>235</v>
      </c>
      <c r="B1531" s="26" t="s">
        <v>209</v>
      </c>
      <c r="C1531" s="26">
        <v>8</v>
      </c>
      <c r="D1531" s="26" t="s">
        <v>210</v>
      </c>
      <c r="E1531" s="26">
        <v>449</v>
      </c>
      <c r="G1531" s="27">
        <v>0.5</v>
      </c>
      <c r="H1531" s="27">
        <v>0.5</v>
      </c>
    </row>
    <row r="1533" spans="1:8">
      <c r="A1533" t="s">
        <v>432</v>
      </c>
    </row>
    <row r="1534" spans="1:8">
      <c r="A1534" t="s">
        <v>189</v>
      </c>
      <c r="B1534" t="s">
        <v>190</v>
      </c>
      <c r="C1534" t="s">
        <v>191</v>
      </c>
      <c r="D1534" t="s">
        <v>192</v>
      </c>
      <c r="E1534" t="s">
        <v>193</v>
      </c>
      <c r="F1534" t="s">
        <v>194</v>
      </c>
      <c r="G1534" t="s">
        <v>195</v>
      </c>
      <c r="H1534" t="s">
        <v>196</v>
      </c>
    </row>
    <row r="1535" spans="1:8">
      <c r="A1535" t="s">
        <v>197</v>
      </c>
      <c r="B1535" t="s">
        <v>198</v>
      </c>
      <c r="C1535">
        <v>9.8608902008167671</v>
      </c>
      <c r="D1535">
        <v>8</v>
      </c>
      <c r="E1535">
        <v>0</v>
      </c>
      <c r="F1535">
        <v>56</v>
      </c>
      <c r="G1535">
        <v>449</v>
      </c>
      <c r="H1535">
        <v>449</v>
      </c>
    </row>
    <row r="1536" spans="1:8">
      <c r="A1536" t="s">
        <v>199</v>
      </c>
      <c r="B1536" t="s">
        <v>200</v>
      </c>
      <c r="C1536">
        <v>7.5880855351794709</v>
      </c>
      <c r="D1536">
        <v>7</v>
      </c>
      <c r="E1536">
        <v>0</v>
      </c>
      <c r="F1536">
        <v>40</v>
      </c>
      <c r="G1536">
        <v>30</v>
      </c>
      <c r="H1536">
        <v>449</v>
      </c>
    </row>
    <row r="1537" spans="1:18">
      <c r="A1537" t="s">
        <v>199</v>
      </c>
      <c r="B1537" t="s">
        <v>201</v>
      </c>
      <c r="C1537">
        <v>8.0877192982456148</v>
      </c>
      <c r="D1537">
        <v>7</v>
      </c>
      <c r="E1537">
        <v>0</v>
      </c>
      <c r="F1537">
        <v>25</v>
      </c>
      <c r="G1537">
        <v>57</v>
      </c>
      <c r="H1537">
        <v>449</v>
      </c>
    </row>
    <row r="1538" spans="1:18">
      <c r="A1538" t="s">
        <v>199</v>
      </c>
      <c r="B1538" t="s">
        <v>202</v>
      </c>
      <c r="C1538">
        <v>10.358403632323769</v>
      </c>
      <c r="D1538">
        <v>13</v>
      </c>
      <c r="E1538">
        <v>0</v>
      </c>
      <c r="F1538">
        <v>28</v>
      </c>
      <c r="G1538">
        <v>37</v>
      </c>
      <c r="H1538">
        <v>449</v>
      </c>
    </row>
    <row r="1539" spans="1:18">
      <c r="A1539" t="s">
        <v>199</v>
      </c>
      <c r="B1539" t="s">
        <v>203</v>
      </c>
      <c r="C1539">
        <v>11.987623139498901</v>
      </c>
      <c r="D1539">
        <v>10</v>
      </c>
      <c r="E1539">
        <v>1</v>
      </c>
      <c r="F1539">
        <v>40</v>
      </c>
      <c r="G1539">
        <v>37</v>
      </c>
      <c r="H1539">
        <v>449</v>
      </c>
    </row>
    <row r="1540" spans="1:18">
      <c r="A1540" t="s">
        <v>204</v>
      </c>
      <c r="B1540" t="s">
        <v>205</v>
      </c>
      <c r="C1540">
        <v>8.1356052098416232</v>
      </c>
      <c r="D1540">
        <v>6</v>
      </c>
      <c r="E1540">
        <v>0</v>
      </c>
      <c r="F1540">
        <v>30</v>
      </c>
      <c r="G1540">
        <v>34</v>
      </c>
      <c r="H1540">
        <v>449</v>
      </c>
    </row>
    <row r="1541" spans="1:18">
      <c r="A1541" t="s">
        <v>204</v>
      </c>
      <c r="B1541" t="s">
        <v>206</v>
      </c>
      <c r="C1541">
        <v>16.70674089619569</v>
      </c>
      <c r="D1541">
        <v>14</v>
      </c>
      <c r="E1541">
        <v>0</v>
      </c>
      <c r="F1541">
        <v>56</v>
      </c>
      <c r="G1541">
        <v>40</v>
      </c>
      <c r="H1541">
        <v>449</v>
      </c>
    </row>
    <row r="1542" spans="1:18">
      <c r="A1542" t="s">
        <v>204</v>
      </c>
      <c r="B1542" t="s">
        <v>207</v>
      </c>
      <c r="C1542">
        <v>10.15432145631709</v>
      </c>
      <c r="D1542">
        <v>7</v>
      </c>
      <c r="E1542">
        <v>0</v>
      </c>
      <c r="F1542">
        <v>50</v>
      </c>
      <c r="G1542">
        <v>56</v>
      </c>
      <c r="H1542">
        <v>449</v>
      </c>
    </row>
    <row r="1543" spans="1:18">
      <c r="A1543" t="s">
        <v>204</v>
      </c>
      <c r="B1543" t="s">
        <v>208</v>
      </c>
      <c r="C1543">
        <v>13.733333333333331</v>
      </c>
      <c r="D1543">
        <v>8</v>
      </c>
      <c r="E1543">
        <v>0</v>
      </c>
      <c r="F1543">
        <v>50</v>
      </c>
      <c r="G1543">
        <v>30</v>
      </c>
      <c r="H1543">
        <v>449</v>
      </c>
    </row>
    <row r="1544" spans="1:18">
      <c r="A1544" t="s">
        <v>209</v>
      </c>
      <c r="B1544" t="s">
        <v>210</v>
      </c>
      <c r="C1544">
        <v>15.433621531416151</v>
      </c>
      <c r="D1544">
        <v>20</v>
      </c>
      <c r="E1544">
        <v>0</v>
      </c>
      <c r="F1544">
        <v>35</v>
      </c>
      <c r="G1544">
        <v>30</v>
      </c>
      <c r="H1544">
        <v>449</v>
      </c>
    </row>
    <row r="1545" spans="1:18">
      <c r="A1545" t="s">
        <v>209</v>
      </c>
      <c r="B1545" t="s">
        <v>211</v>
      </c>
      <c r="C1545">
        <v>13.04674728302229</v>
      </c>
      <c r="D1545">
        <v>10</v>
      </c>
      <c r="E1545">
        <v>0</v>
      </c>
      <c r="F1545">
        <v>56</v>
      </c>
      <c r="G1545">
        <v>52</v>
      </c>
      <c r="H1545">
        <v>449</v>
      </c>
    </row>
    <row r="1546" spans="1:18">
      <c r="A1546" t="s">
        <v>209</v>
      </c>
      <c r="B1546" t="s">
        <v>212</v>
      </c>
      <c r="C1546">
        <v>9.7189623106343515</v>
      </c>
      <c r="D1546">
        <v>10</v>
      </c>
      <c r="E1546">
        <v>0</v>
      </c>
      <c r="F1546">
        <v>42</v>
      </c>
      <c r="G1546">
        <v>46</v>
      </c>
      <c r="H1546">
        <v>449</v>
      </c>
    </row>
    <row r="1548" spans="1:18">
      <c r="A1548" t="s">
        <v>433</v>
      </c>
    </row>
    <row r="1549" spans="1:18">
      <c r="A1549" t="s">
        <v>189</v>
      </c>
      <c r="B1549" t="s">
        <v>195</v>
      </c>
      <c r="C1549" t="s">
        <v>190</v>
      </c>
      <c r="D1549" t="s">
        <v>196</v>
      </c>
      <c r="E1549" t="s">
        <v>434</v>
      </c>
      <c r="F1549" t="s">
        <v>435</v>
      </c>
      <c r="G1549" t="s">
        <v>436</v>
      </c>
      <c r="H1549" t="s">
        <v>437</v>
      </c>
      <c r="I1549" t="s">
        <v>438</v>
      </c>
      <c r="J1549" t="s">
        <v>439</v>
      </c>
      <c r="K1549" t="s">
        <v>440</v>
      </c>
      <c r="L1549" t="s">
        <v>276</v>
      </c>
      <c r="M1549" t="s">
        <v>441</v>
      </c>
      <c r="N1549" t="s">
        <v>223</v>
      </c>
      <c r="O1549" t="s">
        <v>442</v>
      </c>
      <c r="P1549" t="s">
        <v>443</v>
      </c>
      <c r="Q1549" t="s">
        <v>444</v>
      </c>
      <c r="R1549" t="s">
        <v>445</v>
      </c>
    </row>
    <row r="1550" spans="1:18">
      <c r="A1550" t="s">
        <v>197</v>
      </c>
      <c r="B1550">
        <v>968</v>
      </c>
      <c r="C1550" t="s">
        <v>198</v>
      </c>
      <c r="D1550">
        <v>968</v>
      </c>
      <c r="E1550" s="1">
        <v>0.11749999999999999</v>
      </c>
      <c r="F1550" s="1">
        <v>5.33E-2</v>
      </c>
      <c r="G1550" s="1">
        <v>0.92220000000000002</v>
      </c>
      <c r="H1550" s="1">
        <v>0.60529999999999995</v>
      </c>
      <c r="I1550" s="1">
        <v>0.99280000000000002</v>
      </c>
      <c r="J1550" s="1">
        <v>7.9000000000000001E-2</v>
      </c>
      <c r="K1550" s="1">
        <v>0.32340000000000002</v>
      </c>
      <c r="L1550" s="1">
        <v>2.0000000000000001E-4</v>
      </c>
      <c r="M1550" s="1">
        <v>0.79590000000000005</v>
      </c>
      <c r="N1550" s="1">
        <v>1E-4</v>
      </c>
      <c r="O1550" s="1">
        <v>0.62919999999999998</v>
      </c>
      <c r="P1550" s="1">
        <v>0.68959999999999999</v>
      </c>
      <c r="Q1550" s="1">
        <v>0.94120000000000004</v>
      </c>
      <c r="R1550" s="1">
        <v>0.54720000000000002</v>
      </c>
    </row>
    <row r="1551" spans="1:18">
      <c r="A1551" t="s">
        <v>204</v>
      </c>
      <c r="B1551">
        <v>91</v>
      </c>
      <c r="C1551" t="s">
        <v>205</v>
      </c>
      <c r="D1551">
        <v>968</v>
      </c>
      <c r="E1551" s="1">
        <v>0.1883</v>
      </c>
      <c r="F1551" s="1">
        <v>3.6700000000000003E-2</v>
      </c>
      <c r="G1551" s="1">
        <v>0.95350000000000001</v>
      </c>
      <c r="H1551" s="1">
        <v>0.69040000000000001</v>
      </c>
      <c r="I1551" s="1">
        <v>1</v>
      </c>
      <c r="J1551" s="1">
        <v>3.9100000000000003E-2</v>
      </c>
      <c r="K1551" s="1">
        <v>0.14000000000000001</v>
      </c>
      <c r="M1551" s="1">
        <v>0.75</v>
      </c>
      <c r="O1551" s="1">
        <v>0.7137</v>
      </c>
      <c r="P1551" s="1">
        <v>0.69650000000000001</v>
      </c>
      <c r="Q1551" s="1">
        <v>0.95230000000000004</v>
      </c>
      <c r="R1551" s="1">
        <v>0.66459999999999997</v>
      </c>
    </row>
    <row r="1552" spans="1:18">
      <c r="A1552" t="s">
        <v>204</v>
      </c>
      <c r="B1552">
        <v>72</v>
      </c>
      <c r="C1552" t="s">
        <v>206</v>
      </c>
      <c r="D1552">
        <v>968</v>
      </c>
      <c r="E1552" s="1">
        <v>3.9600000000000003E-2</v>
      </c>
      <c r="F1552" s="1">
        <v>6.7500000000000004E-2</v>
      </c>
      <c r="G1552" s="1">
        <v>0.83720000000000006</v>
      </c>
      <c r="H1552" s="1">
        <v>0.56740000000000002</v>
      </c>
      <c r="I1552" s="1">
        <v>1</v>
      </c>
      <c r="J1552" s="1">
        <v>0.20699999999999999</v>
      </c>
      <c r="K1552" s="1">
        <v>0.379</v>
      </c>
      <c r="M1552" s="1">
        <v>0.75349999999999995</v>
      </c>
      <c r="O1552" s="1">
        <v>0.4975</v>
      </c>
      <c r="P1552" s="1">
        <v>0.4652</v>
      </c>
      <c r="Q1552" s="1">
        <v>0.88129999999999997</v>
      </c>
      <c r="R1552" s="1">
        <v>0.59040000000000004</v>
      </c>
    </row>
    <row r="1553" spans="1:19">
      <c r="A1553" t="s">
        <v>204</v>
      </c>
      <c r="B1553">
        <v>131</v>
      </c>
      <c r="C1553" t="s">
        <v>207</v>
      </c>
      <c r="D1553">
        <v>968</v>
      </c>
      <c r="E1553" s="1">
        <v>0.13039999999999999</v>
      </c>
      <c r="F1553" s="1">
        <v>0.1517</v>
      </c>
      <c r="G1553" s="1">
        <v>0.95909999999999995</v>
      </c>
      <c r="H1553" s="1">
        <v>0.52449999999999997</v>
      </c>
      <c r="I1553" s="1">
        <v>0.99660000000000004</v>
      </c>
      <c r="J1553" s="1">
        <v>8.77E-2</v>
      </c>
      <c r="K1553" s="1">
        <v>0.503</v>
      </c>
      <c r="L1553" s="1">
        <v>8.9999999999999998E-4</v>
      </c>
      <c r="M1553" s="1">
        <v>0.7984</v>
      </c>
      <c r="O1553" s="1">
        <v>0.48599999999999999</v>
      </c>
      <c r="P1553" s="1">
        <v>0.50160000000000005</v>
      </c>
      <c r="Q1553" s="1">
        <v>0.92710000000000004</v>
      </c>
      <c r="R1553" s="1">
        <v>0.48849999999999999</v>
      </c>
    </row>
    <row r="1554" spans="1:19">
      <c r="A1554" t="s">
        <v>204</v>
      </c>
      <c r="B1554">
        <v>74</v>
      </c>
      <c r="C1554" t="s">
        <v>208</v>
      </c>
      <c r="D1554">
        <v>968</v>
      </c>
      <c r="E1554" s="1">
        <v>0.1216</v>
      </c>
      <c r="F1554" s="1">
        <v>1.35E-2</v>
      </c>
      <c r="G1554" s="1">
        <v>0.90539999999999998</v>
      </c>
      <c r="H1554" s="1">
        <v>0.58109999999999995</v>
      </c>
      <c r="I1554" s="1">
        <v>0.98650000000000004</v>
      </c>
      <c r="J1554" s="1">
        <v>0.1081</v>
      </c>
      <c r="K1554" s="1">
        <v>0.43240000000000001</v>
      </c>
      <c r="M1554" s="1">
        <v>0.8649</v>
      </c>
      <c r="O1554" s="1">
        <v>0.66220000000000001</v>
      </c>
      <c r="P1554" s="1">
        <v>0.71619999999999995</v>
      </c>
      <c r="Q1554" s="1">
        <v>0.97299999999999998</v>
      </c>
      <c r="R1554" s="1">
        <v>0.6351</v>
      </c>
    </row>
    <row r="1555" spans="1:19">
      <c r="A1555" t="s">
        <v>199</v>
      </c>
      <c r="B1555">
        <v>73</v>
      </c>
      <c r="C1555" t="s">
        <v>200</v>
      </c>
      <c r="D1555">
        <v>968</v>
      </c>
      <c r="E1555" s="1">
        <v>0.1069</v>
      </c>
      <c r="F1555" s="1">
        <v>1.6000000000000001E-3</v>
      </c>
      <c r="G1555" s="1">
        <v>0.92100000000000004</v>
      </c>
      <c r="H1555" s="1">
        <v>0.52980000000000005</v>
      </c>
      <c r="I1555" s="1">
        <v>0.99680000000000002</v>
      </c>
      <c r="J1555" s="1">
        <v>0.25190000000000001</v>
      </c>
      <c r="K1555" s="1">
        <v>0.19409999999999999</v>
      </c>
      <c r="M1555" s="1">
        <v>0.92210000000000003</v>
      </c>
      <c r="O1555" s="1">
        <v>0.31580000000000003</v>
      </c>
      <c r="P1555" s="1">
        <v>0.8569</v>
      </c>
      <c r="Q1555" s="1">
        <v>0.99209999999999998</v>
      </c>
      <c r="R1555" s="1">
        <v>0.27989999999999998</v>
      </c>
    </row>
    <row r="1556" spans="1:19">
      <c r="A1556" t="s">
        <v>199</v>
      </c>
      <c r="B1556">
        <v>96</v>
      </c>
      <c r="C1556" t="s">
        <v>201</v>
      </c>
      <c r="D1556">
        <v>968</v>
      </c>
      <c r="E1556" s="1">
        <v>7.2900000000000006E-2</v>
      </c>
      <c r="G1556" s="1">
        <v>0.91669999999999996</v>
      </c>
      <c r="H1556" s="1">
        <v>0.59379999999999999</v>
      </c>
      <c r="I1556" s="1">
        <v>0.98960000000000004</v>
      </c>
      <c r="J1556" s="1">
        <v>8.3299999999999999E-2</v>
      </c>
      <c r="K1556" s="1">
        <v>0.3125</v>
      </c>
      <c r="M1556" s="1">
        <v>0.75</v>
      </c>
      <c r="O1556" s="1">
        <v>0.76039999999999996</v>
      </c>
      <c r="P1556" s="1">
        <v>0.72919999999999996</v>
      </c>
      <c r="Q1556" s="1">
        <v>0.9375</v>
      </c>
      <c r="R1556" s="1">
        <v>0.5625</v>
      </c>
    </row>
    <row r="1557" spans="1:19">
      <c r="A1557" t="s">
        <v>199</v>
      </c>
      <c r="B1557">
        <v>98</v>
      </c>
      <c r="C1557" t="s">
        <v>202</v>
      </c>
      <c r="D1557">
        <v>968</v>
      </c>
      <c r="E1557" s="1">
        <v>8.8099999999999998E-2</v>
      </c>
      <c r="F1557" s="1">
        <v>5.74E-2</v>
      </c>
      <c r="G1557" s="1">
        <v>0.90269999999999995</v>
      </c>
      <c r="H1557" s="1">
        <v>0.62009999999999998</v>
      </c>
      <c r="I1557" s="1">
        <v>1</v>
      </c>
      <c r="J1557" s="1">
        <v>4.2500000000000003E-2</v>
      </c>
      <c r="K1557" s="1">
        <v>0.3634</v>
      </c>
      <c r="M1557" s="1">
        <v>0.88029999999999997</v>
      </c>
      <c r="O1557" s="1">
        <v>0.58340000000000003</v>
      </c>
      <c r="P1557" s="1">
        <v>0.73509999999999998</v>
      </c>
      <c r="Q1557" s="1">
        <v>0.93389999999999995</v>
      </c>
      <c r="R1557" s="1">
        <v>0.4919</v>
      </c>
    </row>
    <row r="1558" spans="1:19">
      <c r="A1558" t="s">
        <v>199</v>
      </c>
      <c r="B1558">
        <v>77</v>
      </c>
      <c r="C1558" t="s">
        <v>203</v>
      </c>
      <c r="D1558">
        <v>968</v>
      </c>
      <c r="E1558" s="1">
        <v>2.9700000000000001E-2</v>
      </c>
      <c r="F1558" s="1">
        <v>4.5900000000000003E-2</v>
      </c>
      <c r="G1558" s="1">
        <v>0.88190000000000002</v>
      </c>
      <c r="H1558" s="1">
        <v>0.57579999999999998</v>
      </c>
      <c r="I1558" s="1">
        <v>1</v>
      </c>
      <c r="J1558" s="1">
        <v>0.1231</v>
      </c>
      <c r="K1558" s="1">
        <v>0.3412</v>
      </c>
      <c r="M1558" s="1">
        <v>0.82240000000000002</v>
      </c>
      <c r="O1558" s="1">
        <v>0.49459999999999998</v>
      </c>
      <c r="P1558" s="1">
        <v>0.71179999999999999</v>
      </c>
      <c r="Q1558" s="1">
        <v>0.98309999999999997</v>
      </c>
      <c r="R1558" s="1">
        <v>0.36099999999999999</v>
      </c>
    </row>
    <row r="1559" spans="1:19">
      <c r="A1559" t="s">
        <v>209</v>
      </c>
      <c r="B1559">
        <v>74</v>
      </c>
      <c r="C1559" t="s">
        <v>210</v>
      </c>
      <c r="D1559">
        <v>968</v>
      </c>
      <c r="E1559" s="1">
        <v>3.44E-2</v>
      </c>
      <c r="F1559" s="1">
        <v>2.5000000000000001E-2</v>
      </c>
      <c r="G1559" s="1">
        <v>0.71279999999999999</v>
      </c>
      <c r="H1559" s="1">
        <v>0.27689999999999998</v>
      </c>
      <c r="I1559" s="1">
        <v>0.91459999999999997</v>
      </c>
      <c r="J1559" s="1">
        <v>0.17280000000000001</v>
      </c>
      <c r="K1559" s="1">
        <v>0.3392</v>
      </c>
      <c r="L1559" s="1">
        <v>1.77E-2</v>
      </c>
      <c r="M1559" s="1">
        <v>0.47770000000000001</v>
      </c>
      <c r="N1559" s="1">
        <v>8.3000000000000001E-3</v>
      </c>
      <c r="O1559" s="1">
        <v>0.42020000000000002</v>
      </c>
      <c r="P1559" s="1">
        <v>0.57440000000000002</v>
      </c>
      <c r="Q1559" s="1">
        <v>0.85319999999999996</v>
      </c>
      <c r="R1559" s="1">
        <v>0.46929999999999999</v>
      </c>
    </row>
    <row r="1560" spans="1:19">
      <c r="A1560" t="s">
        <v>209</v>
      </c>
      <c r="B1560">
        <v>97</v>
      </c>
      <c r="C1560" t="s">
        <v>211</v>
      </c>
      <c r="D1560">
        <v>968</v>
      </c>
      <c r="E1560" s="1">
        <v>6.8599999999999994E-2</v>
      </c>
      <c r="F1560" s="1">
        <v>5.3699999999999998E-2</v>
      </c>
      <c r="G1560" s="1">
        <v>0.89319999999999999</v>
      </c>
      <c r="H1560" s="1">
        <v>0.50549999999999995</v>
      </c>
      <c r="I1560" s="1">
        <v>0.99580000000000002</v>
      </c>
      <c r="J1560" s="1">
        <v>0.15609999999999999</v>
      </c>
      <c r="K1560" s="1">
        <v>0.24179999999999999</v>
      </c>
      <c r="M1560" s="1">
        <v>0.76739999999999997</v>
      </c>
      <c r="O1560" s="1">
        <v>0.47920000000000001</v>
      </c>
      <c r="P1560" s="1">
        <v>0.66500000000000004</v>
      </c>
      <c r="Q1560" s="1">
        <v>0.92610000000000003</v>
      </c>
      <c r="R1560" s="1">
        <v>0.40970000000000001</v>
      </c>
    </row>
    <row r="1561" spans="1:19">
      <c r="A1561" t="s">
        <v>209</v>
      </c>
      <c r="B1561">
        <v>85</v>
      </c>
      <c r="C1561" t="s">
        <v>212</v>
      </c>
      <c r="D1561">
        <v>968</v>
      </c>
      <c r="E1561" s="1">
        <v>0.14729999999999999</v>
      </c>
      <c r="F1561" s="1">
        <v>7.2999999999999995E-2</v>
      </c>
      <c r="G1561" s="1">
        <v>0.90380000000000005</v>
      </c>
      <c r="H1561" s="1">
        <v>0.66779999999999995</v>
      </c>
      <c r="I1561" s="1">
        <v>0.97209999999999996</v>
      </c>
      <c r="J1561" s="1">
        <v>5.6099999999999997E-2</v>
      </c>
      <c r="K1561" s="1">
        <v>0.37340000000000001</v>
      </c>
      <c r="M1561" s="1">
        <v>0.79849999999999999</v>
      </c>
      <c r="O1561" s="1">
        <v>0.69869999999999999</v>
      </c>
      <c r="P1561" s="1">
        <v>0.78749999999999998</v>
      </c>
      <c r="Q1561" s="1">
        <v>0.92869999999999997</v>
      </c>
      <c r="R1561" s="1">
        <v>0.59350000000000003</v>
      </c>
    </row>
    <row r="1563" spans="1:19">
      <c r="A1563" t="s">
        <v>446</v>
      </c>
    </row>
    <row r="1564" spans="1:19">
      <c r="A1564" t="s">
        <v>214</v>
      </c>
      <c r="B1564" t="s">
        <v>189</v>
      </c>
      <c r="C1564" t="s">
        <v>195</v>
      </c>
      <c r="D1564" t="s">
        <v>190</v>
      </c>
      <c r="E1564" t="s">
        <v>196</v>
      </c>
      <c r="F1564" t="s">
        <v>434</v>
      </c>
      <c r="G1564" t="s">
        <v>435</v>
      </c>
      <c r="H1564" t="s">
        <v>436</v>
      </c>
      <c r="I1564" t="s">
        <v>437</v>
      </c>
      <c r="J1564" t="s">
        <v>438</v>
      </c>
      <c r="K1564" t="s">
        <v>439</v>
      </c>
      <c r="L1564" t="s">
        <v>440</v>
      </c>
      <c r="M1564" t="s">
        <v>276</v>
      </c>
      <c r="N1564" t="s">
        <v>441</v>
      </c>
      <c r="O1564" t="s">
        <v>223</v>
      </c>
      <c r="P1564" t="s">
        <v>442</v>
      </c>
      <c r="Q1564" t="s">
        <v>443</v>
      </c>
      <c r="R1564" t="s">
        <v>444</v>
      </c>
      <c r="S1564" t="s">
        <v>445</v>
      </c>
    </row>
    <row r="1565" spans="1:19">
      <c r="A1565" t="s">
        <v>198</v>
      </c>
      <c r="B1565" t="s">
        <v>197</v>
      </c>
      <c r="C1565">
        <v>968</v>
      </c>
      <c r="D1565" t="s">
        <v>198</v>
      </c>
      <c r="E1565">
        <v>968</v>
      </c>
      <c r="F1565" s="1">
        <v>0.11749999999999999</v>
      </c>
      <c r="G1565" s="1">
        <v>5.33E-2</v>
      </c>
      <c r="H1565" s="1">
        <v>0.92220000000000002</v>
      </c>
      <c r="I1565" s="1">
        <v>0.60529999999999995</v>
      </c>
      <c r="J1565" s="1">
        <v>0.99280000000000002</v>
      </c>
      <c r="K1565" s="1">
        <v>7.9000000000000001E-2</v>
      </c>
      <c r="L1565" s="1">
        <v>0.32340000000000002</v>
      </c>
      <c r="M1565" s="1">
        <v>2.0000000000000001E-4</v>
      </c>
      <c r="N1565" s="1">
        <v>0.79590000000000005</v>
      </c>
      <c r="O1565" s="1">
        <v>1E-4</v>
      </c>
      <c r="P1565" s="1">
        <v>0.62919999999999998</v>
      </c>
      <c r="Q1565" s="1">
        <v>0.68959999999999999</v>
      </c>
      <c r="R1565" s="1">
        <v>0.94120000000000004</v>
      </c>
      <c r="S1565" s="1">
        <v>0.54720000000000002</v>
      </c>
    </row>
    <row r="1566" spans="1:19">
      <c r="A1566" t="s">
        <v>235</v>
      </c>
      <c r="B1566" t="s">
        <v>204</v>
      </c>
      <c r="C1566">
        <v>63</v>
      </c>
      <c r="D1566" t="s">
        <v>208</v>
      </c>
      <c r="E1566">
        <v>968</v>
      </c>
      <c r="F1566" s="1">
        <v>0.127</v>
      </c>
      <c r="G1566" s="1">
        <v>1.5900000000000001E-2</v>
      </c>
      <c r="H1566" s="1">
        <v>0.90480000000000005</v>
      </c>
      <c r="I1566" s="1">
        <v>0.57140000000000002</v>
      </c>
      <c r="J1566" s="1">
        <v>0.98409999999999997</v>
      </c>
      <c r="K1566" s="1">
        <v>3.1699999999999999E-2</v>
      </c>
      <c r="L1566" s="1">
        <v>0.41270000000000001</v>
      </c>
      <c r="N1566" s="1">
        <v>0.85709999999999997</v>
      </c>
      <c r="P1566" s="1">
        <v>0.69840000000000002</v>
      </c>
      <c r="Q1566" s="1">
        <v>0.69840000000000002</v>
      </c>
      <c r="R1566" s="1">
        <v>0.96830000000000005</v>
      </c>
      <c r="S1566" s="1">
        <v>0.61899999999999999</v>
      </c>
    </row>
    <row r="1567" spans="1:19">
      <c r="A1567" t="s">
        <v>236</v>
      </c>
      <c r="B1567" t="s">
        <v>204</v>
      </c>
      <c r="C1567">
        <v>32</v>
      </c>
      <c r="D1567" t="s">
        <v>205</v>
      </c>
      <c r="E1567">
        <v>968</v>
      </c>
      <c r="F1567" s="1">
        <v>7.4899999999999994E-2</v>
      </c>
      <c r="H1567" s="1">
        <v>0.97270000000000001</v>
      </c>
      <c r="I1567" s="1">
        <v>0.4723</v>
      </c>
      <c r="J1567" s="1">
        <v>1</v>
      </c>
      <c r="K1567" s="1">
        <v>0.154</v>
      </c>
      <c r="L1567" s="1">
        <v>0.40770000000000001</v>
      </c>
      <c r="N1567" s="1">
        <v>0.86980000000000002</v>
      </c>
      <c r="P1567" s="1">
        <v>0.44669999999999999</v>
      </c>
      <c r="Q1567" s="1">
        <v>0.61639999999999995</v>
      </c>
      <c r="R1567" s="1">
        <v>0.84950000000000003</v>
      </c>
      <c r="S1567" s="1">
        <v>0.39839999999999998</v>
      </c>
    </row>
    <row r="1568" spans="1:19">
      <c r="A1568" t="s">
        <v>235</v>
      </c>
      <c r="B1568" t="s">
        <v>204</v>
      </c>
      <c r="C1568">
        <v>58</v>
      </c>
      <c r="D1568" t="s">
        <v>205</v>
      </c>
      <c r="E1568">
        <v>968</v>
      </c>
      <c r="F1568" s="1">
        <v>0.21340000000000001</v>
      </c>
      <c r="G1568" s="1">
        <v>4.48E-2</v>
      </c>
      <c r="H1568" s="1">
        <v>0.94920000000000004</v>
      </c>
      <c r="I1568" s="1">
        <v>0.73680000000000001</v>
      </c>
      <c r="J1568" s="1">
        <v>1</v>
      </c>
      <c r="K1568" s="1">
        <v>1.4200000000000001E-2</v>
      </c>
      <c r="L1568" s="1">
        <v>7.9399999999999998E-2</v>
      </c>
      <c r="N1568" s="1">
        <v>0.72330000000000005</v>
      </c>
      <c r="P1568" s="1">
        <v>0.77080000000000004</v>
      </c>
      <c r="Q1568" s="1">
        <v>0.71599999999999997</v>
      </c>
      <c r="R1568" s="1">
        <v>0.97450000000000003</v>
      </c>
      <c r="S1568" s="1">
        <v>0.72140000000000004</v>
      </c>
    </row>
    <row r="1569" spans="1:19" s="26" customFormat="1">
      <c r="A1569" s="26" t="s">
        <v>236</v>
      </c>
      <c r="B1569" s="26" t="s">
        <v>204</v>
      </c>
      <c r="C1569" s="26">
        <v>21</v>
      </c>
      <c r="D1569" s="26" t="s">
        <v>206</v>
      </c>
      <c r="E1569" s="26">
        <v>968</v>
      </c>
      <c r="F1569" s="27">
        <v>0.14530000000000001</v>
      </c>
      <c r="G1569" s="27">
        <v>5.9700000000000003E-2</v>
      </c>
      <c r="H1569" s="27">
        <v>0.91449999999999998</v>
      </c>
      <c r="I1569" s="27">
        <v>0.64090000000000003</v>
      </c>
      <c r="J1569" s="27">
        <v>1</v>
      </c>
      <c r="K1569" s="27">
        <v>0.3075</v>
      </c>
      <c r="L1569" s="27">
        <v>0.43580000000000002</v>
      </c>
      <c r="N1569" s="27">
        <v>0.78610000000000002</v>
      </c>
      <c r="P1569" s="27">
        <v>0.3503</v>
      </c>
      <c r="Q1569" s="27">
        <v>0.33329999999999999</v>
      </c>
      <c r="R1569" s="27">
        <v>0.85470000000000002</v>
      </c>
      <c r="S1569" s="27">
        <v>0.61499999999999999</v>
      </c>
    </row>
    <row r="1570" spans="1:19">
      <c r="A1570" t="s">
        <v>235</v>
      </c>
      <c r="B1570" t="s">
        <v>204</v>
      </c>
      <c r="C1570">
        <v>47</v>
      </c>
      <c r="D1570" t="s">
        <v>206</v>
      </c>
      <c r="E1570">
        <v>968</v>
      </c>
      <c r="G1570" s="1">
        <v>7.5700000000000003E-2</v>
      </c>
      <c r="H1570" s="1">
        <v>0.81779999999999997</v>
      </c>
      <c r="I1570" s="1">
        <v>0.54630000000000001</v>
      </c>
      <c r="J1570" s="1">
        <v>1</v>
      </c>
      <c r="K1570" s="1">
        <v>0.16500000000000001</v>
      </c>
      <c r="L1570" s="1">
        <v>0.36770000000000003</v>
      </c>
      <c r="N1570" s="1">
        <v>0.76290000000000002</v>
      </c>
      <c r="P1570" s="1">
        <v>0.59440000000000004</v>
      </c>
      <c r="Q1570" s="1">
        <v>0.495</v>
      </c>
      <c r="R1570" s="1">
        <v>0.8831</v>
      </c>
      <c r="S1570" s="1">
        <v>0.60799999999999998</v>
      </c>
    </row>
    <row r="1571" spans="1:19">
      <c r="A1571" t="s">
        <v>236</v>
      </c>
      <c r="B1571" t="s">
        <v>204</v>
      </c>
      <c r="C1571">
        <v>81</v>
      </c>
      <c r="D1571" t="s">
        <v>207</v>
      </c>
      <c r="E1571">
        <v>968</v>
      </c>
      <c r="F1571" s="1">
        <v>4.5999999999999999E-2</v>
      </c>
      <c r="G1571" s="1">
        <v>0.13789999999999999</v>
      </c>
      <c r="H1571" s="1">
        <v>0.92649999999999999</v>
      </c>
      <c r="I1571" s="1">
        <v>0.59950000000000003</v>
      </c>
      <c r="J1571" s="1">
        <v>0.99160000000000004</v>
      </c>
      <c r="K1571" s="1">
        <v>0.20180000000000001</v>
      </c>
      <c r="L1571" s="1">
        <v>0.37259999999999999</v>
      </c>
      <c r="M1571" s="1">
        <v>2.3E-3</v>
      </c>
      <c r="N1571" s="1">
        <v>0.879</v>
      </c>
      <c r="P1571" s="1">
        <v>0.2306</v>
      </c>
      <c r="Q1571" s="1">
        <v>0.52490000000000003</v>
      </c>
      <c r="R1571" s="1">
        <v>0.94430000000000003</v>
      </c>
      <c r="S1571" s="1">
        <v>0.3453</v>
      </c>
    </row>
    <row r="1572" spans="1:19">
      <c r="A1572" t="s">
        <v>235</v>
      </c>
      <c r="B1572" t="s">
        <v>204</v>
      </c>
      <c r="C1572">
        <v>45</v>
      </c>
      <c r="D1572" t="s">
        <v>207</v>
      </c>
      <c r="E1572">
        <v>968</v>
      </c>
      <c r="F1572" s="1">
        <v>0.19239999999999999</v>
      </c>
      <c r="G1572" s="1">
        <v>0.16489999999999999</v>
      </c>
      <c r="H1572" s="1">
        <v>0.98529999999999995</v>
      </c>
      <c r="I1572" s="1">
        <v>0.4758</v>
      </c>
      <c r="J1572" s="1">
        <v>1</v>
      </c>
      <c r="K1572" s="1">
        <v>1.01E-2</v>
      </c>
      <c r="L1572" s="1">
        <v>0.60589999999999999</v>
      </c>
      <c r="N1572" s="1">
        <v>0.74780000000000002</v>
      </c>
      <c r="P1572" s="1">
        <v>0.67149999999999999</v>
      </c>
      <c r="Q1572" s="1">
        <v>0.49270000000000003</v>
      </c>
      <c r="R1572" s="1">
        <v>0.91339999999999999</v>
      </c>
      <c r="S1572" s="1">
        <v>0.59989999999999999</v>
      </c>
    </row>
    <row r="1573" spans="1:19" s="26" customFormat="1">
      <c r="A1573" s="26" t="s">
        <v>236</v>
      </c>
      <c r="B1573" s="26" t="s">
        <v>204</v>
      </c>
      <c r="C1573" s="26">
        <v>11</v>
      </c>
      <c r="D1573" s="26" t="s">
        <v>208</v>
      </c>
      <c r="E1573" s="26">
        <v>968</v>
      </c>
      <c r="F1573" s="27">
        <v>9.0899999999999995E-2</v>
      </c>
      <c r="H1573" s="27">
        <v>0.90910000000000002</v>
      </c>
      <c r="I1573" s="27">
        <v>0.63639999999999997</v>
      </c>
      <c r="J1573" s="27">
        <v>1</v>
      </c>
      <c r="K1573" s="27">
        <v>0.54549999999999998</v>
      </c>
      <c r="L1573" s="27">
        <v>0.54549999999999998</v>
      </c>
      <c r="N1573" s="27">
        <v>0.90910000000000002</v>
      </c>
      <c r="P1573" s="27">
        <v>0.45450000000000002</v>
      </c>
      <c r="Q1573" s="27">
        <v>0.81820000000000004</v>
      </c>
      <c r="R1573" s="27">
        <v>1</v>
      </c>
      <c r="S1573" s="27">
        <v>0.72729999999999995</v>
      </c>
    </row>
    <row r="1574" spans="1:19">
      <c r="A1574" t="s">
        <v>235</v>
      </c>
      <c r="B1574" t="s">
        <v>199</v>
      </c>
      <c r="C1574">
        <v>44</v>
      </c>
      <c r="D1574" t="s">
        <v>203</v>
      </c>
      <c r="E1574">
        <v>968</v>
      </c>
      <c r="F1574" s="1">
        <v>1.3100000000000001E-2</v>
      </c>
      <c r="G1574" s="1">
        <v>7.3099999999999998E-2</v>
      </c>
      <c r="H1574" s="1">
        <v>0.875</v>
      </c>
      <c r="I1574" s="1">
        <v>0.60629999999999995</v>
      </c>
      <c r="J1574" s="1">
        <v>1</v>
      </c>
      <c r="K1574" s="1">
        <v>0.10340000000000001</v>
      </c>
      <c r="L1574" s="1">
        <v>0.42270000000000002</v>
      </c>
      <c r="N1574" s="1">
        <v>0.81699999999999995</v>
      </c>
      <c r="P1574" s="1">
        <v>0.56169999999999998</v>
      </c>
      <c r="Q1574" s="1">
        <v>0.6986</v>
      </c>
      <c r="R1574" s="1">
        <v>0.98819999999999997</v>
      </c>
      <c r="S1574" s="1">
        <v>0.4556</v>
      </c>
    </row>
    <row r="1575" spans="1:19">
      <c r="A1575" t="s">
        <v>236</v>
      </c>
      <c r="B1575" t="s">
        <v>199</v>
      </c>
      <c r="C1575">
        <v>32</v>
      </c>
      <c r="D1575" t="s">
        <v>203</v>
      </c>
      <c r="E1575">
        <v>968</v>
      </c>
      <c r="F1575" s="1">
        <v>6.2100000000000002E-2</v>
      </c>
      <c r="H1575" s="1">
        <v>0.88529999999999998</v>
      </c>
      <c r="I1575" s="1">
        <v>0.4874</v>
      </c>
      <c r="J1575" s="1">
        <v>1</v>
      </c>
      <c r="K1575" s="1">
        <v>0.16839999999999999</v>
      </c>
      <c r="L1575" s="1">
        <v>0.2198</v>
      </c>
      <c r="N1575" s="1">
        <v>0.81830000000000003</v>
      </c>
      <c r="P1575" s="1">
        <v>0.33350000000000002</v>
      </c>
      <c r="Q1575" s="1">
        <v>0.71330000000000005</v>
      </c>
      <c r="R1575" s="1">
        <v>0.97250000000000003</v>
      </c>
      <c r="S1575" s="1">
        <v>0.1396</v>
      </c>
    </row>
    <row r="1576" spans="1:19">
      <c r="A1576" t="s">
        <v>235</v>
      </c>
      <c r="B1576" t="s">
        <v>199</v>
      </c>
      <c r="C1576">
        <v>60</v>
      </c>
      <c r="D1576" t="s">
        <v>202</v>
      </c>
      <c r="E1576">
        <v>968</v>
      </c>
      <c r="F1576" s="1">
        <v>9.1899999999999996E-2</v>
      </c>
      <c r="G1576" s="1">
        <v>5.3199999999999997E-2</v>
      </c>
      <c r="H1576" s="1">
        <v>0.88560000000000005</v>
      </c>
      <c r="I1576" s="1">
        <v>0.67120000000000002</v>
      </c>
      <c r="J1576" s="1">
        <v>1</v>
      </c>
      <c r="K1576" s="1">
        <v>5.9299999999999999E-2</v>
      </c>
      <c r="L1576" s="1">
        <v>0.44450000000000001</v>
      </c>
      <c r="N1576" s="1">
        <v>0.90759999999999996</v>
      </c>
      <c r="P1576" s="1">
        <v>0.69479999999999997</v>
      </c>
      <c r="Q1576" s="1">
        <v>0.77110000000000001</v>
      </c>
      <c r="R1576" s="1">
        <v>0.93200000000000005</v>
      </c>
      <c r="S1576" s="1">
        <v>0.53420000000000001</v>
      </c>
    </row>
    <row r="1577" spans="1:19" s="26" customFormat="1">
      <c r="A1577" s="26" t="s">
        <v>236</v>
      </c>
      <c r="B1577" s="26" t="s">
        <v>199</v>
      </c>
      <c r="C1577" s="26">
        <v>24</v>
      </c>
      <c r="D1577" s="26" t="s">
        <v>200</v>
      </c>
      <c r="E1577" s="26">
        <v>968</v>
      </c>
      <c r="H1577" s="27">
        <v>0.95399999999999996</v>
      </c>
      <c r="I1577" s="27">
        <v>0.39560000000000001</v>
      </c>
      <c r="J1577" s="27">
        <v>1</v>
      </c>
      <c r="K1577" s="27">
        <v>0.38479999999999998</v>
      </c>
      <c r="L1577" s="27">
        <v>0.3664</v>
      </c>
      <c r="N1577" s="27">
        <v>0.9798</v>
      </c>
      <c r="P1577" s="27">
        <v>3.5900000000000001E-2</v>
      </c>
      <c r="Q1577" s="27">
        <v>0.77239999999999998</v>
      </c>
      <c r="R1577" s="27">
        <v>0.99329999999999996</v>
      </c>
      <c r="S1577" s="27">
        <v>0.16400000000000001</v>
      </c>
    </row>
    <row r="1578" spans="1:19">
      <c r="A1578" t="s">
        <v>235</v>
      </c>
      <c r="B1578" t="s">
        <v>199</v>
      </c>
      <c r="C1578">
        <v>46</v>
      </c>
      <c r="D1578" t="s">
        <v>200</v>
      </c>
      <c r="E1578">
        <v>968</v>
      </c>
      <c r="F1578" s="1">
        <v>0.2034</v>
      </c>
      <c r="G1578" s="1">
        <v>3.0000000000000001E-3</v>
      </c>
      <c r="H1578" s="1">
        <v>0.89370000000000005</v>
      </c>
      <c r="I1578" s="1">
        <v>0.65139999999999998</v>
      </c>
      <c r="J1578" s="1">
        <v>0.997</v>
      </c>
      <c r="K1578" s="1">
        <v>0.13239999999999999</v>
      </c>
      <c r="L1578" s="1">
        <v>3.9E-2</v>
      </c>
      <c r="N1578" s="1">
        <v>0.87280000000000002</v>
      </c>
      <c r="P1578" s="1">
        <v>0.5625</v>
      </c>
      <c r="Q1578" s="1">
        <v>0.94</v>
      </c>
      <c r="R1578" s="1">
        <v>0.99099999999999999</v>
      </c>
      <c r="S1578" s="1">
        <v>0.38600000000000001</v>
      </c>
    </row>
    <row r="1579" spans="1:19">
      <c r="A1579" t="s">
        <v>236</v>
      </c>
      <c r="B1579" t="s">
        <v>199</v>
      </c>
      <c r="C1579">
        <v>37</v>
      </c>
      <c r="D1579" t="s">
        <v>202</v>
      </c>
      <c r="E1579">
        <v>968</v>
      </c>
      <c r="F1579" s="1">
        <v>8.5699999999999998E-2</v>
      </c>
      <c r="G1579" s="1">
        <v>6.5100000000000005E-2</v>
      </c>
      <c r="H1579" s="1">
        <v>0.95609999999999995</v>
      </c>
      <c r="I1579" s="1">
        <v>0.56930000000000003</v>
      </c>
      <c r="J1579" s="1">
        <v>1</v>
      </c>
      <c r="K1579" s="1">
        <v>2.06E-2</v>
      </c>
      <c r="L1579" s="1">
        <v>0.2626</v>
      </c>
      <c r="N1579" s="1">
        <v>0.87129999999999996</v>
      </c>
      <c r="P1579" s="1">
        <v>0.44779999999999998</v>
      </c>
      <c r="Q1579" s="1">
        <v>0.70909999999999995</v>
      </c>
      <c r="R1579" s="1">
        <v>0.93440000000000001</v>
      </c>
      <c r="S1579" s="1">
        <v>0.44940000000000002</v>
      </c>
    </row>
    <row r="1580" spans="1:19">
      <c r="A1580" t="s">
        <v>235</v>
      </c>
      <c r="B1580" t="s">
        <v>199</v>
      </c>
      <c r="C1580">
        <v>96</v>
      </c>
      <c r="D1580" t="s">
        <v>201</v>
      </c>
      <c r="E1580">
        <v>968</v>
      </c>
      <c r="F1580" s="1">
        <v>7.2900000000000006E-2</v>
      </c>
      <c r="H1580" s="1">
        <v>0.91669999999999996</v>
      </c>
      <c r="I1580" s="1">
        <v>0.59379999999999999</v>
      </c>
      <c r="J1580" s="1">
        <v>0.98960000000000004</v>
      </c>
      <c r="K1580" s="1">
        <v>8.3299999999999999E-2</v>
      </c>
      <c r="L1580" s="1">
        <v>0.3125</v>
      </c>
      <c r="N1580" s="1">
        <v>0.75</v>
      </c>
      <c r="P1580" s="1">
        <v>0.76039999999999996</v>
      </c>
      <c r="Q1580" s="1">
        <v>0.72919999999999996</v>
      </c>
      <c r="R1580" s="1">
        <v>0.9375</v>
      </c>
      <c r="S1580" s="1">
        <v>0.5625</v>
      </c>
    </row>
    <row r="1581" spans="1:19">
      <c r="A1581" t="s">
        <v>236</v>
      </c>
      <c r="B1581" t="s">
        <v>209</v>
      </c>
      <c r="C1581">
        <v>39</v>
      </c>
      <c r="D1581" t="s">
        <v>211</v>
      </c>
      <c r="E1581">
        <v>968</v>
      </c>
      <c r="F1581" s="1">
        <v>5.4399999999999997E-2</v>
      </c>
      <c r="G1581" s="1">
        <v>2.76E-2</v>
      </c>
      <c r="H1581" s="1">
        <v>0.89929999999999999</v>
      </c>
      <c r="I1581" s="1">
        <v>0.4763</v>
      </c>
      <c r="J1581" s="1">
        <v>1</v>
      </c>
      <c r="K1581" s="1">
        <v>0.20530000000000001</v>
      </c>
      <c r="L1581" s="1">
        <v>0.1671</v>
      </c>
      <c r="N1581" s="1">
        <v>0.76890000000000003</v>
      </c>
      <c r="P1581" s="1">
        <v>0.22239999999999999</v>
      </c>
      <c r="Q1581" s="1">
        <v>0.6018</v>
      </c>
      <c r="R1581" s="1">
        <v>0.90329999999999999</v>
      </c>
      <c r="S1581" s="1">
        <v>0.41310000000000002</v>
      </c>
    </row>
    <row r="1582" spans="1:19">
      <c r="A1582" t="s">
        <v>235</v>
      </c>
      <c r="B1582" t="s">
        <v>209</v>
      </c>
      <c r="C1582">
        <v>56</v>
      </c>
      <c r="D1582" t="s">
        <v>211</v>
      </c>
      <c r="E1582">
        <v>968</v>
      </c>
      <c r="F1582" s="1">
        <v>5.5399999999999998E-2</v>
      </c>
      <c r="G1582" s="1">
        <v>7.1599999999999997E-2</v>
      </c>
      <c r="H1582" s="1">
        <v>0.88439999999999996</v>
      </c>
      <c r="I1582" s="1">
        <v>0.52280000000000004</v>
      </c>
      <c r="J1582" s="1">
        <v>0.99309999999999998</v>
      </c>
      <c r="K1582" s="1">
        <v>0.1351</v>
      </c>
      <c r="L1582" s="1">
        <v>0.2727</v>
      </c>
      <c r="N1582" s="1">
        <v>0.77990000000000004</v>
      </c>
      <c r="P1582" s="1">
        <v>0.60329999999999995</v>
      </c>
      <c r="Q1582" s="1">
        <v>0.68520000000000003</v>
      </c>
      <c r="R1582" s="1">
        <v>0.93579999999999997</v>
      </c>
      <c r="S1582" s="1">
        <v>0.4032</v>
      </c>
    </row>
    <row r="1583" spans="1:19">
      <c r="A1583" t="s">
        <v>235</v>
      </c>
      <c r="B1583" t="s">
        <v>209</v>
      </c>
      <c r="C1583">
        <v>67</v>
      </c>
      <c r="D1583" t="s">
        <v>212</v>
      </c>
      <c r="E1583">
        <v>968</v>
      </c>
      <c r="F1583" s="1">
        <v>0.1681</v>
      </c>
      <c r="G1583" s="1">
        <v>7.3300000000000004E-2</v>
      </c>
      <c r="H1583" s="1">
        <v>0.90329999999999999</v>
      </c>
      <c r="I1583" s="1">
        <v>0.65820000000000001</v>
      </c>
      <c r="J1583" s="1">
        <v>0.96760000000000002</v>
      </c>
      <c r="K1583" s="1">
        <v>5.3800000000000001E-2</v>
      </c>
      <c r="L1583" s="1">
        <v>0.40550000000000003</v>
      </c>
      <c r="N1583" s="1">
        <v>0.8004</v>
      </c>
      <c r="P1583" s="1">
        <v>0.73709999999999998</v>
      </c>
      <c r="Q1583" s="1">
        <v>0.80389999999999995</v>
      </c>
      <c r="R1583" s="1">
        <v>0.92390000000000005</v>
      </c>
      <c r="S1583" s="1">
        <v>0.59650000000000003</v>
      </c>
    </row>
    <row r="1584" spans="1:19" s="26" customFormat="1">
      <c r="A1584" s="26" t="s">
        <v>236</v>
      </c>
      <c r="B1584" s="26" t="s">
        <v>209</v>
      </c>
      <c r="C1584" s="26">
        <v>18</v>
      </c>
      <c r="D1584" s="26" t="s">
        <v>212</v>
      </c>
      <c r="E1584" s="26">
        <v>968</v>
      </c>
      <c r="F1584" s="27">
        <v>1.77E-2</v>
      </c>
      <c r="G1584" s="27">
        <v>7.1199999999999999E-2</v>
      </c>
      <c r="H1584" s="27">
        <v>0.90639999999999998</v>
      </c>
      <c r="I1584" s="27">
        <v>0.72819999999999996</v>
      </c>
      <c r="J1584" s="27">
        <v>1</v>
      </c>
      <c r="K1584" s="27">
        <v>7.0300000000000001E-2</v>
      </c>
      <c r="L1584" s="27">
        <v>0.1729</v>
      </c>
      <c r="N1584" s="27">
        <v>0.78700000000000003</v>
      </c>
      <c r="P1584" s="27">
        <v>0.4587</v>
      </c>
      <c r="Q1584" s="27">
        <v>0.68510000000000004</v>
      </c>
      <c r="R1584" s="27">
        <v>0.95889999999999997</v>
      </c>
      <c r="S1584" s="27">
        <v>0.57440000000000002</v>
      </c>
    </row>
    <row r="1585" spans="1:46">
      <c r="A1585" t="s">
        <v>236</v>
      </c>
      <c r="B1585" t="s">
        <v>209</v>
      </c>
      <c r="C1585">
        <v>38</v>
      </c>
      <c r="D1585" t="s">
        <v>210</v>
      </c>
      <c r="E1585">
        <v>968</v>
      </c>
      <c r="F1585" s="1">
        <v>4.07E-2</v>
      </c>
      <c r="G1585" s="1">
        <v>6.0999999999999999E-2</v>
      </c>
      <c r="H1585" s="1">
        <v>0.75119999999999998</v>
      </c>
      <c r="I1585" s="1">
        <v>0.24640000000000001</v>
      </c>
      <c r="J1585" s="1">
        <v>0.89829999999999999</v>
      </c>
      <c r="K1585" s="1">
        <v>0.31459999999999999</v>
      </c>
      <c r="L1585" s="1">
        <v>0.29189999999999999</v>
      </c>
      <c r="N1585" s="1">
        <v>0.39350000000000002</v>
      </c>
      <c r="O1585" s="1">
        <v>2.0299999999999999E-2</v>
      </c>
      <c r="P1585" s="1">
        <v>0.22850000000000001</v>
      </c>
      <c r="Q1585" s="1">
        <v>0.56340000000000001</v>
      </c>
      <c r="R1585" s="1">
        <v>0.89829999999999999</v>
      </c>
      <c r="S1585" s="1">
        <v>0.35049999999999998</v>
      </c>
    </row>
    <row r="1586" spans="1:46">
      <c r="A1586" t="s">
        <v>235</v>
      </c>
      <c r="B1586" t="s">
        <v>209</v>
      </c>
      <c r="C1586">
        <v>32</v>
      </c>
      <c r="D1586" t="s">
        <v>210</v>
      </c>
      <c r="E1586">
        <v>968</v>
      </c>
      <c r="F1586" s="1">
        <v>3.2300000000000002E-2</v>
      </c>
      <c r="H1586" s="1">
        <v>0.66159999999999997</v>
      </c>
      <c r="I1586" s="1">
        <v>0.30609999999999998</v>
      </c>
      <c r="J1586" s="1">
        <v>0.93540000000000001</v>
      </c>
      <c r="K1586" s="1">
        <v>3.2300000000000002E-2</v>
      </c>
      <c r="L1586" s="1">
        <v>0.33839999999999998</v>
      </c>
      <c r="M1586" s="1">
        <v>3.2300000000000002E-2</v>
      </c>
      <c r="N1586" s="1">
        <v>0.54759999999999998</v>
      </c>
      <c r="P1586" s="1">
        <v>0.59689999999999999</v>
      </c>
      <c r="Q1586" s="1">
        <v>0.59689999999999999</v>
      </c>
      <c r="R1586" s="1">
        <v>0.83840000000000003</v>
      </c>
      <c r="S1586" s="1">
        <v>0.56459999999999999</v>
      </c>
    </row>
    <row r="1588" spans="1:46">
      <c r="A1588" t="s">
        <v>447</v>
      </c>
    </row>
    <row r="1589" spans="1:46">
      <c r="A1589" t="s">
        <v>190</v>
      </c>
      <c r="B1589" t="s">
        <v>448</v>
      </c>
      <c r="C1589" t="s">
        <v>449</v>
      </c>
      <c r="D1589" t="s">
        <v>450</v>
      </c>
      <c r="E1589" t="s">
        <v>451</v>
      </c>
      <c r="F1589" t="s">
        <v>452</v>
      </c>
      <c r="G1589" t="s">
        <v>453</v>
      </c>
      <c r="H1589" t="s">
        <v>454</v>
      </c>
      <c r="I1589" t="s">
        <v>455</v>
      </c>
      <c r="J1589" t="s">
        <v>456</v>
      </c>
      <c r="K1589" t="s">
        <v>457</v>
      </c>
      <c r="L1589" t="s">
        <v>458</v>
      </c>
      <c r="M1589" t="s">
        <v>459</v>
      </c>
      <c r="N1589" t="s">
        <v>460</v>
      </c>
      <c r="O1589" t="s">
        <v>461</v>
      </c>
      <c r="P1589" t="s">
        <v>462</v>
      </c>
      <c r="Q1589" t="s">
        <v>463</v>
      </c>
      <c r="R1589" t="s">
        <v>464</v>
      </c>
      <c r="S1589" t="s">
        <v>465</v>
      </c>
      <c r="T1589" t="s">
        <v>466</v>
      </c>
      <c r="U1589" t="s">
        <v>467</v>
      </c>
      <c r="V1589" t="s">
        <v>468</v>
      </c>
      <c r="W1589" t="s">
        <v>469</v>
      </c>
      <c r="X1589" t="s">
        <v>470</v>
      </c>
      <c r="Y1589" t="s">
        <v>471</v>
      </c>
      <c r="Z1589" t="s">
        <v>472</v>
      </c>
      <c r="AA1589" t="s">
        <v>473</v>
      </c>
      <c r="AB1589" t="s">
        <v>474</v>
      </c>
      <c r="AC1589" t="s">
        <v>475</v>
      </c>
      <c r="AD1589" t="s">
        <v>476</v>
      </c>
      <c r="AE1589" t="s">
        <v>477</v>
      </c>
      <c r="AF1589" t="s">
        <v>478</v>
      </c>
      <c r="AG1589" t="s">
        <v>479</v>
      </c>
      <c r="AH1589" t="s">
        <v>480</v>
      </c>
      <c r="AI1589" t="s">
        <v>481</v>
      </c>
      <c r="AJ1589" t="s">
        <v>482</v>
      </c>
      <c r="AK1589" t="s">
        <v>483</v>
      </c>
      <c r="AL1589" t="s">
        <v>484</v>
      </c>
      <c r="AM1589" t="s">
        <v>485</v>
      </c>
      <c r="AN1589" t="s">
        <v>486</v>
      </c>
      <c r="AO1589" t="s">
        <v>487</v>
      </c>
      <c r="AP1589" t="s">
        <v>488</v>
      </c>
      <c r="AQ1589" t="s">
        <v>489</v>
      </c>
      <c r="AR1589" t="s">
        <v>490</v>
      </c>
      <c r="AS1589" t="s">
        <v>491</v>
      </c>
      <c r="AT1589" t="s">
        <v>196</v>
      </c>
    </row>
    <row r="1590" spans="1:46">
      <c r="A1590" t="s">
        <v>198</v>
      </c>
      <c r="B1590">
        <v>7400.3823062584024</v>
      </c>
      <c r="C1590">
        <v>6000</v>
      </c>
      <c r="D1590">
        <v>300</v>
      </c>
      <c r="E1590">
        <v>40000</v>
      </c>
      <c r="F1590">
        <v>6306.864754093308</v>
      </c>
      <c r="G1590">
        <v>5000</v>
      </c>
      <c r="H1590">
        <v>300</v>
      </c>
      <c r="I1590">
        <v>20000</v>
      </c>
      <c r="J1590">
        <v>427.71586487397678</v>
      </c>
      <c r="K1590">
        <v>300</v>
      </c>
      <c r="L1590">
        <v>50</v>
      </c>
      <c r="M1590">
        <v>5000</v>
      </c>
      <c r="N1590">
        <v>577.12409181089538</v>
      </c>
      <c r="O1590">
        <v>400</v>
      </c>
      <c r="P1590">
        <v>50</v>
      </c>
      <c r="Q1590">
        <v>5000</v>
      </c>
      <c r="R1590">
        <v>858.54060286632887</v>
      </c>
      <c r="S1590">
        <v>600</v>
      </c>
      <c r="T1590">
        <v>100</v>
      </c>
      <c r="U1590">
        <v>5500</v>
      </c>
      <c r="V1590">
        <v>792.6937845829774</v>
      </c>
      <c r="W1590">
        <v>500</v>
      </c>
      <c r="X1590">
        <v>100</v>
      </c>
      <c r="Y1590">
        <v>15000</v>
      </c>
      <c r="Z1590">
        <v>1760.4404787915121</v>
      </c>
      <c r="AA1590">
        <v>1500</v>
      </c>
      <c r="AB1590">
        <v>130</v>
      </c>
      <c r="AC1590">
        <v>15000</v>
      </c>
      <c r="AD1590">
        <v>848.00541056593909</v>
      </c>
      <c r="AE1590">
        <v>700</v>
      </c>
      <c r="AF1590">
        <v>100</v>
      </c>
      <c r="AG1590">
        <v>5000</v>
      </c>
      <c r="AH1590">
        <v>2036.148346408125</v>
      </c>
      <c r="AI1590">
        <v>1000</v>
      </c>
      <c r="AJ1590">
        <v>50</v>
      </c>
      <c r="AK1590">
        <v>35000</v>
      </c>
      <c r="AL1590">
        <v>660.0653308548633</v>
      </c>
      <c r="AM1590">
        <v>600</v>
      </c>
      <c r="AN1590">
        <v>54</v>
      </c>
      <c r="AO1590">
        <v>4600</v>
      </c>
      <c r="AP1590">
        <v>1933.887829927949</v>
      </c>
      <c r="AQ1590">
        <v>1300</v>
      </c>
      <c r="AR1590">
        <v>200</v>
      </c>
      <c r="AS1590">
        <v>20000</v>
      </c>
      <c r="AT1590">
        <v>796</v>
      </c>
    </row>
    <row r="1591" spans="1:46">
      <c r="A1591" t="s">
        <v>200</v>
      </c>
      <c r="B1591">
        <v>5504.5798217327028</v>
      </c>
      <c r="C1591">
        <v>5000</v>
      </c>
      <c r="D1591">
        <v>1000</v>
      </c>
      <c r="E1591">
        <v>20000</v>
      </c>
      <c r="F1591">
        <v>3166.2794788204992</v>
      </c>
      <c r="G1591">
        <v>3000</v>
      </c>
      <c r="H1591">
        <v>500</v>
      </c>
      <c r="I1591">
        <v>7000</v>
      </c>
      <c r="J1591">
        <v>343.18035982405218</v>
      </c>
      <c r="K1591">
        <v>300</v>
      </c>
      <c r="L1591">
        <v>80</v>
      </c>
      <c r="M1591">
        <v>5000</v>
      </c>
      <c r="N1591">
        <v>361.98913206264439</v>
      </c>
      <c r="O1591">
        <v>200</v>
      </c>
      <c r="P1591">
        <v>100</v>
      </c>
      <c r="Q1591">
        <v>800</v>
      </c>
      <c r="R1591">
        <v>770.92958613723636</v>
      </c>
      <c r="S1591">
        <v>500</v>
      </c>
      <c r="T1591">
        <v>100</v>
      </c>
      <c r="U1591">
        <v>3000</v>
      </c>
      <c r="V1591">
        <v>859.57938873220098</v>
      </c>
      <c r="W1591">
        <v>1000</v>
      </c>
      <c r="X1591">
        <v>100</v>
      </c>
      <c r="Y1591">
        <v>1500</v>
      </c>
      <c r="Z1591">
        <v>1100.320308700884</v>
      </c>
      <c r="AA1591">
        <v>1000</v>
      </c>
      <c r="AB1591">
        <v>130</v>
      </c>
      <c r="AC1591">
        <v>3500</v>
      </c>
      <c r="AD1591">
        <v>572.55704316184449</v>
      </c>
      <c r="AE1591">
        <v>500</v>
      </c>
      <c r="AF1591">
        <v>250</v>
      </c>
      <c r="AG1591">
        <v>2500</v>
      </c>
      <c r="AH1591">
        <v>1346.261741506798</v>
      </c>
      <c r="AI1591">
        <v>1000</v>
      </c>
      <c r="AJ1591">
        <v>100</v>
      </c>
      <c r="AK1591">
        <v>5000</v>
      </c>
      <c r="AL1591">
        <v>603.63432983461166</v>
      </c>
      <c r="AM1591">
        <v>600</v>
      </c>
      <c r="AN1591">
        <v>175</v>
      </c>
      <c r="AO1591">
        <v>2800</v>
      </c>
      <c r="AP1591">
        <v>2886.560723187994</v>
      </c>
      <c r="AQ1591">
        <v>500</v>
      </c>
      <c r="AR1591">
        <v>500</v>
      </c>
      <c r="AS1591">
        <v>6000</v>
      </c>
      <c r="AT1591">
        <v>796</v>
      </c>
    </row>
    <row r="1592" spans="1:46">
      <c r="A1592" t="s">
        <v>201</v>
      </c>
      <c r="B1592">
        <v>9706.4102564102577</v>
      </c>
      <c r="C1592">
        <v>8000</v>
      </c>
      <c r="D1592">
        <v>1000</v>
      </c>
      <c r="E1592">
        <v>40000</v>
      </c>
      <c r="F1592">
        <v>8885.7142857142862</v>
      </c>
      <c r="G1592">
        <v>9000</v>
      </c>
      <c r="H1592">
        <v>500</v>
      </c>
      <c r="I1592">
        <v>20000</v>
      </c>
      <c r="J1592">
        <v>377.3</v>
      </c>
      <c r="K1592">
        <v>250</v>
      </c>
      <c r="L1592">
        <v>70</v>
      </c>
      <c r="M1592">
        <v>1500</v>
      </c>
      <c r="N1592">
        <v>510.42553191489361</v>
      </c>
      <c r="O1592">
        <v>300</v>
      </c>
      <c r="P1592">
        <v>80</v>
      </c>
      <c r="Q1592">
        <v>2500</v>
      </c>
      <c r="R1592">
        <v>855.4098360655737</v>
      </c>
      <c r="S1592">
        <v>550</v>
      </c>
      <c r="T1592">
        <v>100</v>
      </c>
      <c r="U1592">
        <v>2500</v>
      </c>
      <c r="V1592">
        <v>590.74074074074076</v>
      </c>
      <c r="W1592">
        <v>500</v>
      </c>
      <c r="X1592">
        <v>100</v>
      </c>
      <c r="Y1592">
        <v>3000</v>
      </c>
      <c r="Z1592">
        <v>2153.8271604938268</v>
      </c>
      <c r="AA1592">
        <v>2000</v>
      </c>
      <c r="AB1592">
        <v>500</v>
      </c>
      <c r="AC1592">
        <v>6000</v>
      </c>
      <c r="AD1592">
        <v>625</v>
      </c>
      <c r="AE1592">
        <v>300</v>
      </c>
      <c r="AF1592">
        <v>100</v>
      </c>
      <c r="AG1592">
        <v>2000</v>
      </c>
      <c r="AH1592">
        <v>2137.666666666667</v>
      </c>
      <c r="AI1592">
        <v>700</v>
      </c>
      <c r="AJ1592">
        <v>50</v>
      </c>
      <c r="AK1592">
        <v>16000</v>
      </c>
      <c r="AL1592">
        <v>748.6746987951808</v>
      </c>
      <c r="AM1592">
        <v>750</v>
      </c>
      <c r="AN1592">
        <v>70</v>
      </c>
      <c r="AO1592">
        <v>2000</v>
      </c>
      <c r="AP1592">
        <v>1728.5714285714289</v>
      </c>
      <c r="AQ1592">
        <v>1800</v>
      </c>
      <c r="AR1592">
        <v>500</v>
      </c>
      <c r="AS1592">
        <v>3000</v>
      </c>
      <c r="AT1592">
        <v>796</v>
      </c>
    </row>
    <row r="1593" spans="1:46">
      <c r="A1593" t="s">
        <v>202</v>
      </c>
      <c r="B1593">
        <v>9286.2098241175463</v>
      </c>
      <c r="C1593">
        <v>8000</v>
      </c>
      <c r="D1593">
        <v>1000</v>
      </c>
      <c r="E1593">
        <v>30000</v>
      </c>
      <c r="F1593">
        <v>7086.4199109010551</v>
      </c>
      <c r="G1593">
        <v>7000</v>
      </c>
      <c r="H1593">
        <v>500</v>
      </c>
      <c r="I1593">
        <v>20000</v>
      </c>
      <c r="J1593">
        <v>642.38275358153192</v>
      </c>
      <c r="K1593">
        <v>300</v>
      </c>
      <c r="L1593">
        <v>100</v>
      </c>
      <c r="M1593">
        <v>5000</v>
      </c>
      <c r="N1593">
        <v>733.72582594293078</v>
      </c>
      <c r="O1593">
        <v>500</v>
      </c>
      <c r="P1593">
        <v>80</v>
      </c>
      <c r="Q1593">
        <v>4000</v>
      </c>
      <c r="R1593">
        <v>1206.401859298943</v>
      </c>
      <c r="S1593">
        <v>744</v>
      </c>
      <c r="T1593">
        <v>100</v>
      </c>
      <c r="U1593">
        <v>5000</v>
      </c>
      <c r="V1593">
        <v>989.91955058239193</v>
      </c>
      <c r="W1593">
        <v>500</v>
      </c>
      <c r="X1593">
        <v>100</v>
      </c>
      <c r="Y1593">
        <v>6300</v>
      </c>
      <c r="Z1593">
        <v>2211.6066227263382</v>
      </c>
      <c r="AA1593">
        <v>2000</v>
      </c>
      <c r="AB1593">
        <v>300</v>
      </c>
      <c r="AC1593">
        <v>6000</v>
      </c>
      <c r="AD1593">
        <v>2212.2173493450809</v>
      </c>
      <c r="AE1593">
        <v>3000</v>
      </c>
      <c r="AF1593">
        <v>1500</v>
      </c>
      <c r="AG1593">
        <v>3000</v>
      </c>
      <c r="AH1593">
        <v>3514.8970926295292</v>
      </c>
      <c r="AI1593">
        <v>1500</v>
      </c>
      <c r="AJ1593">
        <v>100</v>
      </c>
      <c r="AK1593">
        <v>35000</v>
      </c>
      <c r="AL1593">
        <v>738.73282074361202</v>
      </c>
      <c r="AM1593">
        <v>670</v>
      </c>
      <c r="AN1593">
        <v>120</v>
      </c>
      <c r="AO1593">
        <v>4600</v>
      </c>
      <c r="AP1593">
        <v>2259.0883094220339</v>
      </c>
      <c r="AQ1593">
        <v>3000</v>
      </c>
      <c r="AR1593">
        <v>600</v>
      </c>
      <c r="AS1593">
        <v>4000</v>
      </c>
      <c r="AT1593">
        <v>796</v>
      </c>
    </row>
    <row r="1594" spans="1:46">
      <c r="A1594" t="s">
        <v>203</v>
      </c>
      <c r="B1594">
        <v>6032.9862384096368</v>
      </c>
      <c r="C1594">
        <v>5000</v>
      </c>
      <c r="D1594">
        <v>400</v>
      </c>
      <c r="E1594">
        <v>25000</v>
      </c>
      <c r="F1594">
        <v>3479.4563891052708</v>
      </c>
      <c r="G1594">
        <v>3800</v>
      </c>
      <c r="H1594">
        <v>1000</v>
      </c>
      <c r="I1594">
        <v>6500</v>
      </c>
      <c r="J1594">
        <v>472.13535446474248</v>
      </c>
      <c r="K1594">
        <v>400</v>
      </c>
      <c r="L1594">
        <v>100</v>
      </c>
      <c r="M1594">
        <v>1500</v>
      </c>
      <c r="N1594">
        <v>513.47107769422576</v>
      </c>
      <c r="O1594">
        <v>300</v>
      </c>
      <c r="P1594">
        <v>70</v>
      </c>
      <c r="Q1594">
        <v>2000</v>
      </c>
      <c r="R1594">
        <v>796.88545651558627</v>
      </c>
      <c r="S1594">
        <v>700</v>
      </c>
      <c r="T1594">
        <v>200</v>
      </c>
      <c r="U1594">
        <v>3000</v>
      </c>
      <c r="V1594">
        <v>661.32592150818323</v>
      </c>
      <c r="W1594">
        <v>500</v>
      </c>
      <c r="X1594">
        <v>100</v>
      </c>
      <c r="Y1594">
        <v>2000</v>
      </c>
      <c r="Z1594">
        <v>1694.2377905433859</v>
      </c>
      <c r="AA1594">
        <v>1500</v>
      </c>
      <c r="AB1594">
        <v>377</v>
      </c>
      <c r="AC1594">
        <v>7000</v>
      </c>
      <c r="AD1594">
        <v>804.11134621392478</v>
      </c>
      <c r="AE1594">
        <v>900</v>
      </c>
      <c r="AF1594">
        <v>200</v>
      </c>
      <c r="AG1594">
        <v>2500</v>
      </c>
      <c r="AH1594">
        <v>2110.285994404941</v>
      </c>
      <c r="AI1594">
        <v>1200</v>
      </c>
      <c r="AJ1594">
        <v>100</v>
      </c>
      <c r="AK1594">
        <v>15000</v>
      </c>
      <c r="AL1594">
        <v>620.87386779191047</v>
      </c>
      <c r="AM1594">
        <v>600</v>
      </c>
      <c r="AN1594">
        <v>100</v>
      </c>
      <c r="AO1594">
        <v>1500</v>
      </c>
      <c r="AP1594">
        <v>738.81010180345504</v>
      </c>
      <c r="AQ1594">
        <v>1000</v>
      </c>
      <c r="AR1594">
        <v>500</v>
      </c>
      <c r="AS1594">
        <v>1200</v>
      </c>
      <c r="AT1594">
        <v>796</v>
      </c>
    </row>
    <row r="1595" spans="1:46">
      <c r="A1595" t="s">
        <v>205</v>
      </c>
      <c r="B1595">
        <v>7332.6922106470911</v>
      </c>
      <c r="C1595">
        <v>8000</v>
      </c>
      <c r="D1595">
        <v>1000</v>
      </c>
      <c r="E1595">
        <v>16000</v>
      </c>
      <c r="F1595">
        <v>5995.8627112235381</v>
      </c>
      <c r="G1595">
        <v>5000</v>
      </c>
      <c r="H1595">
        <v>1000</v>
      </c>
      <c r="I1595">
        <v>15000</v>
      </c>
      <c r="J1595">
        <v>369.86041563769288</v>
      </c>
      <c r="K1595">
        <v>300</v>
      </c>
      <c r="L1595">
        <v>50</v>
      </c>
      <c r="M1595">
        <v>1000</v>
      </c>
      <c r="N1595">
        <v>663.75362404503312</v>
      </c>
      <c r="O1595">
        <v>500</v>
      </c>
      <c r="P1595">
        <v>100</v>
      </c>
      <c r="Q1595">
        <v>3000</v>
      </c>
      <c r="R1595">
        <v>771.88552234212455</v>
      </c>
      <c r="S1595">
        <v>600</v>
      </c>
      <c r="T1595">
        <v>100</v>
      </c>
      <c r="U1595">
        <v>3000</v>
      </c>
      <c r="V1595">
        <v>721.7437966412424</v>
      </c>
      <c r="W1595">
        <v>1000</v>
      </c>
      <c r="X1595">
        <v>100</v>
      </c>
      <c r="Y1595">
        <v>3000</v>
      </c>
      <c r="Z1595">
        <v>1427.854211076319</v>
      </c>
      <c r="AA1595">
        <v>1200</v>
      </c>
      <c r="AB1595">
        <v>280</v>
      </c>
      <c r="AC1595">
        <v>7000</v>
      </c>
      <c r="AD1595">
        <v>621.92315469941707</v>
      </c>
      <c r="AE1595">
        <v>800</v>
      </c>
      <c r="AF1595">
        <v>300</v>
      </c>
      <c r="AG1595">
        <v>1100</v>
      </c>
      <c r="AH1595">
        <v>1961.7727560165081</v>
      </c>
      <c r="AI1595">
        <v>1200</v>
      </c>
      <c r="AJ1595">
        <v>100</v>
      </c>
      <c r="AK1595">
        <v>10000</v>
      </c>
      <c r="AL1595">
        <v>617.66925751487906</v>
      </c>
      <c r="AM1595">
        <v>600</v>
      </c>
      <c r="AN1595">
        <v>100</v>
      </c>
      <c r="AO1595">
        <v>1500</v>
      </c>
      <c r="AP1595">
        <v>1939.093648134068</v>
      </c>
      <c r="AQ1595">
        <v>2000</v>
      </c>
      <c r="AR1595">
        <v>200</v>
      </c>
      <c r="AS1595">
        <v>4000</v>
      </c>
      <c r="AT1595">
        <v>796</v>
      </c>
    </row>
    <row r="1596" spans="1:46">
      <c r="A1596" t="s">
        <v>206</v>
      </c>
      <c r="B1596">
        <v>6830.9627635615616</v>
      </c>
      <c r="C1596">
        <v>6000</v>
      </c>
      <c r="D1596">
        <v>1000</v>
      </c>
      <c r="E1596">
        <v>20000</v>
      </c>
      <c r="F1596">
        <v>3770.7107842298528</v>
      </c>
      <c r="G1596">
        <v>4000</v>
      </c>
      <c r="H1596">
        <v>300</v>
      </c>
      <c r="I1596">
        <v>15000</v>
      </c>
      <c r="J1596">
        <v>579.7568997656914</v>
      </c>
      <c r="K1596">
        <v>500</v>
      </c>
      <c r="L1596">
        <v>80</v>
      </c>
      <c r="M1596">
        <v>5000</v>
      </c>
      <c r="N1596">
        <v>555.74245064940544</v>
      </c>
      <c r="O1596">
        <v>450</v>
      </c>
      <c r="P1596">
        <v>50</v>
      </c>
      <c r="Q1596">
        <v>2500</v>
      </c>
      <c r="R1596">
        <v>1042.511102537326</v>
      </c>
      <c r="S1596">
        <v>1000</v>
      </c>
      <c r="T1596">
        <v>100</v>
      </c>
      <c r="U1596">
        <v>5500</v>
      </c>
      <c r="V1596">
        <v>666.30421920840513</v>
      </c>
      <c r="W1596">
        <v>500</v>
      </c>
      <c r="X1596">
        <v>100</v>
      </c>
      <c r="Y1596">
        <v>3000</v>
      </c>
      <c r="Z1596">
        <v>1737.2703637691361</v>
      </c>
      <c r="AA1596">
        <v>1500</v>
      </c>
      <c r="AB1596">
        <v>180</v>
      </c>
      <c r="AC1596">
        <v>7000</v>
      </c>
      <c r="AD1596">
        <v>1256.20750669827</v>
      </c>
      <c r="AE1596">
        <v>1000</v>
      </c>
      <c r="AF1596">
        <v>100</v>
      </c>
      <c r="AG1596">
        <v>5000</v>
      </c>
      <c r="AH1596">
        <v>2612.737469045358</v>
      </c>
      <c r="AI1596">
        <v>800</v>
      </c>
      <c r="AJ1596">
        <v>100</v>
      </c>
      <c r="AK1596">
        <v>33000</v>
      </c>
      <c r="AL1596">
        <v>707.23007627857532</v>
      </c>
      <c r="AM1596">
        <v>600</v>
      </c>
      <c r="AN1596">
        <v>65</v>
      </c>
      <c r="AO1596">
        <v>2950</v>
      </c>
      <c r="AP1596">
        <v>657.48538584914616</v>
      </c>
      <c r="AQ1596">
        <v>1000</v>
      </c>
      <c r="AR1596">
        <v>500</v>
      </c>
      <c r="AS1596">
        <v>1000</v>
      </c>
      <c r="AT1596">
        <v>796</v>
      </c>
    </row>
    <row r="1597" spans="1:46">
      <c r="A1597" t="s">
        <v>207</v>
      </c>
      <c r="B1597">
        <v>4339.0681294371379</v>
      </c>
      <c r="C1597">
        <v>4000</v>
      </c>
      <c r="D1597">
        <v>500</v>
      </c>
      <c r="E1597">
        <v>17000</v>
      </c>
      <c r="F1597">
        <v>4350.0394605849988</v>
      </c>
      <c r="G1597">
        <v>4200</v>
      </c>
      <c r="H1597">
        <v>1000</v>
      </c>
      <c r="I1597">
        <v>10000</v>
      </c>
      <c r="J1597">
        <v>260.83937807933478</v>
      </c>
      <c r="K1597">
        <v>160</v>
      </c>
      <c r="L1597">
        <v>50</v>
      </c>
      <c r="M1597">
        <v>1500</v>
      </c>
      <c r="N1597">
        <v>655.11470216249415</v>
      </c>
      <c r="O1597">
        <v>500</v>
      </c>
      <c r="P1597">
        <v>80</v>
      </c>
      <c r="Q1597">
        <v>5000</v>
      </c>
      <c r="R1597">
        <v>632.60854585801133</v>
      </c>
      <c r="S1597">
        <v>500</v>
      </c>
      <c r="T1597">
        <v>100</v>
      </c>
      <c r="U1597">
        <v>5000</v>
      </c>
      <c r="V1597">
        <v>1116.5417185065121</v>
      </c>
      <c r="W1597">
        <v>350</v>
      </c>
      <c r="X1597">
        <v>100</v>
      </c>
      <c r="Y1597">
        <v>6670</v>
      </c>
      <c r="Z1597">
        <v>1311.958057263719</v>
      </c>
      <c r="AA1597">
        <v>1000</v>
      </c>
      <c r="AB1597">
        <v>200</v>
      </c>
      <c r="AC1597">
        <v>6000</v>
      </c>
      <c r="AD1597">
        <v>568.63118146789486</v>
      </c>
      <c r="AE1597">
        <v>700</v>
      </c>
      <c r="AF1597">
        <v>150</v>
      </c>
      <c r="AG1597">
        <v>1000</v>
      </c>
      <c r="AH1597">
        <v>1330.9306117773381</v>
      </c>
      <c r="AI1597">
        <v>1000</v>
      </c>
      <c r="AJ1597">
        <v>100</v>
      </c>
      <c r="AK1597">
        <v>16000</v>
      </c>
      <c r="AL1597">
        <v>578.21253720153766</v>
      </c>
      <c r="AM1597">
        <v>500</v>
      </c>
      <c r="AN1597">
        <v>120</v>
      </c>
      <c r="AO1597">
        <v>2000</v>
      </c>
      <c r="AP1597">
        <v>1672.9096703836931</v>
      </c>
      <c r="AQ1597">
        <v>1200</v>
      </c>
      <c r="AR1597">
        <v>200</v>
      </c>
      <c r="AS1597">
        <v>20000</v>
      </c>
      <c r="AT1597">
        <v>796</v>
      </c>
    </row>
    <row r="1598" spans="1:46">
      <c r="A1598" t="s">
        <v>208</v>
      </c>
      <c r="B1598">
        <v>5598.5294117647036</v>
      </c>
      <c r="C1598">
        <v>5000</v>
      </c>
      <c r="D1598">
        <v>1000</v>
      </c>
      <c r="E1598">
        <v>25000</v>
      </c>
      <c r="F1598">
        <v>3718.367346938775</v>
      </c>
      <c r="G1598">
        <v>4000</v>
      </c>
      <c r="H1598">
        <v>500</v>
      </c>
      <c r="I1598">
        <v>7000</v>
      </c>
      <c r="J1598">
        <v>385.44444444444451</v>
      </c>
      <c r="K1598">
        <v>260</v>
      </c>
      <c r="L1598">
        <v>50</v>
      </c>
      <c r="M1598">
        <v>2640</v>
      </c>
      <c r="N1598">
        <v>505.47619047619042</v>
      </c>
      <c r="O1598">
        <v>300</v>
      </c>
      <c r="P1598">
        <v>100</v>
      </c>
      <c r="Q1598">
        <v>5000</v>
      </c>
      <c r="R1598">
        <v>750.64406779660999</v>
      </c>
      <c r="S1598">
        <v>500</v>
      </c>
      <c r="T1598">
        <v>118</v>
      </c>
      <c r="U1598">
        <v>5000</v>
      </c>
      <c r="V1598">
        <v>458.06451612903209</v>
      </c>
      <c r="W1598">
        <v>350</v>
      </c>
      <c r="X1598">
        <v>100</v>
      </c>
      <c r="Y1598">
        <v>2000</v>
      </c>
      <c r="Z1598">
        <v>1661.4285714285711</v>
      </c>
      <c r="AA1598">
        <v>1500</v>
      </c>
      <c r="AB1598">
        <v>250</v>
      </c>
      <c r="AC1598">
        <v>6000</v>
      </c>
      <c r="AD1598">
        <v>881.24999999999989</v>
      </c>
      <c r="AE1598">
        <v>900</v>
      </c>
      <c r="AF1598">
        <v>150</v>
      </c>
      <c r="AG1598">
        <v>1500</v>
      </c>
      <c r="AH1598">
        <v>1507.5510204081629</v>
      </c>
      <c r="AI1598">
        <v>500</v>
      </c>
      <c r="AJ1598">
        <v>50</v>
      </c>
      <c r="AK1598">
        <v>25000</v>
      </c>
      <c r="AL1598">
        <v>593.78787878787864</v>
      </c>
      <c r="AM1598">
        <v>500</v>
      </c>
      <c r="AN1598">
        <v>150</v>
      </c>
      <c r="AO1598">
        <v>2500</v>
      </c>
      <c r="AP1598">
        <v>800</v>
      </c>
      <c r="AQ1598">
        <v>600</v>
      </c>
      <c r="AR1598">
        <v>200</v>
      </c>
      <c r="AS1598">
        <v>2000</v>
      </c>
      <c r="AT1598">
        <v>796</v>
      </c>
    </row>
    <row r="1599" spans="1:46">
      <c r="A1599" t="s">
        <v>210</v>
      </c>
      <c r="B1599">
        <v>5488.12294305661</v>
      </c>
      <c r="C1599">
        <v>5000</v>
      </c>
      <c r="D1599">
        <v>500</v>
      </c>
      <c r="E1599">
        <v>20000</v>
      </c>
      <c r="F1599">
        <v>3594.259211200399</v>
      </c>
      <c r="G1599">
        <v>3000</v>
      </c>
      <c r="H1599">
        <v>1000</v>
      </c>
      <c r="I1599">
        <v>12000</v>
      </c>
      <c r="J1599">
        <v>604.16734116028545</v>
      </c>
      <c r="K1599">
        <v>500</v>
      </c>
      <c r="L1599">
        <v>100</v>
      </c>
      <c r="M1599">
        <v>2000</v>
      </c>
      <c r="N1599">
        <v>462.98212423550609</v>
      </c>
      <c r="O1599">
        <v>300</v>
      </c>
      <c r="P1599">
        <v>50</v>
      </c>
      <c r="Q1599">
        <v>2000</v>
      </c>
      <c r="R1599">
        <v>912.29741430891579</v>
      </c>
      <c r="S1599">
        <v>500</v>
      </c>
      <c r="T1599">
        <v>100</v>
      </c>
      <c r="U1599">
        <v>3000</v>
      </c>
      <c r="V1599">
        <v>1712.0314604153091</v>
      </c>
      <c r="W1599">
        <v>500</v>
      </c>
      <c r="X1599">
        <v>100</v>
      </c>
      <c r="Y1599">
        <v>15000</v>
      </c>
      <c r="Z1599">
        <v>2207.6831057707741</v>
      </c>
      <c r="AA1599">
        <v>1800</v>
      </c>
      <c r="AB1599">
        <v>200</v>
      </c>
      <c r="AC1599">
        <v>10000</v>
      </c>
      <c r="AD1599">
        <v>1008.0290677479539</v>
      </c>
      <c r="AE1599">
        <v>1000</v>
      </c>
      <c r="AF1599">
        <v>200</v>
      </c>
      <c r="AG1599">
        <v>1600</v>
      </c>
      <c r="AH1599">
        <v>1585.860324303671</v>
      </c>
      <c r="AI1599">
        <v>1000</v>
      </c>
      <c r="AJ1599">
        <v>100</v>
      </c>
      <c r="AK1599">
        <v>7000</v>
      </c>
      <c r="AL1599">
        <v>643.59394027839312</v>
      </c>
      <c r="AM1599">
        <v>500</v>
      </c>
      <c r="AN1599">
        <v>150</v>
      </c>
      <c r="AO1599">
        <v>2000</v>
      </c>
      <c r="AP1599">
        <v>4605.3847923740032</v>
      </c>
      <c r="AQ1599">
        <v>7000</v>
      </c>
      <c r="AR1599">
        <v>780</v>
      </c>
      <c r="AS1599">
        <v>7000</v>
      </c>
      <c r="AT1599">
        <v>796</v>
      </c>
    </row>
    <row r="1600" spans="1:46">
      <c r="A1600" t="s">
        <v>211</v>
      </c>
      <c r="B1600">
        <v>5915.6206377250928</v>
      </c>
      <c r="C1600">
        <v>5000</v>
      </c>
      <c r="D1600">
        <v>300</v>
      </c>
      <c r="E1600">
        <v>15000</v>
      </c>
      <c r="F1600">
        <v>4201.6015708449413</v>
      </c>
      <c r="G1600">
        <v>4000</v>
      </c>
      <c r="H1600">
        <v>300</v>
      </c>
      <c r="I1600">
        <v>10000</v>
      </c>
      <c r="J1600">
        <v>638.54511645794821</v>
      </c>
      <c r="K1600">
        <v>300</v>
      </c>
      <c r="L1600">
        <v>100</v>
      </c>
      <c r="M1600">
        <v>5000</v>
      </c>
      <c r="N1600">
        <v>413.75525587385539</v>
      </c>
      <c r="O1600">
        <v>300</v>
      </c>
      <c r="P1600">
        <v>50</v>
      </c>
      <c r="Q1600">
        <v>1500</v>
      </c>
      <c r="R1600">
        <v>885.44038068343434</v>
      </c>
      <c r="S1600">
        <v>600</v>
      </c>
      <c r="T1600">
        <v>100</v>
      </c>
      <c r="U1600">
        <v>5000</v>
      </c>
      <c r="V1600">
        <v>638.17742036232073</v>
      </c>
      <c r="W1600">
        <v>500</v>
      </c>
      <c r="X1600">
        <v>150</v>
      </c>
      <c r="Y1600">
        <v>2000</v>
      </c>
      <c r="Z1600">
        <v>1800.857968953911</v>
      </c>
      <c r="AA1600">
        <v>1500</v>
      </c>
      <c r="AB1600">
        <v>200</v>
      </c>
      <c r="AC1600">
        <v>15000</v>
      </c>
      <c r="AD1600">
        <v>1124.012431851753</v>
      </c>
      <c r="AE1600">
        <v>1000</v>
      </c>
      <c r="AF1600">
        <v>100</v>
      </c>
      <c r="AG1600">
        <v>2000</v>
      </c>
      <c r="AH1600">
        <v>1366.451290387055</v>
      </c>
      <c r="AI1600">
        <v>1000</v>
      </c>
      <c r="AJ1600">
        <v>100</v>
      </c>
      <c r="AK1600">
        <v>8400</v>
      </c>
      <c r="AL1600">
        <v>676.05354817492935</v>
      </c>
      <c r="AM1600">
        <v>600</v>
      </c>
      <c r="AN1600">
        <v>54</v>
      </c>
      <c r="AO1600">
        <v>2000</v>
      </c>
      <c r="AP1600">
        <v>2613.5929202755042</v>
      </c>
      <c r="AQ1600">
        <v>2000</v>
      </c>
      <c r="AR1600">
        <v>400</v>
      </c>
      <c r="AS1600">
        <v>7500</v>
      </c>
      <c r="AT1600">
        <v>796</v>
      </c>
    </row>
    <row r="1601" spans="1:47">
      <c r="A1601" t="s">
        <v>212</v>
      </c>
      <c r="B1601">
        <v>8497.7640758814359</v>
      </c>
      <c r="C1601">
        <v>6000</v>
      </c>
      <c r="D1601">
        <v>1500</v>
      </c>
      <c r="E1601">
        <v>30000</v>
      </c>
      <c r="F1601">
        <v>6567.5412178949391</v>
      </c>
      <c r="G1601">
        <v>6000</v>
      </c>
      <c r="H1601">
        <v>1500</v>
      </c>
      <c r="I1601">
        <v>17000</v>
      </c>
      <c r="J1601">
        <v>578.66589673210331</v>
      </c>
      <c r="K1601">
        <v>450</v>
      </c>
      <c r="L1601">
        <v>50</v>
      </c>
      <c r="M1601">
        <v>3000</v>
      </c>
      <c r="N1601">
        <v>382.38013062252691</v>
      </c>
      <c r="O1601">
        <v>300</v>
      </c>
      <c r="P1601">
        <v>50</v>
      </c>
      <c r="Q1601">
        <v>2000</v>
      </c>
      <c r="R1601">
        <v>933.86392720954916</v>
      </c>
      <c r="S1601">
        <v>650</v>
      </c>
      <c r="T1601">
        <v>100</v>
      </c>
      <c r="U1601">
        <v>4000</v>
      </c>
      <c r="V1601">
        <v>599.71947490455636</v>
      </c>
      <c r="W1601">
        <v>350</v>
      </c>
      <c r="X1601">
        <v>100</v>
      </c>
      <c r="Y1601">
        <v>3500</v>
      </c>
      <c r="Z1601">
        <v>2045.701546939209</v>
      </c>
      <c r="AA1601">
        <v>1500</v>
      </c>
      <c r="AB1601">
        <v>300</v>
      </c>
      <c r="AC1601">
        <v>12500</v>
      </c>
      <c r="AD1601">
        <v>849.33553812219952</v>
      </c>
      <c r="AE1601">
        <v>1000</v>
      </c>
      <c r="AF1601">
        <v>500</v>
      </c>
      <c r="AG1601">
        <v>1200</v>
      </c>
      <c r="AH1601">
        <v>1545.7778098925071</v>
      </c>
      <c r="AI1601">
        <v>600</v>
      </c>
      <c r="AJ1601">
        <v>56</v>
      </c>
      <c r="AK1601">
        <v>13000</v>
      </c>
      <c r="AL1601">
        <v>664.98879820234777</v>
      </c>
      <c r="AM1601">
        <v>600</v>
      </c>
      <c r="AN1601">
        <v>100</v>
      </c>
      <c r="AO1601">
        <v>2100</v>
      </c>
      <c r="AP1601">
        <v>2416.590042292311</v>
      </c>
      <c r="AQ1601">
        <v>1500</v>
      </c>
      <c r="AR1601">
        <v>320</v>
      </c>
      <c r="AS1601">
        <v>7000</v>
      </c>
      <c r="AT1601">
        <v>796</v>
      </c>
    </row>
    <row r="1603" spans="1:47">
      <c r="A1603" t="s">
        <v>492</v>
      </c>
    </row>
    <row r="1604" spans="1:47">
      <c r="A1604" t="s">
        <v>190</v>
      </c>
      <c r="B1604" t="s">
        <v>214</v>
      </c>
      <c r="C1604" t="s">
        <v>448</v>
      </c>
      <c r="D1604" t="s">
        <v>449</v>
      </c>
      <c r="E1604" t="s">
        <v>450</v>
      </c>
      <c r="F1604" t="s">
        <v>451</v>
      </c>
      <c r="G1604" t="s">
        <v>452</v>
      </c>
      <c r="H1604" t="s">
        <v>453</v>
      </c>
      <c r="I1604" t="s">
        <v>454</v>
      </c>
      <c r="J1604" t="s">
        <v>455</v>
      </c>
      <c r="K1604" t="s">
        <v>456</v>
      </c>
      <c r="L1604" t="s">
        <v>457</v>
      </c>
      <c r="M1604" t="s">
        <v>458</v>
      </c>
      <c r="N1604" t="s">
        <v>459</v>
      </c>
      <c r="O1604" t="s">
        <v>460</v>
      </c>
      <c r="P1604" t="s">
        <v>461</v>
      </c>
      <c r="Q1604" t="s">
        <v>462</v>
      </c>
      <c r="R1604" t="s">
        <v>463</v>
      </c>
      <c r="S1604" t="s">
        <v>464</v>
      </c>
      <c r="T1604" t="s">
        <v>465</v>
      </c>
      <c r="U1604" t="s">
        <v>466</v>
      </c>
      <c r="V1604" t="s">
        <v>467</v>
      </c>
      <c r="W1604" t="s">
        <v>468</v>
      </c>
      <c r="X1604" t="s">
        <v>469</v>
      </c>
      <c r="Y1604" t="s">
        <v>470</v>
      </c>
      <c r="Z1604" t="s">
        <v>471</v>
      </c>
      <c r="AA1604" t="s">
        <v>472</v>
      </c>
      <c r="AB1604" t="s">
        <v>473</v>
      </c>
      <c r="AC1604" t="s">
        <v>474</v>
      </c>
      <c r="AD1604" t="s">
        <v>475</v>
      </c>
      <c r="AE1604" t="s">
        <v>476</v>
      </c>
      <c r="AF1604" t="s">
        <v>477</v>
      </c>
      <c r="AG1604" t="s">
        <v>478</v>
      </c>
      <c r="AH1604" t="s">
        <v>479</v>
      </c>
      <c r="AI1604" t="s">
        <v>480</v>
      </c>
      <c r="AJ1604" t="s">
        <v>481</v>
      </c>
      <c r="AK1604" t="s">
        <v>482</v>
      </c>
      <c r="AL1604" t="s">
        <v>483</v>
      </c>
      <c r="AM1604" t="s">
        <v>484</v>
      </c>
      <c r="AN1604" t="s">
        <v>485</v>
      </c>
      <c r="AO1604" t="s">
        <v>486</v>
      </c>
      <c r="AP1604" t="s">
        <v>487</v>
      </c>
      <c r="AQ1604" t="s">
        <v>488</v>
      </c>
      <c r="AR1604" t="s">
        <v>489</v>
      </c>
      <c r="AS1604" t="s">
        <v>490</v>
      </c>
      <c r="AT1604" t="s">
        <v>491</v>
      </c>
      <c r="AU1604" t="s">
        <v>196</v>
      </c>
    </row>
    <row r="1605" spans="1:47">
      <c r="A1605" t="s">
        <v>198</v>
      </c>
      <c r="B1605" t="s">
        <v>198</v>
      </c>
      <c r="C1605">
        <v>7400.3823062584024</v>
      </c>
      <c r="D1605">
        <v>6000</v>
      </c>
      <c r="E1605">
        <v>300</v>
      </c>
      <c r="F1605">
        <v>40000</v>
      </c>
      <c r="G1605">
        <v>6306.864754093308</v>
      </c>
      <c r="H1605">
        <v>5000</v>
      </c>
      <c r="I1605">
        <v>300</v>
      </c>
      <c r="J1605">
        <v>20000</v>
      </c>
      <c r="K1605">
        <v>427.71586487397678</v>
      </c>
      <c r="L1605">
        <v>300</v>
      </c>
      <c r="M1605">
        <v>50</v>
      </c>
      <c r="N1605">
        <v>5000</v>
      </c>
      <c r="O1605">
        <v>577.12409181089538</v>
      </c>
      <c r="P1605">
        <v>400</v>
      </c>
      <c r="Q1605">
        <v>50</v>
      </c>
      <c r="R1605">
        <v>5000</v>
      </c>
      <c r="S1605">
        <v>858.54060286632887</v>
      </c>
      <c r="T1605">
        <v>600</v>
      </c>
      <c r="U1605">
        <v>100</v>
      </c>
      <c r="V1605">
        <v>5500</v>
      </c>
      <c r="W1605">
        <v>792.6937845829774</v>
      </c>
      <c r="X1605">
        <v>500</v>
      </c>
      <c r="Y1605">
        <v>100</v>
      </c>
      <c r="Z1605">
        <v>15000</v>
      </c>
      <c r="AA1605">
        <v>1760.4404787915121</v>
      </c>
      <c r="AB1605">
        <v>1500</v>
      </c>
      <c r="AC1605">
        <v>130</v>
      </c>
      <c r="AD1605">
        <v>15000</v>
      </c>
      <c r="AE1605">
        <v>848.00541056593909</v>
      </c>
      <c r="AF1605">
        <v>700</v>
      </c>
      <c r="AG1605">
        <v>100</v>
      </c>
      <c r="AH1605">
        <v>5000</v>
      </c>
      <c r="AI1605">
        <v>2036.148346408125</v>
      </c>
      <c r="AJ1605">
        <v>1000</v>
      </c>
      <c r="AK1605">
        <v>50</v>
      </c>
      <c r="AL1605">
        <v>35000</v>
      </c>
      <c r="AM1605">
        <v>660.0653308548633</v>
      </c>
      <c r="AN1605">
        <v>600</v>
      </c>
      <c r="AO1605">
        <v>54</v>
      </c>
      <c r="AP1605">
        <v>4600</v>
      </c>
      <c r="AQ1605">
        <v>1933.887829927949</v>
      </c>
      <c r="AR1605">
        <v>1300</v>
      </c>
      <c r="AS1605">
        <v>200</v>
      </c>
      <c r="AT1605">
        <v>20000</v>
      </c>
      <c r="AU1605">
        <v>796</v>
      </c>
    </row>
    <row r="1606" spans="1:47">
      <c r="A1606" t="s">
        <v>200</v>
      </c>
      <c r="B1606" t="s">
        <v>236</v>
      </c>
      <c r="C1606">
        <v>4937.9180934307451</v>
      </c>
      <c r="D1606">
        <v>4000</v>
      </c>
      <c r="E1606">
        <v>1000</v>
      </c>
      <c r="F1606">
        <v>10000</v>
      </c>
      <c r="G1606">
        <v>593.43589851394051</v>
      </c>
      <c r="H1606">
        <v>500</v>
      </c>
      <c r="I1606">
        <v>500</v>
      </c>
      <c r="J1606">
        <v>1500</v>
      </c>
      <c r="K1606">
        <v>165.5783807021833</v>
      </c>
      <c r="L1606">
        <v>230</v>
      </c>
      <c r="M1606">
        <v>100</v>
      </c>
      <c r="N1606">
        <v>300</v>
      </c>
      <c r="O1606">
        <v>181.9533489002711</v>
      </c>
      <c r="P1606">
        <v>200</v>
      </c>
      <c r="Q1606">
        <v>100</v>
      </c>
      <c r="R1606">
        <v>600</v>
      </c>
      <c r="S1606">
        <v>470.58763956384689</v>
      </c>
      <c r="T1606">
        <v>500</v>
      </c>
      <c r="U1606">
        <v>250</v>
      </c>
      <c r="V1606">
        <v>2000</v>
      </c>
      <c r="W1606">
        <v>889.96870625732606</v>
      </c>
      <c r="X1606">
        <v>1000</v>
      </c>
      <c r="Y1606">
        <v>100</v>
      </c>
      <c r="Z1606">
        <v>1000</v>
      </c>
      <c r="AA1606">
        <v>929.61032030039655</v>
      </c>
      <c r="AB1606">
        <v>1000</v>
      </c>
      <c r="AC1606">
        <v>130</v>
      </c>
      <c r="AD1606">
        <v>2000</v>
      </c>
      <c r="AE1606">
        <v>519.42798291029385</v>
      </c>
      <c r="AF1606">
        <v>800</v>
      </c>
      <c r="AG1606">
        <v>250</v>
      </c>
      <c r="AH1606">
        <v>2000</v>
      </c>
      <c r="AI1606">
        <v>623.13506921367139</v>
      </c>
      <c r="AJ1606">
        <v>400</v>
      </c>
      <c r="AK1606">
        <v>100</v>
      </c>
      <c r="AL1606">
        <v>4000</v>
      </c>
      <c r="AM1606">
        <v>477.31035794821508</v>
      </c>
      <c r="AN1606">
        <v>400</v>
      </c>
      <c r="AO1606">
        <v>200</v>
      </c>
      <c r="AP1606">
        <v>2800</v>
      </c>
      <c r="AU1606">
        <v>796</v>
      </c>
    </row>
    <row r="1607" spans="1:47">
      <c r="A1607" t="s">
        <v>200</v>
      </c>
      <c r="B1607" t="s">
        <v>235</v>
      </c>
      <c r="C1607">
        <v>6022.7084540366995</v>
      </c>
      <c r="D1607">
        <v>6000</v>
      </c>
      <c r="E1607">
        <v>1500</v>
      </c>
      <c r="F1607">
        <v>20000</v>
      </c>
      <c r="G1607">
        <v>3325.5637372205688</v>
      </c>
      <c r="H1607">
        <v>2000</v>
      </c>
      <c r="I1607">
        <v>1000</v>
      </c>
      <c r="J1607">
        <v>7000</v>
      </c>
      <c r="K1607">
        <v>411.63217579591918</v>
      </c>
      <c r="L1607">
        <v>500</v>
      </c>
      <c r="M1607">
        <v>80</v>
      </c>
      <c r="N1607">
        <v>5000</v>
      </c>
      <c r="O1607">
        <v>478.68327136138691</v>
      </c>
      <c r="P1607">
        <v>500</v>
      </c>
      <c r="Q1607">
        <v>150</v>
      </c>
      <c r="R1607">
        <v>800</v>
      </c>
      <c r="S1607">
        <v>1105.9043064146399</v>
      </c>
      <c r="T1607">
        <v>500</v>
      </c>
      <c r="U1607">
        <v>100</v>
      </c>
      <c r="V1607">
        <v>3000</v>
      </c>
      <c r="W1607">
        <v>583.33333333333337</v>
      </c>
      <c r="X1607">
        <v>500</v>
      </c>
      <c r="Y1607">
        <v>100</v>
      </c>
      <c r="Z1607">
        <v>1500</v>
      </c>
      <c r="AA1607">
        <v>1250.2327269716329</v>
      </c>
      <c r="AB1607">
        <v>1200</v>
      </c>
      <c r="AC1607">
        <v>270</v>
      </c>
      <c r="AD1607">
        <v>3500</v>
      </c>
      <c r="AE1607">
        <v>922.42795384293959</v>
      </c>
      <c r="AF1607">
        <v>900</v>
      </c>
      <c r="AG1607">
        <v>500</v>
      </c>
      <c r="AH1607">
        <v>2500</v>
      </c>
      <c r="AI1607">
        <v>1931.9296891567269</v>
      </c>
      <c r="AJ1607">
        <v>1200</v>
      </c>
      <c r="AK1607">
        <v>100</v>
      </c>
      <c r="AL1607">
        <v>5000</v>
      </c>
      <c r="AM1607">
        <v>722.79728323807001</v>
      </c>
      <c r="AN1607">
        <v>800</v>
      </c>
      <c r="AO1607">
        <v>175</v>
      </c>
      <c r="AP1607">
        <v>1500</v>
      </c>
      <c r="AQ1607">
        <v>2886.560723187994</v>
      </c>
      <c r="AR1607">
        <v>500</v>
      </c>
      <c r="AS1607">
        <v>500</v>
      </c>
      <c r="AT1607">
        <v>6000</v>
      </c>
      <c r="AU1607">
        <v>796</v>
      </c>
    </row>
    <row r="1608" spans="1:47">
      <c r="A1608" t="s">
        <v>201</v>
      </c>
      <c r="B1608" t="s">
        <v>235</v>
      </c>
      <c r="C1608">
        <v>9706.4102564102577</v>
      </c>
      <c r="D1608">
        <v>8000</v>
      </c>
      <c r="E1608">
        <v>1000</v>
      </c>
      <c r="F1608">
        <v>40000</v>
      </c>
      <c r="G1608">
        <v>8885.7142857142862</v>
      </c>
      <c r="H1608">
        <v>9000</v>
      </c>
      <c r="I1608">
        <v>500</v>
      </c>
      <c r="J1608">
        <v>20000</v>
      </c>
      <c r="K1608">
        <v>377.3</v>
      </c>
      <c r="L1608">
        <v>250</v>
      </c>
      <c r="M1608">
        <v>70</v>
      </c>
      <c r="N1608">
        <v>1500</v>
      </c>
      <c r="O1608">
        <v>510.42553191489361</v>
      </c>
      <c r="P1608">
        <v>300</v>
      </c>
      <c r="Q1608">
        <v>80</v>
      </c>
      <c r="R1608">
        <v>2500</v>
      </c>
      <c r="S1608">
        <v>855.4098360655737</v>
      </c>
      <c r="T1608">
        <v>550</v>
      </c>
      <c r="U1608">
        <v>100</v>
      </c>
      <c r="V1608">
        <v>2500</v>
      </c>
      <c r="W1608">
        <v>590.74074074074076</v>
      </c>
      <c r="X1608">
        <v>500</v>
      </c>
      <c r="Y1608">
        <v>100</v>
      </c>
      <c r="Z1608">
        <v>3000</v>
      </c>
      <c r="AA1608">
        <v>2153.8271604938268</v>
      </c>
      <c r="AB1608">
        <v>2000</v>
      </c>
      <c r="AC1608">
        <v>500</v>
      </c>
      <c r="AD1608">
        <v>6000</v>
      </c>
      <c r="AE1608">
        <v>625</v>
      </c>
      <c r="AF1608">
        <v>300</v>
      </c>
      <c r="AG1608">
        <v>100</v>
      </c>
      <c r="AH1608">
        <v>2000</v>
      </c>
      <c r="AI1608">
        <v>2137.666666666667</v>
      </c>
      <c r="AJ1608">
        <v>700</v>
      </c>
      <c r="AK1608">
        <v>50</v>
      </c>
      <c r="AL1608">
        <v>16000</v>
      </c>
      <c r="AM1608">
        <v>748.6746987951808</v>
      </c>
      <c r="AN1608">
        <v>750</v>
      </c>
      <c r="AO1608">
        <v>70</v>
      </c>
      <c r="AP1608">
        <v>2000</v>
      </c>
      <c r="AQ1608">
        <v>1728.5714285714289</v>
      </c>
      <c r="AR1608">
        <v>1800</v>
      </c>
      <c r="AS1608">
        <v>500</v>
      </c>
      <c r="AT1608">
        <v>3000</v>
      </c>
      <c r="AU1608">
        <v>796</v>
      </c>
    </row>
    <row r="1609" spans="1:47">
      <c r="A1609" t="s">
        <v>202</v>
      </c>
      <c r="B1609" t="s">
        <v>236</v>
      </c>
      <c r="C1609">
        <v>8558.9918267959783</v>
      </c>
      <c r="D1609">
        <v>7500</v>
      </c>
      <c r="E1609">
        <v>1000</v>
      </c>
      <c r="F1609">
        <v>30000</v>
      </c>
      <c r="G1609">
        <v>7184.8365283778539</v>
      </c>
      <c r="H1609">
        <v>9500</v>
      </c>
      <c r="I1609">
        <v>500</v>
      </c>
      <c r="J1609">
        <v>20000</v>
      </c>
      <c r="K1609">
        <v>815.91263487833487</v>
      </c>
      <c r="L1609">
        <v>500</v>
      </c>
      <c r="M1609">
        <v>100</v>
      </c>
      <c r="N1609">
        <v>5000</v>
      </c>
      <c r="O1609">
        <v>837.53740962884478</v>
      </c>
      <c r="P1609">
        <v>600</v>
      </c>
      <c r="Q1609">
        <v>100</v>
      </c>
      <c r="R1609">
        <v>4000</v>
      </c>
      <c r="S1609">
        <v>1179.2577426906209</v>
      </c>
      <c r="T1609">
        <v>800</v>
      </c>
      <c r="U1609">
        <v>100</v>
      </c>
      <c r="V1609">
        <v>5000</v>
      </c>
      <c r="W1609">
        <v>1714.488959322558</v>
      </c>
      <c r="X1609">
        <v>480</v>
      </c>
      <c r="Y1609">
        <v>150</v>
      </c>
      <c r="Z1609">
        <v>6300</v>
      </c>
      <c r="AA1609">
        <v>2344.811882526194</v>
      </c>
      <c r="AB1609">
        <v>2000</v>
      </c>
      <c r="AC1609">
        <v>450</v>
      </c>
      <c r="AD1609">
        <v>6000</v>
      </c>
      <c r="AE1609">
        <v>2000</v>
      </c>
      <c r="AF1609">
        <v>2000</v>
      </c>
      <c r="AG1609">
        <v>2000</v>
      </c>
      <c r="AH1609">
        <v>2000</v>
      </c>
      <c r="AI1609">
        <v>5819.1786302407691</v>
      </c>
      <c r="AJ1609">
        <v>3000</v>
      </c>
      <c r="AK1609">
        <v>200</v>
      </c>
      <c r="AL1609">
        <v>35000</v>
      </c>
      <c r="AM1609">
        <v>819.22292525168632</v>
      </c>
      <c r="AN1609">
        <v>700</v>
      </c>
      <c r="AO1609">
        <v>125</v>
      </c>
      <c r="AP1609">
        <v>4600</v>
      </c>
      <c r="AQ1609">
        <v>2179.5829288874752</v>
      </c>
      <c r="AR1609">
        <v>3000</v>
      </c>
      <c r="AS1609">
        <v>1000</v>
      </c>
      <c r="AT1609">
        <v>3000</v>
      </c>
      <c r="AU1609">
        <v>796</v>
      </c>
    </row>
    <row r="1610" spans="1:47">
      <c r="A1610" t="s">
        <v>202</v>
      </c>
      <c r="B1610" t="s">
        <v>235</v>
      </c>
      <c r="C1610">
        <v>9735.5724203735062</v>
      </c>
      <c r="D1610">
        <v>9000</v>
      </c>
      <c r="E1610">
        <v>2000</v>
      </c>
      <c r="F1610">
        <v>25000</v>
      </c>
      <c r="G1610">
        <v>7040.753461452492</v>
      </c>
      <c r="H1610">
        <v>7000</v>
      </c>
      <c r="I1610">
        <v>2000</v>
      </c>
      <c r="J1610">
        <v>13000</v>
      </c>
      <c r="K1610">
        <v>532.27891852865082</v>
      </c>
      <c r="L1610">
        <v>300</v>
      </c>
      <c r="M1610">
        <v>100</v>
      </c>
      <c r="N1610">
        <v>3000</v>
      </c>
      <c r="O1610">
        <v>664.93945185138784</v>
      </c>
      <c r="P1610">
        <v>500</v>
      </c>
      <c r="Q1610">
        <v>80</v>
      </c>
      <c r="R1610">
        <v>3500</v>
      </c>
      <c r="S1610">
        <v>1226.080303845893</v>
      </c>
      <c r="T1610">
        <v>700</v>
      </c>
      <c r="U1610">
        <v>100</v>
      </c>
      <c r="V1610">
        <v>5000</v>
      </c>
      <c r="W1610">
        <v>626.80049887526286</v>
      </c>
      <c r="X1610">
        <v>500</v>
      </c>
      <c r="Y1610">
        <v>100</v>
      </c>
      <c r="Z1610">
        <v>1500</v>
      </c>
      <c r="AA1610">
        <v>2123.479873781439</v>
      </c>
      <c r="AB1610">
        <v>1900</v>
      </c>
      <c r="AC1610">
        <v>300</v>
      </c>
      <c r="AD1610">
        <v>5200</v>
      </c>
      <c r="AE1610">
        <v>2282.9298336403608</v>
      </c>
      <c r="AF1610">
        <v>3000</v>
      </c>
      <c r="AG1610">
        <v>1500</v>
      </c>
      <c r="AH1610">
        <v>3000</v>
      </c>
      <c r="AI1610">
        <v>2078.2955083794418</v>
      </c>
      <c r="AJ1610">
        <v>1000</v>
      </c>
      <c r="AK1610">
        <v>100</v>
      </c>
      <c r="AL1610">
        <v>10000</v>
      </c>
      <c r="AM1610">
        <v>679.41171913979383</v>
      </c>
      <c r="AN1610">
        <v>650</v>
      </c>
      <c r="AO1610">
        <v>120</v>
      </c>
      <c r="AP1610">
        <v>2000</v>
      </c>
      <c r="AQ1610">
        <v>2312.454674125031</v>
      </c>
      <c r="AR1610">
        <v>3000</v>
      </c>
      <c r="AS1610">
        <v>600</v>
      </c>
      <c r="AT1610">
        <v>4000</v>
      </c>
      <c r="AU1610">
        <v>796</v>
      </c>
    </row>
    <row r="1611" spans="1:47">
      <c r="A1611" t="s">
        <v>203</v>
      </c>
      <c r="B1611" t="s">
        <v>236</v>
      </c>
      <c r="C1611">
        <v>5070.4557589014412</v>
      </c>
      <c r="D1611">
        <v>5000</v>
      </c>
      <c r="E1611">
        <v>400</v>
      </c>
      <c r="F1611">
        <v>10000</v>
      </c>
      <c r="G1611">
        <v>1942.6551319817161</v>
      </c>
      <c r="H1611">
        <v>2000</v>
      </c>
      <c r="I1611">
        <v>1000</v>
      </c>
      <c r="J1611">
        <v>3500</v>
      </c>
      <c r="K1611">
        <v>442.14171856242388</v>
      </c>
      <c r="L1611">
        <v>200</v>
      </c>
      <c r="M1611">
        <v>100</v>
      </c>
      <c r="N1611">
        <v>1000</v>
      </c>
      <c r="O1611">
        <v>687.09539649045951</v>
      </c>
      <c r="P1611">
        <v>500</v>
      </c>
      <c r="Q1611">
        <v>100</v>
      </c>
      <c r="R1611">
        <v>2000</v>
      </c>
      <c r="S1611">
        <v>772.25616176739356</v>
      </c>
      <c r="T1611">
        <v>1000</v>
      </c>
      <c r="U1611">
        <v>200</v>
      </c>
      <c r="V1611">
        <v>2000</v>
      </c>
      <c r="W1611">
        <v>609.15639203722901</v>
      </c>
      <c r="X1611">
        <v>500</v>
      </c>
      <c r="Y1611">
        <v>100</v>
      </c>
      <c r="Z1611">
        <v>2000</v>
      </c>
      <c r="AA1611">
        <v>1302.1465324430881</v>
      </c>
      <c r="AB1611">
        <v>1200</v>
      </c>
      <c r="AC1611">
        <v>377</v>
      </c>
      <c r="AD1611">
        <v>3000</v>
      </c>
      <c r="AE1611">
        <v>902.61942714585871</v>
      </c>
      <c r="AF1611">
        <v>900</v>
      </c>
      <c r="AG1611">
        <v>300</v>
      </c>
      <c r="AH1611">
        <v>1400</v>
      </c>
      <c r="AI1611">
        <v>1967.74868138499</v>
      </c>
      <c r="AJ1611">
        <v>1000</v>
      </c>
      <c r="AK1611">
        <v>100</v>
      </c>
      <c r="AL1611">
        <v>15000</v>
      </c>
      <c r="AM1611">
        <v>571.38319595276823</v>
      </c>
      <c r="AN1611">
        <v>600</v>
      </c>
      <c r="AO1611">
        <v>100</v>
      </c>
      <c r="AP1611">
        <v>1450</v>
      </c>
      <c r="AQ1611">
        <v>738.81010180345504</v>
      </c>
      <c r="AR1611">
        <v>1000</v>
      </c>
      <c r="AS1611">
        <v>500</v>
      </c>
      <c r="AT1611">
        <v>1200</v>
      </c>
      <c r="AU1611">
        <v>796</v>
      </c>
    </row>
    <row r="1612" spans="1:47">
      <c r="A1612" t="s">
        <v>203</v>
      </c>
      <c r="B1612" t="s">
        <v>235</v>
      </c>
      <c r="C1612">
        <v>6320.9847744292774</v>
      </c>
      <c r="D1612">
        <v>5000</v>
      </c>
      <c r="E1612">
        <v>400</v>
      </c>
      <c r="F1612">
        <v>25000</v>
      </c>
      <c r="G1612">
        <v>3866.1521083109992</v>
      </c>
      <c r="H1612">
        <v>4000</v>
      </c>
      <c r="I1612">
        <v>1000</v>
      </c>
      <c r="J1612">
        <v>6500</v>
      </c>
      <c r="K1612">
        <v>472.84737922454673</v>
      </c>
      <c r="L1612">
        <v>400</v>
      </c>
      <c r="M1612">
        <v>100</v>
      </c>
      <c r="N1612">
        <v>1500</v>
      </c>
      <c r="O1612">
        <v>458.55608975540082</v>
      </c>
      <c r="P1612">
        <v>300</v>
      </c>
      <c r="Q1612">
        <v>70</v>
      </c>
      <c r="R1612">
        <v>1500</v>
      </c>
      <c r="S1612">
        <v>795.97990084224114</v>
      </c>
      <c r="T1612">
        <v>500</v>
      </c>
      <c r="U1612">
        <v>200</v>
      </c>
      <c r="V1612">
        <v>3000</v>
      </c>
      <c r="W1612">
        <v>671.95646274027911</v>
      </c>
      <c r="X1612">
        <v>500</v>
      </c>
      <c r="Y1612">
        <v>100</v>
      </c>
      <c r="Z1612">
        <v>2000</v>
      </c>
      <c r="AA1612">
        <v>1872.6884028742199</v>
      </c>
      <c r="AB1612">
        <v>1500</v>
      </c>
      <c r="AC1612">
        <v>400</v>
      </c>
      <c r="AD1612">
        <v>7000</v>
      </c>
      <c r="AE1612">
        <v>756.50779376586604</v>
      </c>
      <c r="AF1612">
        <v>500</v>
      </c>
      <c r="AG1612">
        <v>200</v>
      </c>
      <c r="AH1612">
        <v>2500</v>
      </c>
      <c r="AI1612">
        <v>2121.9961458371358</v>
      </c>
      <c r="AJ1612">
        <v>1500</v>
      </c>
      <c r="AK1612">
        <v>200</v>
      </c>
      <c r="AL1612">
        <v>8000</v>
      </c>
      <c r="AM1612">
        <v>632.53484783049464</v>
      </c>
      <c r="AN1612">
        <v>600</v>
      </c>
      <c r="AO1612">
        <v>175</v>
      </c>
      <c r="AP1612">
        <v>1500</v>
      </c>
      <c r="AU1612">
        <v>796</v>
      </c>
    </row>
    <row r="1613" spans="1:47">
      <c r="A1613" t="s">
        <v>205</v>
      </c>
      <c r="B1613" t="s">
        <v>236</v>
      </c>
      <c r="C1613">
        <v>8089.2656079688104</v>
      </c>
      <c r="D1613">
        <v>7000</v>
      </c>
      <c r="E1613">
        <v>1000</v>
      </c>
      <c r="F1613">
        <v>16000</v>
      </c>
      <c r="G1613">
        <v>8546.7588675104944</v>
      </c>
      <c r="H1613">
        <v>15000</v>
      </c>
      <c r="I1613">
        <v>1000</v>
      </c>
      <c r="J1613">
        <v>15000</v>
      </c>
      <c r="K1613">
        <v>286.22374368960283</v>
      </c>
      <c r="L1613">
        <v>300</v>
      </c>
      <c r="M1613">
        <v>50</v>
      </c>
      <c r="N1613">
        <v>700</v>
      </c>
      <c r="O1613">
        <v>1323.2014104065181</v>
      </c>
      <c r="P1613">
        <v>2000</v>
      </c>
      <c r="Q1613">
        <v>100</v>
      </c>
      <c r="R1613">
        <v>3000</v>
      </c>
      <c r="S1613">
        <v>1003.200074205752</v>
      </c>
      <c r="T1613">
        <v>1000</v>
      </c>
      <c r="U1613">
        <v>200</v>
      </c>
      <c r="V1613">
        <v>3000</v>
      </c>
      <c r="W1613">
        <v>547.68479896589804</v>
      </c>
      <c r="X1613">
        <v>1000</v>
      </c>
      <c r="Y1613">
        <v>150</v>
      </c>
      <c r="Z1613">
        <v>3000</v>
      </c>
      <c r="AA1613">
        <v>1175.305280571192</v>
      </c>
      <c r="AB1613">
        <v>1100</v>
      </c>
      <c r="AC1613">
        <v>280</v>
      </c>
      <c r="AD1613">
        <v>4000</v>
      </c>
      <c r="AE1613">
        <v>592.04762604020527</v>
      </c>
      <c r="AF1613">
        <v>1000</v>
      </c>
      <c r="AG1613">
        <v>300</v>
      </c>
      <c r="AH1613">
        <v>1100</v>
      </c>
      <c r="AI1613">
        <v>3182.6481278452138</v>
      </c>
      <c r="AJ1613">
        <v>3500</v>
      </c>
      <c r="AK1613">
        <v>400</v>
      </c>
      <c r="AL1613">
        <v>10000</v>
      </c>
      <c r="AM1613">
        <v>640.65506684311026</v>
      </c>
      <c r="AN1613">
        <v>700</v>
      </c>
      <c r="AO1613">
        <v>100</v>
      </c>
      <c r="AP1613">
        <v>1000</v>
      </c>
      <c r="AQ1613">
        <v>770.32609324520047</v>
      </c>
      <c r="AR1613">
        <v>500</v>
      </c>
      <c r="AS1613">
        <v>225</v>
      </c>
      <c r="AT1613">
        <v>2940</v>
      </c>
      <c r="AU1613">
        <v>796</v>
      </c>
    </row>
    <row r="1614" spans="1:47">
      <c r="A1614" t="s">
        <v>205</v>
      </c>
      <c r="B1614" t="s">
        <v>235</v>
      </c>
      <c r="C1614">
        <v>7152.4440656346987</v>
      </c>
      <c r="D1614">
        <v>8000</v>
      </c>
      <c r="E1614">
        <v>1000</v>
      </c>
      <c r="F1614">
        <v>15000</v>
      </c>
      <c r="G1614">
        <v>5704.622700883001</v>
      </c>
      <c r="H1614">
        <v>5000</v>
      </c>
      <c r="I1614">
        <v>1000</v>
      </c>
      <c r="J1614">
        <v>10000</v>
      </c>
      <c r="K1614">
        <v>379.94181407939959</v>
      </c>
      <c r="L1614">
        <v>340</v>
      </c>
      <c r="M1614">
        <v>80</v>
      </c>
      <c r="N1614">
        <v>1000</v>
      </c>
      <c r="O1614">
        <v>561.72991109810278</v>
      </c>
      <c r="P1614">
        <v>500</v>
      </c>
      <c r="Q1614">
        <v>100</v>
      </c>
      <c r="R1614">
        <v>2000</v>
      </c>
      <c r="S1614">
        <v>706.75997397262506</v>
      </c>
      <c r="T1614">
        <v>600</v>
      </c>
      <c r="U1614">
        <v>100</v>
      </c>
      <c r="V1614">
        <v>3000</v>
      </c>
      <c r="W1614">
        <v>931.61668829979862</v>
      </c>
      <c r="X1614">
        <v>1000</v>
      </c>
      <c r="Y1614">
        <v>100</v>
      </c>
      <c r="Z1614">
        <v>1500</v>
      </c>
      <c r="AA1614">
        <v>1478.669947448212</v>
      </c>
      <c r="AB1614">
        <v>1300</v>
      </c>
      <c r="AC1614">
        <v>400</v>
      </c>
      <c r="AD1614">
        <v>7000</v>
      </c>
      <c r="AE1614">
        <v>800</v>
      </c>
      <c r="AF1614">
        <v>800</v>
      </c>
      <c r="AG1614">
        <v>800</v>
      </c>
      <c r="AH1614">
        <v>800</v>
      </c>
      <c r="AI1614">
        <v>1695.3186118102849</v>
      </c>
      <c r="AJ1614">
        <v>1000</v>
      </c>
      <c r="AK1614">
        <v>100</v>
      </c>
      <c r="AL1614">
        <v>6000</v>
      </c>
      <c r="AM1614">
        <v>611.10336747976385</v>
      </c>
      <c r="AN1614">
        <v>600</v>
      </c>
      <c r="AO1614">
        <v>100</v>
      </c>
      <c r="AP1614">
        <v>1500</v>
      </c>
      <c r="AQ1614">
        <v>2028.14730434484</v>
      </c>
      <c r="AR1614">
        <v>2000</v>
      </c>
      <c r="AS1614">
        <v>200</v>
      </c>
      <c r="AT1614">
        <v>4000</v>
      </c>
      <c r="AU1614">
        <v>796</v>
      </c>
    </row>
    <row r="1615" spans="1:47">
      <c r="A1615" t="s">
        <v>206</v>
      </c>
      <c r="B1615" t="s">
        <v>236</v>
      </c>
      <c r="C1615">
        <v>7432.3452865998142</v>
      </c>
      <c r="D1615">
        <v>5000</v>
      </c>
      <c r="E1615">
        <v>1000</v>
      </c>
      <c r="F1615">
        <v>20000</v>
      </c>
      <c r="G1615">
        <v>3461.0864573668059</v>
      </c>
      <c r="H1615">
        <v>3000</v>
      </c>
      <c r="I1615">
        <v>1000</v>
      </c>
      <c r="J1615">
        <v>10000</v>
      </c>
      <c r="K1615">
        <v>475.17727998453768</v>
      </c>
      <c r="L1615">
        <v>500</v>
      </c>
      <c r="M1615">
        <v>100</v>
      </c>
      <c r="N1615">
        <v>1000</v>
      </c>
      <c r="O1615">
        <v>456.46832368260812</v>
      </c>
      <c r="P1615">
        <v>300</v>
      </c>
      <c r="Q1615">
        <v>100</v>
      </c>
      <c r="R1615">
        <v>2000</v>
      </c>
      <c r="S1615">
        <v>694.56204503927222</v>
      </c>
      <c r="T1615">
        <v>600</v>
      </c>
      <c r="U1615">
        <v>300</v>
      </c>
      <c r="V1615">
        <v>1500</v>
      </c>
      <c r="W1615">
        <v>712.96253906784034</v>
      </c>
      <c r="X1615">
        <v>1000</v>
      </c>
      <c r="Y1615">
        <v>100</v>
      </c>
      <c r="Z1615">
        <v>2000</v>
      </c>
      <c r="AA1615">
        <v>1381.322476907475</v>
      </c>
      <c r="AB1615">
        <v>1500</v>
      </c>
      <c r="AC1615">
        <v>600</v>
      </c>
      <c r="AD1615">
        <v>3000</v>
      </c>
      <c r="AE1615">
        <v>810.04161270482894</v>
      </c>
      <c r="AF1615">
        <v>1500</v>
      </c>
      <c r="AG1615">
        <v>180</v>
      </c>
      <c r="AH1615">
        <v>1500</v>
      </c>
      <c r="AI1615">
        <v>989.44874007276951</v>
      </c>
      <c r="AJ1615">
        <v>2000</v>
      </c>
      <c r="AK1615">
        <v>100</v>
      </c>
      <c r="AL1615">
        <v>2000</v>
      </c>
      <c r="AM1615">
        <v>816.27948219590667</v>
      </c>
      <c r="AN1615">
        <v>750</v>
      </c>
      <c r="AO1615">
        <v>100</v>
      </c>
      <c r="AP1615">
        <v>2950</v>
      </c>
      <c r="AQ1615">
        <v>657.48538584914616</v>
      </c>
      <c r="AR1615">
        <v>1000</v>
      </c>
      <c r="AS1615">
        <v>500</v>
      </c>
      <c r="AT1615">
        <v>1000</v>
      </c>
      <c r="AU1615">
        <v>796</v>
      </c>
    </row>
    <row r="1616" spans="1:47">
      <c r="A1616" t="s">
        <v>206</v>
      </c>
      <c r="B1616" t="s">
        <v>235</v>
      </c>
      <c r="C1616">
        <v>6776.4537973484667</v>
      </c>
      <c r="D1616">
        <v>7000</v>
      </c>
      <c r="E1616">
        <v>1500</v>
      </c>
      <c r="F1616">
        <v>17000</v>
      </c>
      <c r="G1616">
        <v>3847.2301767112172</v>
      </c>
      <c r="H1616">
        <v>4000</v>
      </c>
      <c r="I1616">
        <v>300</v>
      </c>
      <c r="J1616">
        <v>15000</v>
      </c>
      <c r="K1616">
        <v>597.65429917102927</v>
      </c>
      <c r="L1616">
        <v>500</v>
      </c>
      <c r="M1616">
        <v>80</v>
      </c>
      <c r="N1616">
        <v>5000</v>
      </c>
      <c r="O1616">
        <v>589.43241806480876</v>
      </c>
      <c r="P1616">
        <v>500</v>
      </c>
      <c r="Q1616">
        <v>50</v>
      </c>
      <c r="R1616">
        <v>2500</v>
      </c>
      <c r="S1616">
        <v>1173.9735461827911</v>
      </c>
      <c r="T1616">
        <v>1000</v>
      </c>
      <c r="U1616">
        <v>100</v>
      </c>
      <c r="V1616">
        <v>5500</v>
      </c>
      <c r="W1616">
        <v>647.13214731591563</v>
      </c>
      <c r="X1616">
        <v>500</v>
      </c>
      <c r="Y1616">
        <v>100</v>
      </c>
      <c r="Z1616">
        <v>3000</v>
      </c>
      <c r="AA1616">
        <v>1875.343094559671</v>
      </c>
      <c r="AB1616">
        <v>1500</v>
      </c>
      <c r="AC1616">
        <v>180</v>
      </c>
      <c r="AD1616">
        <v>7000</v>
      </c>
      <c r="AE1616">
        <v>1409.7223200605599</v>
      </c>
      <c r="AF1616">
        <v>1000</v>
      </c>
      <c r="AG1616">
        <v>100</v>
      </c>
      <c r="AH1616">
        <v>5000</v>
      </c>
      <c r="AI1616">
        <v>3261.4498164392721</v>
      </c>
      <c r="AJ1616">
        <v>800</v>
      </c>
      <c r="AK1616">
        <v>100</v>
      </c>
      <c r="AL1616">
        <v>33000</v>
      </c>
      <c r="AM1616">
        <v>674.11246544273774</v>
      </c>
      <c r="AN1616">
        <v>500</v>
      </c>
      <c r="AO1616">
        <v>65</v>
      </c>
      <c r="AP1616">
        <v>2000</v>
      </c>
      <c r="AU1616">
        <v>796</v>
      </c>
    </row>
    <row r="1617" spans="1:47">
      <c r="A1617" t="s">
        <v>207</v>
      </c>
      <c r="B1617" t="s">
        <v>236</v>
      </c>
      <c r="C1617">
        <v>4172.8102612436387</v>
      </c>
      <c r="D1617">
        <v>4000</v>
      </c>
      <c r="E1617">
        <v>1000</v>
      </c>
      <c r="F1617">
        <v>17000</v>
      </c>
      <c r="G1617">
        <v>4084.7573518759559</v>
      </c>
      <c r="H1617">
        <v>5000</v>
      </c>
      <c r="I1617">
        <v>1000</v>
      </c>
      <c r="J1617">
        <v>8000</v>
      </c>
      <c r="K1617">
        <v>393.74032250970947</v>
      </c>
      <c r="L1617">
        <v>500</v>
      </c>
      <c r="M1617">
        <v>50</v>
      </c>
      <c r="N1617">
        <v>1500</v>
      </c>
      <c r="O1617">
        <v>596.63141474901909</v>
      </c>
      <c r="P1617">
        <v>500</v>
      </c>
      <c r="Q1617">
        <v>100</v>
      </c>
      <c r="R1617">
        <v>5000</v>
      </c>
      <c r="S1617">
        <v>551.88553692771006</v>
      </c>
      <c r="T1617">
        <v>500</v>
      </c>
      <c r="U1617">
        <v>100</v>
      </c>
      <c r="V1617">
        <v>5000</v>
      </c>
      <c r="W1617">
        <v>2554.5166499936772</v>
      </c>
      <c r="X1617">
        <v>500</v>
      </c>
      <c r="Y1617">
        <v>100</v>
      </c>
      <c r="Z1617">
        <v>6670</v>
      </c>
      <c r="AA1617">
        <v>1349.8314952721551</v>
      </c>
      <c r="AB1617">
        <v>1000</v>
      </c>
      <c r="AC1617">
        <v>200</v>
      </c>
      <c r="AD1617">
        <v>6000</v>
      </c>
      <c r="AE1617">
        <v>570.78427348349487</v>
      </c>
      <c r="AF1617">
        <v>700</v>
      </c>
      <c r="AG1617">
        <v>150</v>
      </c>
      <c r="AH1617">
        <v>1000</v>
      </c>
      <c r="AI1617">
        <v>1706.2643255003841</v>
      </c>
      <c r="AJ1617">
        <v>2000</v>
      </c>
      <c r="AK1617">
        <v>100</v>
      </c>
      <c r="AL1617">
        <v>8000</v>
      </c>
      <c r="AM1617">
        <v>571.37198716436001</v>
      </c>
      <c r="AN1617">
        <v>500</v>
      </c>
      <c r="AO1617">
        <v>120</v>
      </c>
      <c r="AP1617">
        <v>2000</v>
      </c>
      <c r="AQ1617">
        <v>5009.6653769730119</v>
      </c>
      <c r="AR1617">
        <v>1200</v>
      </c>
      <c r="AS1617">
        <v>200</v>
      </c>
      <c r="AT1617">
        <v>20000</v>
      </c>
      <c r="AU1617">
        <v>796</v>
      </c>
    </row>
    <row r="1618" spans="1:47">
      <c r="A1618" t="s">
        <v>207</v>
      </c>
      <c r="B1618" t="s">
        <v>235</v>
      </c>
      <c r="C1618">
        <v>4463.9456860852451</v>
      </c>
      <c r="D1618">
        <v>5000</v>
      </c>
      <c r="E1618">
        <v>500</v>
      </c>
      <c r="F1618">
        <v>15000</v>
      </c>
      <c r="G1618">
        <v>4406.1380001092457</v>
      </c>
      <c r="H1618">
        <v>4000</v>
      </c>
      <c r="I1618">
        <v>1000</v>
      </c>
      <c r="J1618">
        <v>10000</v>
      </c>
      <c r="K1618">
        <v>209.374444724885</v>
      </c>
      <c r="L1618">
        <v>150</v>
      </c>
      <c r="M1618">
        <v>50</v>
      </c>
      <c r="N1618">
        <v>1500</v>
      </c>
      <c r="O1618">
        <v>708.32656225203323</v>
      </c>
      <c r="P1618">
        <v>1000</v>
      </c>
      <c r="Q1618">
        <v>80</v>
      </c>
      <c r="R1618">
        <v>1500</v>
      </c>
      <c r="S1618">
        <v>700.32859152363903</v>
      </c>
      <c r="T1618">
        <v>600</v>
      </c>
      <c r="U1618">
        <v>100</v>
      </c>
      <c r="V1618">
        <v>3000</v>
      </c>
      <c r="W1618">
        <v>453.86371500271002</v>
      </c>
      <c r="X1618">
        <v>350</v>
      </c>
      <c r="Y1618">
        <v>100</v>
      </c>
      <c r="Z1618">
        <v>2000</v>
      </c>
      <c r="AA1618">
        <v>1276.7823406687089</v>
      </c>
      <c r="AB1618">
        <v>1000</v>
      </c>
      <c r="AC1618">
        <v>500</v>
      </c>
      <c r="AD1618">
        <v>6000</v>
      </c>
      <c r="AE1618">
        <v>500</v>
      </c>
      <c r="AF1618">
        <v>500</v>
      </c>
      <c r="AG1618">
        <v>500</v>
      </c>
      <c r="AH1618">
        <v>500</v>
      </c>
      <c r="AI1618">
        <v>1059.6253514761761</v>
      </c>
      <c r="AJ1618">
        <v>700</v>
      </c>
      <c r="AK1618">
        <v>100</v>
      </c>
      <c r="AL1618">
        <v>16000</v>
      </c>
      <c r="AM1618">
        <v>585.38784608619778</v>
      </c>
      <c r="AN1618">
        <v>500</v>
      </c>
      <c r="AO1618">
        <v>150</v>
      </c>
      <c r="AP1618">
        <v>1000</v>
      </c>
      <c r="AQ1618">
        <v>1115.446794109178</v>
      </c>
      <c r="AR1618">
        <v>1500</v>
      </c>
      <c r="AS1618">
        <v>350</v>
      </c>
      <c r="AT1618">
        <v>2500</v>
      </c>
      <c r="AU1618">
        <v>796</v>
      </c>
    </row>
    <row r="1619" spans="1:47">
      <c r="A1619" t="s">
        <v>208</v>
      </c>
      <c r="B1619" t="s">
        <v>236</v>
      </c>
      <c r="C1619">
        <v>5055.5555555555557</v>
      </c>
      <c r="D1619">
        <v>5000</v>
      </c>
      <c r="E1619">
        <v>1500</v>
      </c>
      <c r="F1619">
        <v>10000</v>
      </c>
      <c r="G1619">
        <v>3100</v>
      </c>
      <c r="H1619">
        <v>3000</v>
      </c>
      <c r="I1619">
        <v>1000</v>
      </c>
      <c r="J1619">
        <v>6000</v>
      </c>
      <c r="K1619">
        <v>592.85714285714289</v>
      </c>
      <c r="L1619">
        <v>500</v>
      </c>
      <c r="M1619">
        <v>200</v>
      </c>
      <c r="N1619">
        <v>1500</v>
      </c>
      <c r="O1619">
        <v>378.57142857142861</v>
      </c>
      <c r="P1619">
        <v>300</v>
      </c>
      <c r="Q1619">
        <v>150</v>
      </c>
      <c r="R1619">
        <v>1000</v>
      </c>
      <c r="S1619">
        <v>685.55555555555554</v>
      </c>
      <c r="T1619">
        <v>600</v>
      </c>
      <c r="U1619">
        <v>120</v>
      </c>
      <c r="V1619">
        <v>2000</v>
      </c>
      <c r="W1619">
        <v>308.33333333333343</v>
      </c>
      <c r="X1619">
        <v>150</v>
      </c>
      <c r="Y1619">
        <v>100</v>
      </c>
      <c r="Z1619">
        <v>1000</v>
      </c>
      <c r="AA1619">
        <v>2005</v>
      </c>
      <c r="AB1619">
        <v>1800</v>
      </c>
      <c r="AC1619">
        <v>500</v>
      </c>
      <c r="AD1619">
        <v>5000</v>
      </c>
      <c r="AE1619">
        <v>900</v>
      </c>
      <c r="AF1619">
        <v>900</v>
      </c>
      <c r="AG1619">
        <v>400</v>
      </c>
      <c r="AH1619">
        <v>1500</v>
      </c>
      <c r="AI1619">
        <v>914.99999999999989</v>
      </c>
      <c r="AJ1619">
        <v>1000</v>
      </c>
      <c r="AK1619">
        <v>120</v>
      </c>
      <c r="AL1619">
        <v>2000</v>
      </c>
      <c r="AM1619">
        <v>588</v>
      </c>
      <c r="AN1619">
        <v>500</v>
      </c>
      <c r="AO1619">
        <v>300</v>
      </c>
      <c r="AP1619">
        <v>1000</v>
      </c>
      <c r="AU1619">
        <v>796</v>
      </c>
    </row>
    <row r="1620" spans="1:47">
      <c r="A1620" t="s">
        <v>208</v>
      </c>
      <c r="B1620" t="s">
        <v>235</v>
      </c>
      <c r="C1620">
        <v>5681.3559322033898</v>
      </c>
      <c r="D1620">
        <v>5000</v>
      </c>
      <c r="E1620">
        <v>1000</v>
      </c>
      <c r="F1620">
        <v>25000</v>
      </c>
      <c r="G1620">
        <v>3788.6363636363631</v>
      </c>
      <c r="H1620">
        <v>4000</v>
      </c>
      <c r="I1620">
        <v>500</v>
      </c>
      <c r="J1620">
        <v>7000</v>
      </c>
      <c r="K1620">
        <v>347.23684210526312</v>
      </c>
      <c r="L1620">
        <v>200</v>
      </c>
      <c r="M1620">
        <v>50</v>
      </c>
      <c r="N1620">
        <v>2640</v>
      </c>
      <c r="O1620">
        <v>530.85714285714278</v>
      </c>
      <c r="P1620">
        <v>300</v>
      </c>
      <c r="Q1620">
        <v>100</v>
      </c>
      <c r="R1620">
        <v>5000</v>
      </c>
      <c r="S1620">
        <v>762.35999999999979</v>
      </c>
      <c r="T1620">
        <v>500</v>
      </c>
      <c r="U1620">
        <v>118</v>
      </c>
      <c r="V1620">
        <v>5000</v>
      </c>
      <c r="W1620">
        <v>493.99999999999989</v>
      </c>
      <c r="X1620">
        <v>500</v>
      </c>
      <c r="Y1620">
        <v>100</v>
      </c>
      <c r="Z1620">
        <v>2000</v>
      </c>
      <c r="AA1620">
        <v>1604.166666666667</v>
      </c>
      <c r="AB1620">
        <v>1300</v>
      </c>
      <c r="AC1620">
        <v>250</v>
      </c>
      <c r="AD1620">
        <v>6000</v>
      </c>
      <c r="AE1620">
        <v>825</v>
      </c>
      <c r="AF1620">
        <v>150</v>
      </c>
      <c r="AG1620">
        <v>150</v>
      </c>
      <c r="AH1620">
        <v>1500</v>
      </c>
      <c r="AI1620">
        <v>1623.1707317073169</v>
      </c>
      <c r="AJ1620">
        <v>500</v>
      </c>
      <c r="AK1620">
        <v>50</v>
      </c>
      <c r="AL1620">
        <v>25000</v>
      </c>
      <c r="AM1620">
        <v>594.82142857142867</v>
      </c>
      <c r="AN1620">
        <v>500</v>
      </c>
      <c r="AO1620">
        <v>150</v>
      </c>
      <c r="AP1620">
        <v>2500</v>
      </c>
      <c r="AQ1620">
        <v>800</v>
      </c>
      <c r="AR1620">
        <v>600</v>
      </c>
      <c r="AS1620">
        <v>200</v>
      </c>
      <c r="AT1620">
        <v>2000</v>
      </c>
      <c r="AU1620">
        <v>796</v>
      </c>
    </row>
    <row r="1621" spans="1:47">
      <c r="A1621" t="s">
        <v>210</v>
      </c>
      <c r="B1621" t="s">
        <v>236</v>
      </c>
      <c r="C1621">
        <v>5071.0910814783028</v>
      </c>
      <c r="D1621">
        <v>4000</v>
      </c>
      <c r="E1621">
        <v>500</v>
      </c>
      <c r="F1621">
        <v>20000</v>
      </c>
      <c r="G1621">
        <v>4138.7273358622169</v>
      </c>
      <c r="H1621">
        <v>4000</v>
      </c>
      <c r="I1621">
        <v>1000</v>
      </c>
      <c r="J1621">
        <v>12000</v>
      </c>
      <c r="K1621">
        <v>798.06651426616577</v>
      </c>
      <c r="L1621">
        <v>700</v>
      </c>
      <c r="M1621">
        <v>150</v>
      </c>
      <c r="N1621">
        <v>2000</v>
      </c>
      <c r="O1621">
        <v>550.40846802100577</v>
      </c>
      <c r="P1621">
        <v>500</v>
      </c>
      <c r="Q1621">
        <v>200</v>
      </c>
      <c r="R1621">
        <v>1000</v>
      </c>
      <c r="S1621">
        <v>1093.6228571003601</v>
      </c>
      <c r="T1621">
        <v>500</v>
      </c>
      <c r="U1621">
        <v>200</v>
      </c>
      <c r="V1621">
        <v>3000</v>
      </c>
      <c r="W1621">
        <v>3568.329292680939</v>
      </c>
      <c r="X1621">
        <v>800</v>
      </c>
      <c r="Y1621">
        <v>100</v>
      </c>
      <c r="Z1621">
        <v>15000</v>
      </c>
      <c r="AA1621">
        <v>2383.0863928679159</v>
      </c>
      <c r="AB1621">
        <v>2000</v>
      </c>
      <c r="AC1621">
        <v>200</v>
      </c>
      <c r="AD1621">
        <v>10000</v>
      </c>
      <c r="AE1621">
        <v>960.00414406196046</v>
      </c>
      <c r="AF1621">
        <v>1000</v>
      </c>
      <c r="AG1621">
        <v>200</v>
      </c>
      <c r="AH1621">
        <v>1600</v>
      </c>
      <c r="AI1621">
        <v>1489.751467238028</v>
      </c>
      <c r="AJ1621">
        <v>1000</v>
      </c>
      <c r="AK1621">
        <v>200</v>
      </c>
      <c r="AL1621">
        <v>7000</v>
      </c>
      <c r="AM1621">
        <v>725.4900707363405</v>
      </c>
      <c r="AN1621">
        <v>590</v>
      </c>
      <c r="AO1621">
        <v>260</v>
      </c>
      <c r="AP1621">
        <v>2000</v>
      </c>
      <c r="AQ1621">
        <v>2070</v>
      </c>
      <c r="AR1621">
        <v>780</v>
      </c>
      <c r="AS1621">
        <v>780</v>
      </c>
      <c r="AT1621">
        <v>3360</v>
      </c>
      <c r="AU1621">
        <v>796</v>
      </c>
    </row>
    <row r="1622" spans="1:47">
      <c r="A1622" t="s">
        <v>210</v>
      </c>
      <c r="B1622" t="s">
        <v>235</v>
      </c>
      <c r="C1622">
        <v>5901.3575359164834</v>
      </c>
      <c r="D1622">
        <v>5000</v>
      </c>
      <c r="E1622">
        <v>700</v>
      </c>
      <c r="F1622">
        <v>15000</v>
      </c>
      <c r="G1622">
        <v>3451.9408694331828</v>
      </c>
      <c r="H1622">
        <v>3500</v>
      </c>
      <c r="I1622">
        <v>1500</v>
      </c>
      <c r="J1622">
        <v>5000</v>
      </c>
      <c r="K1622">
        <v>481.81818181818193</v>
      </c>
      <c r="L1622">
        <v>500</v>
      </c>
      <c r="M1622">
        <v>100</v>
      </c>
      <c r="N1622">
        <v>2000</v>
      </c>
      <c r="O1622">
        <v>426.25</v>
      </c>
      <c r="P1622">
        <v>200</v>
      </c>
      <c r="Q1622">
        <v>50</v>
      </c>
      <c r="R1622">
        <v>2000</v>
      </c>
      <c r="S1622">
        <v>815.46352443037983</v>
      </c>
      <c r="T1622">
        <v>700</v>
      </c>
      <c r="U1622">
        <v>100</v>
      </c>
      <c r="V1622">
        <v>2000</v>
      </c>
      <c r="W1622">
        <v>737.05168284051626</v>
      </c>
      <c r="X1622">
        <v>500</v>
      </c>
      <c r="Y1622">
        <v>100</v>
      </c>
      <c r="Z1622">
        <v>2000</v>
      </c>
      <c r="AA1622">
        <v>2135.3754703962609</v>
      </c>
      <c r="AB1622">
        <v>1870</v>
      </c>
      <c r="AC1622">
        <v>600</v>
      </c>
      <c r="AD1622">
        <v>6000</v>
      </c>
      <c r="AE1622">
        <v>800</v>
      </c>
      <c r="AF1622">
        <v>800</v>
      </c>
      <c r="AG1622">
        <v>800</v>
      </c>
      <c r="AH1622">
        <v>800</v>
      </c>
      <c r="AI1622">
        <v>1685.7142857142851</v>
      </c>
      <c r="AJ1622">
        <v>1500</v>
      </c>
      <c r="AK1622">
        <v>100</v>
      </c>
      <c r="AL1622">
        <v>5000</v>
      </c>
      <c r="AM1622">
        <v>545.37346922597169</v>
      </c>
      <c r="AN1622">
        <v>500</v>
      </c>
      <c r="AO1622">
        <v>150</v>
      </c>
      <c r="AP1622">
        <v>1500</v>
      </c>
      <c r="AQ1622">
        <v>7000</v>
      </c>
      <c r="AR1622">
        <v>7000</v>
      </c>
      <c r="AS1622">
        <v>7000</v>
      </c>
      <c r="AT1622">
        <v>7000</v>
      </c>
      <c r="AU1622">
        <v>796</v>
      </c>
    </row>
    <row r="1623" spans="1:47">
      <c r="A1623" t="s">
        <v>211</v>
      </c>
      <c r="B1623" t="s">
        <v>236</v>
      </c>
      <c r="C1623">
        <v>5140.9399849857709</v>
      </c>
      <c r="D1623">
        <v>4000</v>
      </c>
      <c r="E1623">
        <v>500</v>
      </c>
      <c r="F1623">
        <v>15000</v>
      </c>
      <c r="G1623">
        <v>2174.5670382361031</v>
      </c>
      <c r="H1623">
        <v>2500</v>
      </c>
      <c r="I1623">
        <v>300</v>
      </c>
      <c r="J1623">
        <v>5000</v>
      </c>
      <c r="K1623">
        <v>428.7936439518856</v>
      </c>
      <c r="L1623">
        <v>350</v>
      </c>
      <c r="M1623">
        <v>200</v>
      </c>
      <c r="N1623">
        <v>1000</v>
      </c>
      <c r="O1623">
        <v>243.3029764268577</v>
      </c>
      <c r="P1623">
        <v>200</v>
      </c>
      <c r="Q1623">
        <v>50</v>
      </c>
      <c r="R1623">
        <v>700</v>
      </c>
      <c r="S1623">
        <v>730.96692223218656</v>
      </c>
      <c r="T1623">
        <v>500</v>
      </c>
      <c r="U1623">
        <v>150</v>
      </c>
      <c r="V1623">
        <v>5000</v>
      </c>
      <c r="W1623">
        <v>661.75027280426343</v>
      </c>
      <c r="X1623">
        <v>500</v>
      </c>
      <c r="Y1623">
        <v>300</v>
      </c>
      <c r="Z1623">
        <v>1500</v>
      </c>
      <c r="AA1623">
        <v>1735.15549344184</v>
      </c>
      <c r="AB1623">
        <v>1500</v>
      </c>
      <c r="AC1623">
        <v>200</v>
      </c>
      <c r="AD1623">
        <v>15000</v>
      </c>
      <c r="AE1623">
        <v>1147.6699268477371</v>
      </c>
      <c r="AF1623">
        <v>1000</v>
      </c>
      <c r="AG1623">
        <v>700</v>
      </c>
      <c r="AH1623">
        <v>2000</v>
      </c>
      <c r="AI1623">
        <v>1607.854225588281</v>
      </c>
      <c r="AJ1623">
        <v>1000</v>
      </c>
      <c r="AK1623">
        <v>100</v>
      </c>
      <c r="AL1623">
        <v>8400</v>
      </c>
      <c r="AM1623">
        <v>683.96146405251693</v>
      </c>
      <c r="AN1623">
        <v>600</v>
      </c>
      <c r="AO1623">
        <v>175</v>
      </c>
      <c r="AP1623">
        <v>2000</v>
      </c>
      <c r="AQ1623">
        <v>7500</v>
      </c>
      <c r="AR1623">
        <v>7500</v>
      </c>
      <c r="AS1623">
        <v>7500</v>
      </c>
      <c r="AT1623">
        <v>7500</v>
      </c>
      <c r="AU1623">
        <v>796</v>
      </c>
    </row>
    <row r="1624" spans="1:47">
      <c r="A1624" t="s">
        <v>211</v>
      </c>
      <c r="B1624" t="s">
        <v>235</v>
      </c>
      <c r="C1624">
        <v>6449.5963565975708</v>
      </c>
      <c r="D1624">
        <v>6000</v>
      </c>
      <c r="E1624">
        <v>300</v>
      </c>
      <c r="F1624">
        <v>15000</v>
      </c>
      <c r="G1624">
        <v>4712.6619556572223</v>
      </c>
      <c r="H1624">
        <v>4500</v>
      </c>
      <c r="I1624">
        <v>2000</v>
      </c>
      <c r="J1624">
        <v>10000</v>
      </c>
      <c r="K1624">
        <v>773.94993497780251</v>
      </c>
      <c r="L1624">
        <v>500</v>
      </c>
      <c r="M1624">
        <v>100</v>
      </c>
      <c r="N1624">
        <v>5000</v>
      </c>
      <c r="O1624">
        <v>490.90646819552279</v>
      </c>
      <c r="P1624">
        <v>400</v>
      </c>
      <c r="Q1624">
        <v>100</v>
      </c>
      <c r="R1624">
        <v>1500</v>
      </c>
      <c r="S1624">
        <v>934.37939513331594</v>
      </c>
      <c r="T1624">
        <v>700</v>
      </c>
      <c r="U1624">
        <v>100</v>
      </c>
      <c r="V1624">
        <v>3000</v>
      </c>
      <c r="W1624">
        <v>580.79583171037677</v>
      </c>
      <c r="X1624">
        <v>700</v>
      </c>
      <c r="Y1624">
        <v>150</v>
      </c>
      <c r="Z1624">
        <v>2000</v>
      </c>
      <c r="AA1624">
        <v>1872.4861453270839</v>
      </c>
      <c r="AB1624">
        <v>1700</v>
      </c>
      <c r="AC1624">
        <v>300</v>
      </c>
      <c r="AD1624">
        <v>6000</v>
      </c>
      <c r="AE1624">
        <v>1102.3852346194119</v>
      </c>
      <c r="AF1624">
        <v>2000</v>
      </c>
      <c r="AG1624">
        <v>100</v>
      </c>
      <c r="AH1624">
        <v>2000</v>
      </c>
      <c r="AI1624">
        <v>1253.0432463274619</v>
      </c>
      <c r="AJ1624">
        <v>1000</v>
      </c>
      <c r="AK1624">
        <v>100</v>
      </c>
      <c r="AL1624">
        <v>6000</v>
      </c>
      <c r="AM1624">
        <v>683.19215885024357</v>
      </c>
      <c r="AN1624">
        <v>700</v>
      </c>
      <c r="AO1624">
        <v>54</v>
      </c>
      <c r="AP1624">
        <v>2000</v>
      </c>
      <c r="AQ1624">
        <v>1414.9523597476759</v>
      </c>
      <c r="AR1624">
        <v>2000</v>
      </c>
      <c r="AS1624">
        <v>600</v>
      </c>
      <c r="AT1624">
        <v>2000</v>
      </c>
      <c r="AU1624">
        <v>796</v>
      </c>
    </row>
    <row r="1625" spans="1:47">
      <c r="A1625" t="s">
        <v>212</v>
      </c>
      <c r="B1625" t="s">
        <v>236</v>
      </c>
      <c r="C1625">
        <v>6451.8218989549996</v>
      </c>
      <c r="D1625">
        <v>6000</v>
      </c>
      <c r="E1625">
        <v>1500</v>
      </c>
      <c r="F1625">
        <v>20000</v>
      </c>
      <c r="G1625">
        <v>4539.7246150734654</v>
      </c>
      <c r="H1625">
        <v>5500</v>
      </c>
      <c r="I1625">
        <v>1500</v>
      </c>
      <c r="J1625">
        <v>6000</v>
      </c>
      <c r="K1625">
        <v>509.02028841076287</v>
      </c>
      <c r="L1625">
        <v>600</v>
      </c>
      <c r="M1625">
        <v>100</v>
      </c>
      <c r="N1625">
        <v>2000</v>
      </c>
      <c r="O1625">
        <v>441.35600223604922</v>
      </c>
      <c r="P1625">
        <v>500</v>
      </c>
      <c r="Q1625">
        <v>120</v>
      </c>
      <c r="R1625">
        <v>1000</v>
      </c>
      <c r="S1625">
        <v>1245.1367367239129</v>
      </c>
      <c r="T1625">
        <v>1000</v>
      </c>
      <c r="U1625">
        <v>300</v>
      </c>
      <c r="V1625">
        <v>4000</v>
      </c>
      <c r="W1625">
        <v>770.67932751490184</v>
      </c>
      <c r="X1625">
        <v>1000</v>
      </c>
      <c r="Y1625">
        <v>200</v>
      </c>
      <c r="Z1625">
        <v>1000</v>
      </c>
      <c r="AA1625">
        <v>1292.4021591501071</v>
      </c>
      <c r="AB1625">
        <v>1300</v>
      </c>
      <c r="AC1625">
        <v>300</v>
      </c>
      <c r="AD1625">
        <v>4000</v>
      </c>
      <c r="AE1625">
        <v>601.01446173099737</v>
      </c>
      <c r="AF1625">
        <v>500</v>
      </c>
      <c r="AG1625">
        <v>500</v>
      </c>
      <c r="AH1625">
        <v>900</v>
      </c>
      <c r="AI1625">
        <v>3825.1012451925221</v>
      </c>
      <c r="AJ1625">
        <v>3000</v>
      </c>
      <c r="AK1625">
        <v>140</v>
      </c>
      <c r="AL1625">
        <v>13000</v>
      </c>
      <c r="AM1625">
        <v>518.02929768356239</v>
      </c>
      <c r="AN1625">
        <v>500</v>
      </c>
      <c r="AO1625">
        <v>270</v>
      </c>
      <c r="AP1625">
        <v>1000</v>
      </c>
      <c r="AQ1625">
        <v>1500</v>
      </c>
      <c r="AR1625">
        <v>1500</v>
      </c>
      <c r="AS1625">
        <v>1500</v>
      </c>
      <c r="AT1625">
        <v>1500</v>
      </c>
      <c r="AU1625">
        <v>796</v>
      </c>
    </row>
    <row r="1626" spans="1:47">
      <c r="A1626" t="s">
        <v>212</v>
      </c>
      <c r="B1626" t="s">
        <v>235</v>
      </c>
      <c r="C1626">
        <v>8858.979065628364</v>
      </c>
      <c r="D1626">
        <v>8000</v>
      </c>
      <c r="E1626">
        <v>1500</v>
      </c>
      <c r="F1626">
        <v>30000</v>
      </c>
      <c r="G1626">
        <v>6786.5096052116551</v>
      </c>
      <c r="H1626">
        <v>6000</v>
      </c>
      <c r="I1626">
        <v>1500</v>
      </c>
      <c r="J1626">
        <v>17000</v>
      </c>
      <c r="K1626">
        <v>591.47916725865207</v>
      </c>
      <c r="L1626">
        <v>500</v>
      </c>
      <c r="M1626">
        <v>50</v>
      </c>
      <c r="N1626">
        <v>3000</v>
      </c>
      <c r="O1626">
        <v>371.66550724223771</v>
      </c>
      <c r="P1626">
        <v>300</v>
      </c>
      <c r="Q1626">
        <v>50</v>
      </c>
      <c r="R1626">
        <v>2000</v>
      </c>
      <c r="S1626">
        <v>890.51374649148204</v>
      </c>
      <c r="T1626">
        <v>650</v>
      </c>
      <c r="U1626">
        <v>100</v>
      </c>
      <c r="V1626">
        <v>4000</v>
      </c>
      <c r="W1626">
        <v>586.28471696054908</v>
      </c>
      <c r="X1626">
        <v>350</v>
      </c>
      <c r="Y1626">
        <v>100</v>
      </c>
      <c r="Z1626">
        <v>3500</v>
      </c>
      <c r="AA1626">
        <v>2175.8373783184888</v>
      </c>
      <c r="AB1626">
        <v>2000</v>
      </c>
      <c r="AC1626">
        <v>500</v>
      </c>
      <c r="AD1626">
        <v>12500</v>
      </c>
      <c r="AE1626">
        <v>901.25232886021615</v>
      </c>
      <c r="AF1626">
        <v>1200</v>
      </c>
      <c r="AG1626">
        <v>500</v>
      </c>
      <c r="AH1626">
        <v>1200</v>
      </c>
      <c r="AI1626">
        <v>1271.590459685759</v>
      </c>
      <c r="AJ1626">
        <v>600</v>
      </c>
      <c r="AK1626">
        <v>56</v>
      </c>
      <c r="AL1626">
        <v>13000</v>
      </c>
      <c r="AM1626">
        <v>689.02887837228548</v>
      </c>
      <c r="AN1626">
        <v>650</v>
      </c>
      <c r="AO1626">
        <v>100</v>
      </c>
      <c r="AP1626">
        <v>2100</v>
      </c>
      <c r="AQ1626">
        <v>2432.0799130681062</v>
      </c>
      <c r="AR1626">
        <v>3100</v>
      </c>
      <c r="AS1626">
        <v>320</v>
      </c>
      <c r="AT1626">
        <v>7000</v>
      </c>
      <c r="AU1626">
        <v>796</v>
      </c>
    </row>
    <row r="1628" spans="1:47">
      <c r="A1628" t="s">
        <v>493</v>
      </c>
    </row>
    <row r="1629" spans="1:47">
      <c r="A1629" t="s">
        <v>189</v>
      </c>
      <c r="B1629" t="s">
        <v>190</v>
      </c>
      <c r="C1629" t="s">
        <v>191</v>
      </c>
      <c r="D1629" t="s">
        <v>192</v>
      </c>
      <c r="E1629" t="s">
        <v>193</v>
      </c>
      <c r="F1629" t="s">
        <v>194</v>
      </c>
      <c r="G1629" t="s">
        <v>195</v>
      </c>
      <c r="H1629" t="s">
        <v>196</v>
      </c>
    </row>
    <row r="1630" spans="1:47">
      <c r="A1630" t="s">
        <v>197</v>
      </c>
      <c r="B1630" t="s">
        <v>198</v>
      </c>
      <c r="C1630">
        <v>2385.5123287990668</v>
      </c>
      <c r="D1630">
        <v>2000</v>
      </c>
      <c r="E1630">
        <v>0</v>
      </c>
      <c r="F1630">
        <v>42000</v>
      </c>
      <c r="G1630">
        <v>856</v>
      </c>
      <c r="H1630">
        <v>856</v>
      </c>
    </row>
    <row r="1631" spans="1:47">
      <c r="A1631" t="s">
        <v>199</v>
      </c>
      <c r="B1631" t="s">
        <v>200</v>
      </c>
      <c r="C1631">
        <v>1895.889339224967</v>
      </c>
      <c r="D1631">
        <v>2000</v>
      </c>
      <c r="E1631">
        <v>0</v>
      </c>
      <c r="F1631">
        <v>10400</v>
      </c>
      <c r="G1631">
        <v>64</v>
      </c>
      <c r="H1631">
        <v>856</v>
      </c>
    </row>
    <row r="1632" spans="1:47">
      <c r="A1632" t="s">
        <v>199</v>
      </c>
      <c r="B1632" t="s">
        <v>201</v>
      </c>
      <c r="C1632">
        <v>2093.5294117647059</v>
      </c>
      <c r="D1632">
        <v>2000</v>
      </c>
      <c r="E1632">
        <v>0</v>
      </c>
      <c r="F1632">
        <v>8000</v>
      </c>
      <c r="G1632">
        <v>85</v>
      </c>
      <c r="H1632">
        <v>856</v>
      </c>
    </row>
    <row r="1633" spans="1:9">
      <c r="A1633" t="s">
        <v>199</v>
      </c>
      <c r="B1633" t="s">
        <v>202</v>
      </c>
      <c r="C1633">
        <v>2592.4072638794878</v>
      </c>
      <c r="D1633">
        <v>2500</v>
      </c>
      <c r="E1633">
        <v>0</v>
      </c>
      <c r="F1633">
        <v>7000</v>
      </c>
      <c r="G1633">
        <v>88</v>
      </c>
      <c r="H1633">
        <v>856</v>
      </c>
    </row>
    <row r="1634" spans="1:9">
      <c r="A1634" t="s">
        <v>199</v>
      </c>
      <c r="B1634" t="s">
        <v>203</v>
      </c>
      <c r="C1634">
        <v>2748.118771963505</v>
      </c>
      <c r="D1634">
        <v>2500</v>
      </c>
      <c r="E1634">
        <v>800</v>
      </c>
      <c r="F1634">
        <v>16000</v>
      </c>
      <c r="G1634">
        <v>68</v>
      </c>
      <c r="H1634">
        <v>856</v>
      </c>
    </row>
    <row r="1635" spans="1:9">
      <c r="A1635" t="s">
        <v>204</v>
      </c>
      <c r="B1635" t="s">
        <v>205</v>
      </c>
      <c r="C1635">
        <v>1862.9934767051029</v>
      </c>
      <c r="D1635">
        <v>1800</v>
      </c>
      <c r="E1635">
        <v>0</v>
      </c>
      <c r="F1635">
        <v>10000</v>
      </c>
      <c r="G1635">
        <v>81</v>
      </c>
      <c r="H1635">
        <v>856</v>
      </c>
    </row>
    <row r="1636" spans="1:9">
      <c r="A1636" t="s">
        <v>204</v>
      </c>
      <c r="B1636" t="s">
        <v>206</v>
      </c>
      <c r="C1636">
        <v>3549.6170778382921</v>
      </c>
      <c r="D1636">
        <v>3000</v>
      </c>
      <c r="E1636">
        <v>0</v>
      </c>
      <c r="F1636">
        <v>20000</v>
      </c>
      <c r="G1636">
        <v>65</v>
      </c>
      <c r="H1636">
        <v>856</v>
      </c>
    </row>
    <row r="1637" spans="1:9">
      <c r="A1637" t="s">
        <v>204</v>
      </c>
      <c r="B1637" t="s">
        <v>207</v>
      </c>
      <c r="C1637">
        <v>2782.430910983524</v>
      </c>
      <c r="D1637">
        <v>2000</v>
      </c>
      <c r="E1637">
        <v>0</v>
      </c>
      <c r="F1637">
        <v>42000</v>
      </c>
      <c r="G1637">
        <v>115</v>
      </c>
      <c r="H1637">
        <v>856</v>
      </c>
    </row>
    <row r="1638" spans="1:9">
      <c r="A1638" t="s">
        <v>204</v>
      </c>
      <c r="B1638" t="s">
        <v>208</v>
      </c>
      <c r="C1638">
        <v>3038.0281690140841</v>
      </c>
      <c r="D1638">
        <v>2000</v>
      </c>
      <c r="E1638">
        <v>0</v>
      </c>
      <c r="F1638">
        <v>12500</v>
      </c>
      <c r="G1638">
        <v>71</v>
      </c>
      <c r="H1638">
        <v>856</v>
      </c>
    </row>
    <row r="1639" spans="1:9">
      <c r="A1639" t="s">
        <v>209</v>
      </c>
      <c r="B1639" t="s">
        <v>210</v>
      </c>
      <c r="C1639">
        <v>2945.2072813249652</v>
      </c>
      <c r="D1639">
        <v>2700</v>
      </c>
      <c r="E1639">
        <v>0</v>
      </c>
      <c r="F1639">
        <v>10000</v>
      </c>
      <c r="G1639">
        <v>63</v>
      </c>
      <c r="H1639">
        <v>856</v>
      </c>
    </row>
    <row r="1640" spans="1:9">
      <c r="A1640" t="s">
        <v>209</v>
      </c>
      <c r="B1640" t="s">
        <v>211</v>
      </c>
      <c r="C1640">
        <v>2722.3349613972969</v>
      </c>
      <c r="D1640">
        <v>2500</v>
      </c>
      <c r="E1640">
        <v>0</v>
      </c>
      <c r="F1640">
        <v>30000</v>
      </c>
      <c r="G1640">
        <v>82</v>
      </c>
      <c r="H1640">
        <v>856</v>
      </c>
    </row>
    <row r="1641" spans="1:9">
      <c r="A1641" t="s">
        <v>209</v>
      </c>
      <c r="B1641" t="s">
        <v>212</v>
      </c>
      <c r="C1641">
        <v>2303.1289602693751</v>
      </c>
      <c r="D1641">
        <v>2000</v>
      </c>
      <c r="E1641">
        <v>0</v>
      </c>
      <c r="F1641">
        <v>30000</v>
      </c>
      <c r="G1641">
        <v>74</v>
      </c>
      <c r="H1641">
        <v>856</v>
      </c>
    </row>
    <row r="1643" spans="1:9">
      <c r="A1643" t="s">
        <v>494</v>
      </c>
    </row>
    <row r="1644" spans="1:9">
      <c r="A1644" t="s">
        <v>189</v>
      </c>
      <c r="B1644" t="s">
        <v>190</v>
      </c>
      <c r="C1644" t="s">
        <v>214</v>
      </c>
      <c r="D1644" t="s">
        <v>191</v>
      </c>
      <c r="E1644" t="s">
        <v>192</v>
      </c>
      <c r="F1644" t="s">
        <v>193</v>
      </c>
      <c r="G1644" t="s">
        <v>194</v>
      </c>
      <c r="H1644" t="s">
        <v>195</v>
      </c>
      <c r="I1644" t="s">
        <v>196</v>
      </c>
    </row>
    <row r="1645" spans="1:9">
      <c r="A1645" t="s">
        <v>197</v>
      </c>
      <c r="B1645" t="s">
        <v>198</v>
      </c>
      <c r="C1645" t="s">
        <v>198</v>
      </c>
      <c r="D1645">
        <v>2385.5123287990668</v>
      </c>
      <c r="E1645">
        <v>2000</v>
      </c>
      <c r="F1645">
        <v>0</v>
      </c>
      <c r="G1645">
        <v>42000</v>
      </c>
      <c r="H1645">
        <v>856</v>
      </c>
      <c r="I1645">
        <v>856</v>
      </c>
    </row>
    <row r="1646" spans="1:9" s="26" customFormat="1">
      <c r="A1646" s="26" t="s">
        <v>199</v>
      </c>
      <c r="B1646" s="26" t="s">
        <v>200</v>
      </c>
      <c r="C1646" s="26" t="s">
        <v>236</v>
      </c>
      <c r="D1646" s="26">
        <v>1929.4916553469509</v>
      </c>
      <c r="E1646" s="26">
        <v>2100</v>
      </c>
      <c r="F1646" s="26">
        <v>0</v>
      </c>
      <c r="G1646" s="26">
        <v>10400</v>
      </c>
      <c r="H1646" s="26">
        <v>22</v>
      </c>
      <c r="I1646" s="26">
        <v>856</v>
      </c>
    </row>
    <row r="1647" spans="1:9">
      <c r="A1647" t="s">
        <v>199</v>
      </c>
      <c r="B1647" t="s">
        <v>200</v>
      </c>
      <c r="C1647" t="s">
        <v>235</v>
      </c>
      <c r="D1647">
        <v>1871.1665552412869</v>
      </c>
      <c r="E1647">
        <v>2000</v>
      </c>
      <c r="F1647">
        <v>0</v>
      </c>
      <c r="G1647">
        <v>10000</v>
      </c>
      <c r="H1647">
        <v>41</v>
      </c>
      <c r="I1647">
        <v>856</v>
      </c>
    </row>
    <row r="1648" spans="1:9">
      <c r="A1648" t="s">
        <v>199</v>
      </c>
      <c r="B1648" t="s">
        <v>201</v>
      </c>
      <c r="C1648" t="s">
        <v>235</v>
      </c>
      <c r="D1648">
        <v>2093.5294117647059</v>
      </c>
      <c r="E1648">
        <v>2000</v>
      </c>
      <c r="F1648">
        <v>0</v>
      </c>
      <c r="G1648">
        <v>8000</v>
      </c>
      <c r="H1648">
        <v>85</v>
      </c>
      <c r="I1648">
        <v>856</v>
      </c>
    </row>
    <row r="1649" spans="1:9">
      <c r="A1649" t="s">
        <v>199</v>
      </c>
      <c r="B1649" t="s">
        <v>202</v>
      </c>
      <c r="C1649" t="s">
        <v>236</v>
      </c>
      <c r="D1649">
        <v>3148.9539310569012</v>
      </c>
      <c r="E1649">
        <v>2900</v>
      </c>
      <c r="F1649">
        <v>0</v>
      </c>
      <c r="G1649">
        <v>7000</v>
      </c>
      <c r="H1649">
        <v>33</v>
      </c>
      <c r="I1649">
        <v>856</v>
      </c>
    </row>
    <row r="1650" spans="1:9">
      <c r="A1650" t="s">
        <v>199</v>
      </c>
      <c r="B1650" t="s">
        <v>202</v>
      </c>
      <c r="C1650" t="s">
        <v>235</v>
      </c>
      <c r="D1650">
        <v>2189.0684431682498</v>
      </c>
      <c r="E1650">
        <v>2000</v>
      </c>
      <c r="F1650">
        <v>0</v>
      </c>
      <c r="G1650">
        <v>5000</v>
      </c>
      <c r="H1650">
        <v>54</v>
      </c>
      <c r="I1650">
        <v>856</v>
      </c>
    </row>
    <row r="1651" spans="1:9" s="26" customFormat="1">
      <c r="A1651" s="26" t="s">
        <v>199</v>
      </c>
      <c r="B1651" s="26" t="s">
        <v>203</v>
      </c>
      <c r="C1651" s="26" t="s">
        <v>236</v>
      </c>
      <c r="D1651" s="26">
        <v>3758.0826608542711</v>
      </c>
      <c r="E1651" s="26">
        <v>3000</v>
      </c>
      <c r="F1651" s="26">
        <v>1500</v>
      </c>
      <c r="G1651" s="26">
        <v>16000</v>
      </c>
      <c r="H1651" s="26">
        <v>25</v>
      </c>
      <c r="I1651" s="26">
        <v>856</v>
      </c>
    </row>
    <row r="1652" spans="1:9">
      <c r="A1652" t="s">
        <v>199</v>
      </c>
      <c r="B1652" t="s">
        <v>203</v>
      </c>
      <c r="C1652" t="s">
        <v>235</v>
      </c>
      <c r="D1652">
        <v>2451.4447993560279</v>
      </c>
      <c r="E1652">
        <v>2500</v>
      </c>
      <c r="F1652">
        <v>800</v>
      </c>
      <c r="G1652">
        <v>9000</v>
      </c>
      <c r="H1652">
        <v>42</v>
      </c>
      <c r="I1652">
        <v>856</v>
      </c>
    </row>
    <row r="1653" spans="1:9" s="26" customFormat="1">
      <c r="A1653" s="26" t="s">
        <v>204</v>
      </c>
      <c r="B1653" s="26" t="s">
        <v>205</v>
      </c>
      <c r="C1653" s="26" t="s">
        <v>236</v>
      </c>
      <c r="D1653" s="26">
        <v>2266.2121444950299</v>
      </c>
      <c r="E1653" s="26">
        <v>2000</v>
      </c>
      <c r="F1653" s="26">
        <v>0</v>
      </c>
      <c r="G1653" s="26">
        <v>10000</v>
      </c>
      <c r="H1653" s="26">
        <v>27</v>
      </c>
      <c r="I1653" s="26">
        <v>856</v>
      </c>
    </row>
    <row r="1654" spans="1:9">
      <c r="A1654" t="s">
        <v>204</v>
      </c>
      <c r="B1654" t="s">
        <v>205</v>
      </c>
      <c r="C1654" t="s">
        <v>235</v>
      </c>
      <c r="D1654">
        <v>1762.2520235202719</v>
      </c>
      <c r="E1654">
        <v>1800</v>
      </c>
      <c r="F1654">
        <v>0</v>
      </c>
      <c r="G1654">
        <v>8000</v>
      </c>
      <c r="H1654">
        <v>53</v>
      </c>
      <c r="I1654">
        <v>856</v>
      </c>
    </row>
    <row r="1655" spans="1:9" s="26" customFormat="1">
      <c r="A1655" s="26" t="s">
        <v>204</v>
      </c>
      <c r="B1655" s="26" t="s">
        <v>206</v>
      </c>
      <c r="C1655" s="26" t="s">
        <v>236</v>
      </c>
      <c r="D1655" s="26">
        <v>4683.7588820861511</v>
      </c>
      <c r="E1655" s="26">
        <v>3500</v>
      </c>
      <c r="F1655" s="26">
        <v>1300</v>
      </c>
      <c r="G1655" s="26">
        <v>20000</v>
      </c>
      <c r="H1655" s="26">
        <v>19</v>
      </c>
      <c r="I1655" s="26">
        <v>856</v>
      </c>
    </row>
    <row r="1656" spans="1:9">
      <c r="A1656" t="s">
        <v>204</v>
      </c>
      <c r="B1656" t="s">
        <v>206</v>
      </c>
      <c r="C1656" t="s">
        <v>235</v>
      </c>
      <c r="D1656">
        <v>3053.0776487788071</v>
      </c>
      <c r="E1656">
        <v>3000</v>
      </c>
      <c r="F1656">
        <v>0</v>
      </c>
      <c r="G1656">
        <v>8000</v>
      </c>
      <c r="H1656">
        <v>42</v>
      </c>
      <c r="I1656">
        <v>856</v>
      </c>
    </row>
    <row r="1657" spans="1:9">
      <c r="A1657" t="s">
        <v>204</v>
      </c>
      <c r="B1657" t="s">
        <v>207</v>
      </c>
      <c r="C1657" t="s">
        <v>236</v>
      </c>
      <c r="D1657">
        <v>2985.744297850506</v>
      </c>
      <c r="E1657">
        <v>2000</v>
      </c>
      <c r="F1657">
        <v>0</v>
      </c>
      <c r="G1657">
        <v>42000</v>
      </c>
      <c r="H1657">
        <v>75</v>
      </c>
      <c r="I1657">
        <v>856</v>
      </c>
    </row>
    <row r="1658" spans="1:9">
      <c r="A1658" t="s">
        <v>204</v>
      </c>
      <c r="B1658" t="s">
        <v>207</v>
      </c>
      <c r="C1658" t="s">
        <v>235</v>
      </c>
      <c r="D1658">
        <v>2621.3474274172258</v>
      </c>
      <c r="E1658">
        <v>1500</v>
      </c>
      <c r="F1658">
        <v>0</v>
      </c>
      <c r="G1658">
        <v>11000</v>
      </c>
      <c r="H1658">
        <v>35</v>
      </c>
      <c r="I1658">
        <v>856</v>
      </c>
    </row>
    <row r="1659" spans="1:9" s="26" customFormat="1">
      <c r="A1659" s="26" t="s">
        <v>204</v>
      </c>
      <c r="B1659" s="26" t="s">
        <v>208</v>
      </c>
      <c r="C1659" s="26" t="s">
        <v>236</v>
      </c>
      <c r="D1659" s="26">
        <v>4320</v>
      </c>
      <c r="E1659" s="26">
        <v>2000</v>
      </c>
      <c r="F1659" s="26">
        <v>800</v>
      </c>
      <c r="G1659" s="26">
        <v>10000</v>
      </c>
      <c r="H1659" s="26">
        <v>10</v>
      </c>
      <c r="I1659" s="26">
        <v>856</v>
      </c>
    </row>
    <row r="1660" spans="1:9">
      <c r="A1660" t="s">
        <v>204</v>
      </c>
      <c r="B1660" t="s">
        <v>208</v>
      </c>
      <c r="C1660" t="s">
        <v>235</v>
      </c>
      <c r="D1660">
        <v>2827.8688524590161</v>
      </c>
      <c r="E1660">
        <v>2000</v>
      </c>
      <c r="F1660">
        <v>0</v>
      </c>
      <c r="G1660">
        <v>12500</v>
      </c>
      <c r="H1660">
        <v>61</v>
      </c>
      <c r="I1660">
        <v>856</v>
      </c>
    </row>
    <row r="1661" spans="1:9">
      <c r="A1661" t="s">
        <v>209</v>
      </c>
      <c r="B1661" t="s">
        <v>210</v>
      </c>
      <c r="C1661" t="s">
        <v>236</v>
      </c>
      <c r="D1661">
        <v>3182.2649330378822</v>
      </c>
      <c r="E1661">
        <v>3000</v>
      </c>
      <c r="F1661">
        <v>0</v>
      </c>
      <c r="G1661">
        <v>10000</v>
      </c>
      <c r="H1661">
        <v>35</v>
      </c>
      <c r="I1661">
        <v>856</v>
      </c>
    </row>
    <row r="1662" spans="1:9" s="26" customFormat="1">
      <c r="A1662" s="26" t="s">
        <v>209</v>
      </c>
      <c r="B1662" s="26" t="s">
        <v>210</v>
      </c>
      <c r="C1662" s="26" t="s">
        <v>235</v>
      </c>
      <c r="D1662" s="26">
        <v>2911.8041276200961</v>
      </c>
      <c r="E1662" s="26">
        <v>3000</v>
      </c>
      <c r="F1662" s="26">
        <v>0</v>
      </c>
      <c r="G1662" s="26">
        <v>8000</v>
      </c>
      <c r="H1662" s="26">
        <v>26</v>
      </c>
      <c r="I1662" s="26">
        <v>856</v>
      </c>
    </row>
    <row r="1663" spans="1:9">
      <c r="A1663" t="s">
        <v>209</v>
      </c>
      <c r="B1663" t="s">
        <v>211</v>
      </c>
      <c r="C1663" t="s">
        <v>236</v>
      </c>
      <c r="D1663">
        <v>3075.0350506002592</v>
      </c>
      <c r="E1663">
        <v>2500</v>
      </c>
      <c r="F1663">
        <v>0</v>
      </c>
      <c r="G1663">
        <v>30000</v>
      </c>
      <c r="H1663">
        <v>35</v>
      </c>
      <c r="I1663">
        <v>856</v>
      </c>
    </row>
    <row r="1664" spans="1:9">
      <c r="A1664" t="s">
        <v>209</v>
      </c>
      <c r="B1664" t="s">
        <v>211</v>
      </c>
      <c r="C1664" t="s">
        <v>235</v>
      </c>
      <c r="D1664">
        <v>2520.9071829637919</v>
      </c>
      <c r="E1664">
        <v>2500</v>
      </c>
      <c r="F1664">
        <v>800</v>
      </c>
      <c r="G1664">
        <v>6000</v>
      </c>
      <c r="H1664">
        <v>45</v>
      </c>
      <c r="I1664">
        <v>856</v>
      </c>
    </row>
    <row r="1665" spans="1:13" s="26" customFormat="1">
      <c r="A1665" s="26" t="s">
        <v>209</v>
      </c>
      <c r="B1665" s="26" t="s">
        <v>212</v>
      </c>
      <c r="C1665" s="26" t="s">
        <v>236</v>
      </c>
      <c r="D1665" s="26">
        <v>4200.8946689523746</v>
      </c>
      <c r="E1665" s="26">
        <v>2500</v>
      </c>
      <c r="F1665" s="26">
        <v>0</v>
      </c>
      <c r="G1665" s="26">
        <v>30000</v>
      </c>
      <c r="H1665" s="26">
        <v>15</v>
      </c>
      <c r="I1665" s="26">
        <v>856</v>
      </c>
    </row>
    <row r="1666" spans="1:13">
      <c r="A1666" t="s">
        <v>209</v>
      </c>
      <c r="B1666" t="s">
        <v>212</v>
      </c>
      <c r="C1666" t="s">
        <v>235</v>
      </c>
      <c r="D1666">
        <v>2014.2788651050621</v>
      </c>
      <c r="E1666">
        <v>2000</v>
      </c>
      <c r="F1666">
        <v>0</v>
      </c>
      <c r="G1666">
        <v>5000</v>
      </c>
      <c r="H1666">
        <v>59</v>
      </c>
      <c r="I1666">
        <v>856</v>
      </c>
    </row>
    <row r="1668" spans="1:13">
      <c r="A1668" t="s">
        <v>495</v>
      </c>
    </row>
    <row r="1669" spans="1:13">
      <c r="A1669" t="s">
        <v>189</v>
      </c>
      <c r="B1669" t="s">
        <v>195</v>
      </c>
      <c r="C1669" t="s">
        <v>190</v>
      </c>
      <c r="D1669" t="s">
        <v>196</v>
      </c>
      <c r="E1669" t="s">
        <v>496</v>
      </c>
      <c r="F1669" t="s">
        <v>497</v>
      </c>
      <c r="G1669" t="s">
        <v>498</v>
      </c>
      <c r="H1669" t="s">
        <v>499</v>
      </c>
      <c r="I1669" t="s">
        <v>500</v>
      </c>
      <c r="J1669" t="s">
        <v>501</v>
      </c>
      <c r="K1669" t="s">
        <v>276</v>
      </c>
      <c r="L1669" t="s">
        <v>223</v>
      </c>
      <c r="M1669" t="s">
        <v>502</v>
      </c>
    </row>
    <row r="1670" spans="1:13">
      <c r="A1670" t="s">
        <v>197</v>
      </c>
      <c r="B1670">
        <v>964</v>
      </c>
      <c r="C1670" t="s">
        <v>198</v>
      </c>
      <c r="D1670">
        <v>964</v>
      </c>
      <c r="E1670" s="1">
        <v>6.7299999999999999E-2</v>
      </c>
      <c r="F1670" s="1">
        <v>0.1419</v>
      </c>
      <c r="G1670" s="1">
        <v>5.7999999999999996E-3</v>
      </c>
      <c r="H1670" s="1">
        <v>0.32129999999999997</v>
      </c>
      <c r="I1670" s="1">
        <v>0.80220000000000002</v>
      </c>
      <c r="J1670" s="1">
        <v>0.60609999999999997</v>
      </c>
      <c r="K1670" s="1">
        <v>5.0799999999999998E-2</v>
      </c>
      <c r="L1670" s="1">
        <v>9.2999999999999992E-3</v>
      </c>
      <c r="M1670" s="1">
        <v>0.1434</v>
      </c>
    </row>
    <row r="1671" spans="1:13">
      <c r="A1671" t="s">
        <v>204</v>
      </c>
      <c r="B1671">
        <v>91</v>
      </c>
      <c r="C1671" t="s">
        <v>205</v>
      </c>
      <c r="D1671">
        <v>964</v>
      </c>
      <c r="E1671" s="1">
        <v>5.5999999999999999E-3</v>
      </c>
      <c r="F1671" s="1">
        <v>7.4399999999999994E-2</v>
      </c>
      <c r="G1671" s="1">
        <v>2.3999999999999998E-3</v>
      </c>
      <c r="H1671" s="1">
        <v>0.23599999999999999</v>
      </c>
      <c r="I1671" s="1">
        <v>0.75439999999999996</v>
      </c>
      <c r="J1671" s="1">
        <v>0.67200000000000004</v>
      </c>
      <c r="K1671" s="1">
        <v>7.5800000000000006E-2</v>
      </c>
      <c r="L1671" s="1">
        <v>2.0899999999999998E-2</v>
      </c>
      <c r="M1671" s="1">
        <v>1.2200000000000001E-2</v>
      </c>
    </row>
    <row r="1672" spans="1:13">
      <c r="A1672" t="s">
        <v>204</v>
      </c>
      <c r="B1672">
        <v>72</v>
      </c>
      <c r="C1672" t="s">
        <v>206</v>
      </c>
      <c r="D1672">
        <v>964</v>
      </c>
      <c r="F1672" s="1">
        <v>7.2099999999999997E-2</v>
      </c>
      <c r="G1672" s="1">
        <v>1.1599999999999999E-2</v>
      </c>
      <c r="H1672" s="1">
        <v>0.26740000000000003</v>
      </c>
      <c r="I1672" s="1">
        <v>0.71870000000000001</v>
      </c>
      <c r="J1672" s="1">
        <v>0.44190000000000002</v>
      </c>
      <c r="K1672" s="1">
        <v>6.0400000000000002E-2</v>
      </c>
      <c r="L1672" s="1">
        <v>1.6299999999999999E-2</v>
      </c>
      <c r="M1672" s="1">
        <v>0.28129999999999999</v>
      </c>
    </row>
    <row r="1673" spans="1:13">
      <c r="A1673" t="s">
        <v>204</v>
      </c>
      <c r="B1673">
        <v>130</v>
      </c>
      <c r="C1673" t="s">
        <v>207</v>
      </c>
      <c r="D1673">
        <v>964</v>
      </c>
      <c r="E1673" s="1">
        <v>0.154</v>
      </c>
      <c r="F1673" s="1">
        <v>0.18290000000000001</v>
      </c>
      <c r="G1673" s="1">
        <v>5.0000000000000001E-3</v>
      </c>
      <c r="H1673" s="1">
        <v>0.34810000000000002</v>
      </c>
      <c r="I1673" s="1">
        <v>0.84699999999999998</v>
      </c>
      <c r="J1673" s="1">
        <v>0.57299999999999995</v>
      </c>
      <c r="K1673" s="1">
        <v>1.17E-2</v>
      </c>
      <c r="L1673" s="1">
        <v>3.5999999999999999E-3</v>
      </c>
      <c r="M1673" s="1">
        <v>0.2397</v>
      </c>
    </row>
    <row r="1674" spans="1:13">
      <c r="A1674" t="s">
        <v>204</v>
      </c>
      <c r="B1674">
        <v>74</v>
      </c>
      <c r="C1674" t="s">
        <v>208</v>
      </c>
      <c r="D1674">
        <v>964</v>
      </c>
      <c r="E1674" s="1">
        <v>8.1100000000000005E-2</v>
      </c>
      <c r="F1674" s="1">
        <v>6.7599999999999993E-2</v>
      </c>
      <c r="H1674" s="1">
        <v>0.22969999999999999</v>
      </c>
      <c r="I1674" s="1">
        <v>0.79730000000000001</v>
      </c>
      <c r="J1674" s="1">
        <v>0.45950000000000002</v>
      </c>
      <c r="K1674" s="1">
        <v>6.7599999999999993E-2</v>
      </c>
      <c r="L1674" s="1">
        <v>1.35E-2</v>
      </c>
      <c r="M1674" s="1">
        <v>0.1351</v>
      </c>
    </row>
    <row r="1675" spans="1:13">
      <c r="A1675" t="s">
        <v>199</v>
      </c>
      <c r="B1675">
        <v>73</v>
      </c>
      <c r="C1675" t="s">
        <v>200</v>
      </c>
      <c r="D1675">
        <v>964</v>
      </c>
      <c r="F1675" s="1">
        <v>8.8400000000000006E-2</v>
      </c>
      <c r="G1675" s="1">
        <v>6.9900000000000004E-2</v>
      </c>
      <c r="H1675" s="1">
        <v>0.36549999999999999</v>
      </c>
      <c r="I1675" s="1">
        <v>0.8589</v>
      </c>
      <c r="J1675" s="1">
        <v>0.65359999999999996</v>
      </c>
      <c r="K1675" s="1">
        <v>3.2000000000000002E-3</v>
      </c>
      <c r="L1675" s="1">
        <v>1.6000000000000001E-3</v>
      </c>
      <c r="M1675" s="1">
        <v>0.28029999999999999</v>
      </c>
    </row>
    <row r="1676" spans="1:13">
      <c r="A1676" t="s">
        <v>199</v>
      </c>
      <c r="B1676">
        <v>95</v>
      </c>
      <c r="C1676" t="s">
        <v>201</v>
      </c>
      <c r="D1676">
        <v>964</v>
      </c>
      <c r="E1676" s="1">
        <v>7.3700000000000002E-2</v>
      </c>
      <c r="F1676" s="1">
        <v>0.21049999999999999</v>
      </c>
      <c r="H1676" s="1">
        <v>0.38950000000000001</v>
      </c>
      <c r="I1676" s="1">
        <v>0.8105</v>
      </c>
      <c r="J1676" s="1">
        <v>0.62109999999999999</v>
      </c>
      <c r="K1676" s="1">
        <v>4.2099999999999999E-2</v>
      </c>
      <c r="L1676" s="1">
        <v>1.0500000000000001E-2</v>
      </c>
      <c r="M1676" s="1">
        <v>0.1263</v>
      </c>
    </row>
    <row r="1677" spans="1:13">
      <c r="A1677" t="s">
        <v>199</v>
      </c>
      <c r="B1677">
        <v>98</v>
      </c>
      <c r="C1677" t="s">
        <v>202</v>
      </c>
      <c r="D1677">
        <v>964</v>
      </c>
      <c r="E1677" s="1">
        <v>0.1191</v>
      </c>
      <c r="F1677" s="1">
        <v>0.1235</v>
      </c>
      <c r="H1677" s="1">
        <v>0.27229999999999999</v>
      </c>
      <c r="I1677" s="1">
        <v>0.82120000000000004</v>
      </c>
      <c r="J1677" s="1">
        <v>0.65410000000000001</v>
      </c>
      <c r="K1677" s="1">
        <v>7.0300000000000001E-2</v>
      </c>
      <c r="M1677" s="1">
        <v>0.18890000000000001</v>
      </c>
    </row>
    <row r="1678" spans="1:13">
      <c r="A1678" t="s">
        <v>199</v>
      </c>
      <c r="B1678">
        <v>77</v>
      </c>
      <c r="C1678" t="s">
        <v>203</v>
      </c>
      <c r="D1678">
        <v>964</v>
      </c>
      <c r="E1678" s="1">
        <v>1.4E-2</v>
      </c>
      <c r="F1678" s="1">
        <v>0.20330000000000001</v>
      </c>
      <c r="G1678" s="1">
        <v>1.6899999999999998E-2</v>
      </c>
      <c r="H1678" s="1">
        <v>0.32219999999999999</v>
      </c>
      <c r="I1678" s="1">
        <v>0.82820000000000005</v>
      </c>
      <c r="J1678" s="1">
        <v>0.44690000000000002</v>
      </c>
      <c r="K1678" s="1">
        <v>4.5400000000000003E-2</v>
      </c>
      <c r="L1678" s="1">
        <v>1.77E-2</v>
      </c>
      <c r="M1678" s="1">
        <v>0.24329999999999999</v>
      </c>
    </row>
    <row r="1679" spans="1:13">
      <c r="A1679" t="s">
        <v>209</v>
      </c>
      <c r="B1679">
        <v>72</v>
      </c>
      <c r="C1679" t="s">
        <v>210</v>
      </c>
      <c r="D1679">
        <v>964</v>
      </c>
      <c r="E1679" s="1">
        <v>4.3900000000000002E-2</v>
      </c>
      <c r="F1679" s="1">
        <v>0.1346</v>
      </c>
      <c r="H1679" s="1">
        <v>0.125</v>
      </c>
      <c r="I1679" s="1">
        <v>0.6774</v>
      </c>
      <c r="J1679" s="1">
        <v>0.3846</v>
      </c>
      <c r="K1679" s="1">
        <v>0.1069</v>
      </c>
      <c r="M1679" s="1">
        <v>0.2137</v>
      </c>
    </row>
    <row r="1680" spans="1:13">
      <c r="A1680" t="s">
        <v>209</v>
      </c>
      <c r="B1680">
        <v>97</v>
      </c>
      <c r="C1680" t="s">
        <v>211</v>
      </c>
      <c r="D1680">
        <v>964</v>
      </c>
      <c r="E1680" s="1">
        <v>3.7100000000000001E-2</v>
      </c>
      <c r="F1680" s="1">
        <v>0.1512</v>
      </c>
      <c r="G1680" s="1">
        <v>3.9300000000000002E-2</v>
      </c>
      <c r="H1680" s="1">
        <v>0.29630000000000001</v>
      </c>
      <c r="I1680" s="1">
        <v>0.72109999999999996</v>
      </c>
      <c r="J1680" s="1">
        <v>0.45569999999999999</v>
      </c>
      <c r="K1680" s="1">
        <v>7.6999999999999999E-2</v>
      </c>
      <c r="L1680" s="1">
        <v>1.52E-2</v>
      </c>
      <c r="M1680" s="1">
        <v>0.1686</v>
      </c>
    </row>
    <row r="1681" spans="1:14">
      <c r="A1681" t="s">
        <v>209</v>
      </c>
      <c r="B1681">
        <v>85</v>
      </c>
      <c r="C1681" t="s">
        <v>212</v>
      </c>
      <c r="D1681">
        <v>964</v>
      </c>
      <c r="E1681" s="1">
        <v>2.7900000000000001E-2</v>
      </c>
      <c r="F1681" s="1">
        <v>0.15820000000000001</v>
      </c>
      <c r="H1681" s="1">
        <v>0.46450000000000002</v>
      </c>
      <c r="I1681" s="1">
        <v>0.82020000000000004</v>
      </c>
      <c r="J1681" s="1">
        <v>0.66020000000000001</v>
      </c>
      <c r="K1681" s="1">
        <v>3.5200000000000002E-2</v>
      </c>
      <c r="M1681" s="1">
        <v>0.13159999999999999</v>
      </c>
    </row>
    <row r="1683" spans="1:14">
      <c r="A1683" t="s">
        <v>503</v>
      </c>
    </row>
    <row r="1684" spans="1:14">
      <c r="A1684" t="s">
        <v>214</v>
      </c>
      <c r="B1684" t="s">
        <v>189</v>
      </c>
      <c r="C1684" t="s">
        <v>195</v>
      </c>
      <c r="D1684" t="s">
        <v>190</v>
      </c>
      <c r="E1684" t="s">
        <v>196</v>
      </c>
      <c r="F1684" t="s">
        <v>496</v>
      </c>
      <c r="G1684" t="s">
        <v>497</v>
      </c>
      <c r="H1684" t="s">
        <v>498</v>
      </c>
      <c r="I1684" t="s">
        <v>499</v>
      </c>
      <c r="J1684" t="s">
        <v>500</v>
      </c>
      <c r="K1684" t="s">
        <v>501</v>
      </c>
      <c r="L1684" t="s">
        <v>276</v>
      </c>
      <c r="M1684" t="s">
        <v>223</v>
      </c>
      <c r="N1684" t="s">
        <v>502</v>
      </c>
    </row>
    <row r="1685" spans="1:14">
      <c r="A1685" t="s">
        <v>198</v>
      </c>
      <c r="B1685" t="s">
        <v>197</v>
      </c>
      <c r="C1685">
        <v>964</v>
      </c>
      <c r="D1685" t="s">
        <v>198</v>
      </c>
      <c r="E1685">
        <v>964</v>
      </c>
      <c r="F1685" s="1">
        <v>6.7299999999999999E-2</v>
      </c>
      <c r="G1685" s="1">
        <v>0.1419</v>
      </c>
      <c r="H1685" s="1">
        <v>5.7999999999999996E-3</v>
      </c>
      <c r="I1685" s="1">
        <v>0.32129999999999997</v>
      </c>
      <c r="J1685" s="1">
        <v>0.80220000000000002</v>
      </c>
      <c r="K1685" s="1">
        <v>0.60609999999999997</v>
      </c>
      <c r="L1685" s="1">
        <v>5.0799999999999998E-2</v>
      </c>
      <c r="M1685" s="1">
        <v>9.2999999999999992E-3</v>
      </c>
      <c r="N1685" s="1">
        <v>0.1434</v>
      </c>
    </row>
    <row r="1686" spans="1:14">
      <c r="A1686" t="s">
        <v>235</v>
      </c>
      <c r="B1686" t="s">
        <v>204</v>
      </c>
      <c r="C1686">
        <v>63</v>
      </c>
      <c r="D1686" t="s">
        <v>208</v>
      </c>
      <c r="E1686">
        <v>964</v>
      </c>
      <c r="F1686" s="1">
        <v>7.9399999999999998E-2</v>
      </c>
      <c r="G1686" s="1">
        <v>6.3500000000000001E-2</v>
      </c>
      <c r="I1686" s="1">
        <v>0.20630000000000001</v>
      </c>
      <c r="J1686" s="1">
        <v>0.79369999999999996</v>
      </c>
      <c r="K1686" s="1">
        <v>0.42859999999999998</v>
      </c>
      <c r="L1686" s="1">
        <v>7.9399999999999998E-2</v>
      </c>
      <c r="M1686" s="1">
        <v>1.5900000000000001E-2</v>
      </c>
      <c r="N1686" s="1">
        <v>7.9399999999999998E-2</v>
      </c>
    </row>
    <row r="1687" spans="1:14">
      <c r="A1687" t="s">
        <v>236</v>
      </c>
      <c r="B1687" t="s">
        <v>204</v>
      </c>
      <c r="C1687">
        <v>32</v>
      </c>
      <c r="D1687" t="s">
        <v>205</v>
      </c>
      <c r="E1687">
        <v>964</v>
      </c>
      <c r="F1687" s="1">
        <v>1.37E-2</v>
      </c>
      <c r="G1687" s="1">
        <v>7.4899999999999994E-2</v>
      </c>
      <c r="H1687" s="1">
        <v>1.37E-2</v>
      </c>
      <c r="I1687" s="1">
        <v>0.16719999999999999</v>
      </c>
      <c r="J1687" s="1">
        <v>0.90439999999999998</v>
      </c>
      <c r="K1687" s="1">
        <v>0.56169999999999998</v>
      </c>
      <c r="L1687" s="1">
        <v>4.1000000000000002E-2</v>
      </c>
      <c r="N1687" s="1">
        <v>4.1000000000000002E-2</v>
      </c>
    </row>
    <row r="1688" spans="1:14">
      <c r="A1688" t="s">
        <v>235</v>
      </c>
      <c r="B1688" t="s">
        <v>204</v>
      </c>
      <c r="C1688">
        <v>58</v>
      </c>
      <c r="D1688" t="s">
        <v>205</v>
      </c>
      <c r="E1688">
        <v>964</v>
      </c>
      <c r="F1688" s="1">
        <v>3.8999999999999998E-3</v>
      </c>
      <c r="G1688" s="1">
        <v>7.4499999999999997E-2</v>
      </c>
      <c r="I1688" s="1">
        <v>0.2487</v>
      </c>
      <c r="J1688" s="1">
        <v>0.72119999999999995</v>
      </c>
      <c r="K1688" s="1">
        <v>0.69499999999999995</v>
      </c>
      <c r="L1688" s="1">
        <v>8.3599999999999994E-2</v>
      </c>
      <c r="M1688" s="1">
        <v>2.5499999999999998E-2</v>
      </c>
      <c r="N1688" s="1">
        <v>3.0000000000000001E-3</v>
      </c>
    </row>
    <row r="1689" spans="1:14" s="26" customFormat="1">
      <c r="A1689" s="26" t="s">
        <v>236</v>
      </c>
      <c r="B1689" s="26" t="s">
        <v>204</v>
      </c>
      <c r="C1689" s="26">
        <v>21</v>
      </c>
      <c r="D1689" s="26" t="s">
        <v>206</v>
      </c>
      <c r="E1689" s="26">
        <v>964</v>
      </c>
      <c r="G1689" s="27">
        <v>4.2799999999999998E-2</v>
      </c>
      <c r="I1689" s="27">
        <v>0.33329999999999999</v>
      </c>
      <c r="J1689" s="27">
        <v>0.79500000000000004</v>
      </c>
      <c r="K1689" s="27">
        <v>0.47860000000000003</v>
      </c>
      <c r="L1689" s="27">
        <v>4.2799999999999998E-2</v>
      </c>
      <c r="N1689" s="27">
        <v>0.222</v>
      </c>
    </row>
    <row r="1690" spans="1:14">
      <c r="A1690" t="s">
        <v>235</v>
      </c>
      <c r="B1690" t="s">
        <v>204</v>
      </c>
      <c r="C1690">
        <v>47</v>
      </c>
      <c r="D1690" t="s">
        <v>206</v>
      </c>
      <c r="E1690">
        <v>964</v>
      </c>
      <c r="G1690" s="1">
        <v>8.9300000000000004E-2</v>
      </c>
      <c r="I1690" s="1">
        <v>0.2611</v>
      </c>
      <c r="J1690" s="1">
        <v>0.68400000000000005</v>
      </c>
      <c r="K1690" s="1">
        <v>0.41930000000000001</v>
      </c>
      <c r="L1690" s="1">
        <v>7.2099999999999997E-2</v>
      </c>
      <c r="M1690" s="1">
        <v>2.4E-2</v>
      </c>
      <c r="N1690" s="1">
        <v>0.30919999999999997</v>
      </c>
    </row>
    <row r="1691" spans="1:14">
      <c r="A1691" t="s">
        <v>236</v>
      </c>
      <c r="B1691" t="s">
        <v>204</v>
      </c>
      <c r="C1691">
        <v>80</v>
      </c>
      <c r="D1691" t="s">
        <v>207</v>
      </c>
      <c r="E1691">
        <v>964</v>
      </c>
      <c r="F1691" s="1">
        <v>0.14380000000000001</v>
      </c>
      <c r="G1691" s="1">
        <v>0.17929999999999999</v>
      </c>
      <c r="I1691" s="1">
        <v>0.23480000000000001</v>
      </c>
      <c r="J1691" s="1">
        <v>0.69950000000000001</v>
      </c>
      <c r="K1691" s="1">
        <v>0.52390000000000003</v>
      </c>
      <c r="L1691" s="1">
        <v>1.44E-2</v>
      </c>
      <c r="M1691" s="1">
        <v>8.8999999999999999E-3</v>
      </c>
      <c r="N1691" s="1">
        <v>0.33939999999999998</v>
      </c>
    </row>
    <row r="1692" spans="1:14">
      <c r="A1692" t="s">
        <v>235</v>
      </c>
      <c r="B1692" t="s">
        <v>204</v>
      </c>
      <c r="C1692">
        <v>45</v>
      </c>
      <c r="D1692" t="s">
        <v>207</v>
      </c>
      <c r="E1692">
        <v>964</v>
      </c>
      <c r="F1692" s="1">
        <v>0.1646</v>
      </c>
      <c r="G1692" s="1">
        <v>0.18970000000000001</v>
      </c>
      <c r="H1692" s="1">
        <v>8.6E-3</v>
      </c>
      <c r="I1692" s="1">
        <v>0.42470000000000002</v>
      </c>
      <c r="J1692" s="1">
        <v>0.95479999999999998</v>
      </c>
      <c r="K1692" s="1">
        <v>0.61209999999999998</v>
      </c>
      <c r="L1692" s="1">
        <v>5.8999999999999999E-3</v>
      </c>
      <c r="N1692" s="1">
        <v>0.1757</v>
      </c>
    </row>
    <row r="1693" spans="1:14" s="26" customFormat="1">
      <c r="A1693" s="26" t="s">
        <v>236</v>
      </c>
      <c r="B1693" s="26" t="s">
        <v>204</v>
      </c>
      <c r="C1693" s="26">
        <v>11</v>
      </c>
      <c r="D1693" s="26" t="s">
        <v>208</v>
      </c>
      <c r="E1693" s="26">
        <v>964</v>
      </c>
      <c r="F1693" s="27">
        <v>9.0899999999999995E-2</v>
      </c>
      <c r="G1693" s="27">
        <v>9.0899999999999995E-2</v>
      </c>
      <c r="I1693" s="27">
        <v>0.36359999999999998</v>
      </c>
      <c r="J1693" s="27">
        <v>0.81820000000000004</v>
      </c>
      <c r="K1693" s="27">
        <v>0.63639999999999997</v>
      </c>
      <c r="N1693" s="27">
        <v>0.45450000000000002</v>
      </c>
    </row>
    <row r="1694" spans="1:14">
      <c r="A1694" t="s">
        <v>235</v>
      </c>
      <c r="B1694" t="s">
        <v>199</v>
      </c>
      <c r="C1694">
        <v>44</v>
      </c>
      <c r="D1694" t="s">
        <v>203</v>
      </c>
      <c r="E1694">
        <v>964</v>
      </c>
      <c r="F1694" s="1">
        <v>1.3100000000000001E-2</v>
      </c>
      <c r="G1694" s="1">
        <v>0.28189999999999998</v>
      </c>
      <c r="H1694" s="1">
        <v>1.18E-2</v>
      </c>
      <c r="I1694" s="1">
        <v>0.32529999999999998</v>
      </c>
      <c r="J1694" s="1">
        <v>0.79990000000000006</v>
      </c>
      <c r="K1694" s="1">
        <v>0.40160000000000001</v>
      </c>
      <c r="L1694" s="1">
        <v>4.2099999999999999E-2</v>
      </c>
      <c r="M1694" s="1">
        <v>1.5100000000000001E-2</v>
      </c>
      <c r="N1694" s="1">
        <v>0.21529999999999999</v>
      </c>
    </row>
    <row r="1695" spans="1:14">
      <c r="A1695" t="s">
        <v>236</v>
      </c>
      <c r="B1695" t="s">
        <v>199</v>
      </c>
      <c r="C1695">
        <v>32</v>
      </c>
      <c r="D1695" t="s">
        <v>203</v>
      </c>
      <c r="E1695">
        <v>964</v>
      </c>
      <c r="F1695" s="1">
        <v>1.6799999999999999E-2</v>
      </c>
      <c r="G1695" s="1">
        <v>7.6399999999999996E-2</v>
      </c>
      <c r="H1695" s="1">
        <v>2.75E-2</v>
      </c>
      <c r="I1695" s="1">
        <v>0.26400000000000001</v>
      </c>
      <c r="J1695" s="1">
        <v>0.86619999999999997</v>
      </c>
      <c r="K1695" s="1">
        <v>0.48630000000000001</v>
      </c>
      <c r="L1695" s="1">
        <v>5.5E-2</v>
      </c>
      <c r="M1695" s="1">
        <v>2.3900000000000001E-2</v>
      </c>
      <c r="N1695" s="1">
        <v>0.313</v>
      </c>
    </row>
    <row r="1696" spans="1:14">
      <c r="A1696" t="s">
        <v>235</v>
      </c>
      <c r="B1696" t="s">
        <v>199</v>
      </c>
      <c r="C1696">
        <v>60</v>
      </c>
      <c r="D1696" t="s">
        <v>202</v>
      </c>
      <c r="E1696">
        <v>964</v>
      </c>
      <c r="F1696" s="1">
        <v>9.8699999999999996E-2</v>
      </c>
      <c r="G1696" s="1">
        <v>7.3999999999999996E-2</v>
      </c>
      <c r="I1696" s="1">
        <v>0.29409999999999997</v>
      </c>
      <c r="J1696" s="1">
        <v>0.78910000000000002</v>
      </c>
      <c r="K1696" s="1">
        <v>0.66700000000000004</v>
      </c>
      <c r="L1696" s="1">
        <v>6.8000000000000005E-2</v>
      </c>
      <c r="N1696" s="1">
        <v>0.15989999999999999</v>
      </c>
    </row>
    <row r="1697" spans="1:26" s="26" customFormat="1">
      <c r="A1697" s="26" t="s">
        <v>236</v>
      </c>
      <c r="B1697" s="26" t="s">
        <v>199</v>
      </c>
      <c r="C1697" s="26">
        <v>24</v>
      </c>
      <c r="D1697" s="26" t="s">
        <v>200</v>
      </c>
      <c r="E1697" s="26">
        <v>964</v>
      </c>
      <c r="G1697" s="27">
        <v>0.1782</v>
      </c>
      <c r="H1697" s="27">
        <v>0.1489</v>
      </c>
      <c r="I1697" s="27">
        <v>0.18490000000000001</v>
      </c>
      <c r="J1697" s="27">
        <v>0.84770000000000001</v>
      </c>
      <c r="K1697" s="27">
        <v>0.56389999999999996</v>
      </c>
      <c r="M1697" s="27">
        <v>3.3999999999999998E-3</v>
      </c>
      <c r="N1697" s="27">
        <v>0.36230000000000001</v>
      </c>
    </row>
    <row r="1698" spans="1:26">
      <c r="A1698" t="s">
        <v>235</v>
      </c>
      <c r="B1698" t="s">
        <v>199</v>
      </c>
      <c r="C1698">
        <v>46</v>
      </c>
      <c r="D1698" t="s">
        <v>200</v>
      </c>
      <c r="E1698">
        <v>964</v>
      </c>
      <c r="G1698" s="1">
        <v>8.9999999999999993E-3</v>
      </c>
      <c r="I1698" s="1">
        <v>0.53010000000000002</v>
      </c>
      <c r="J1698" s="1">
        <v>0.87060000000000004</v>
      </c>
      <c r="K1698" s="1">
        <v>0.73660000000000003</v>
      </c>
      <c r="L1698" s="1">
        <v>6.0000000000000001E-3</v>
      </c>
      <c r="N1698" s="1">
        <v>0.20949999999999999</v>
      </c>
    </row>
    <row r="1699" spans="1:26">
      <c r="A1699" t="s">
        <v>236</v>
      </c>
      <c r="B1699" t="s">
        <v>199</v>
      </c>
      <c r="C1699">
        <v>37</v>
      </c>
      <c r="D1699" t="s">
        <v>202</v>
      </c>
      <c r="E1699">
        <v>964</v>
      </c>
      <c r="F1699" s="1">
        <v>0.15140000000000001</v>
      </c>
      <c r="G1699" s="1">
        <v>0.1963</v>
      </c>
      <c r="I1699" s="1">
        <v>0.25080000000000002</v>
      </c>
      <c r="J1699" s="1">
        <v>0.85980000000000001</v>
      </c>
      <c r="K1699" s="1">
        <v>0.65759999999999996</v>
      </c>
      <c r="L1699" s="1">
        <v>7.5800000000000006E-2</v>
      </c>
      <c r="N1699" s="1">
        <v>0.23549999999999999</v>
      </c>
    </row>
    <row r="1700" spans="1:26">
      <c r="A1700" t="s">
        <v>235</v>
      </c>
      <c r="B1700" t="s">
        <v>199</v>
      </c>
      <c r="C1700">
        <v>95</v>
      </c>
      <c r="D1700" t="s">
        <v>201</v>
      </c>
      <c r="E1700">
        <v>964</v>
      </c>
      <c r="F1700" s="1">
        <v>7.3700000000000002E-2</v>
      </c>
      <c r="G1700" s="1">
        <v>0.21049999999999999</v>
      </c>
      <c r="I1700" s="1">
        <v>0.38950000000000001</v>
      </c>
      <c r="J1700" s="1">
        <v>0.8105</v>
      </c>
      <c r="K1700" s="1">
        <v>0.62109999999999999</v>
      </c>
      <c r="L1700" s="1">
        <v>4.2099999999999999E-2</v>
      </c>
      <c r="M1700" s="1">
        <v>1.0500000000000001E-2</v>
      </c>
      <c r="N1700" s="1">
        <v>0.1263</v>
      </c>
    </row>
    <row r="1701" spans="1:26">
      <c r="A1701" t="s">
        <v>236</v>
      </c>
      <c r="B1701" t="s">
        <v>209</v>
      </c>
      <c r="C1701">
        <v>39</v>
      </c>
      <c r="D1701" t="s">
        <v>211</v>
      </c>
      <c r="E1701">
        <v>964</v>
      </c>
      <c r="F1701" s="1">
        <v>4.2599999999999999E-2</v>
      </c>
      <c r="G1701" s="1">
        <v>0.154</v>
      </c>
      <c r="H1701" s="1">
        <v>7.6200000000000004E-2</v>
      </c>
      <c r="I1701" s="1">
        <v>0.15709999999999999</v>
      </c>
      <c r="J1701" s="1">
        <v>0.65900000000000003</v>
      </c>
      <c r="K1701" s="1">
        <v>0.38240000000000002</v>
      </c>
      <c r="L1701" s="1">
        <v>7.8899999999999998E-2</v>
      </c>
      <c r="M1701" s="1">
        <v>4.2599999999999999E-2</v>
      </c>
      <c r="N1701" s="1">
        <v>0.30930000000000002</v>
      </c>
    </row>
    <row r="1702" spans="1:26">
      <c r="A1702" t="s">
        <v>235</v>
      </c>
      <c r="B1702" t="s">
        <v>209</v>
      </c>
      <c r="C1702">
        <v>56</v>
      </c>
      <c r="D1702" t="s">
        <v>211</v>
      </c>
      <c r="E1702">
        <v>964</v>
      </c>
      <c r="F1702" s="1">
        <v>3.5799999999999998E-2</v>
      </c>
      <c r="G1702" s="1">
        <v>0.15709999999999999</v>
      </c>
      <c r="H1702" s="1">
        <v>1.9599999999999999E-2</v>
      </c>
      <c r="I1702" s="1">
        <v>0.3674</v>
      </c>
      <c r="J1702" s="1">
        <v>0.74350000000000005</v>
      </c>
      <c r="K1702" s="1">
        <v>0.49630000000000002</v>
      </c>
      <c r="L1702" s="1">
        <v>7.9699999999999993E-2</v>
      </c>
      <c r="N1702" s="1">
        <v>9.4700000000000006E-2</v>
      </c>
    </row>
    <row r="1703" spans="1:26">
      <c r="A1703" t="s">
        <v>235</v>
      </c>
      <c r="B1703" t="s">
        <v>209</v>
      </c>
      <c r="C1703">
        <v>67</v>
      </c>
      <c r="D1703" t="s">
        <v>212</v>
      </c>
      <c r="E1703">
        <v>964</v>
      </c>
      <c r="F1703" s="1">
        <v>3.2399999999999998E-2</v>
      </c>
      <c r="G1703" s="1">
        <v>0.16789999999999999</v>
      </c>
      <c r="I1703" s="1">
        <v>0.47939999999999999</v>
      </c>
      <c r="J1703" s="1">
        <v>0.83789999999999998</v>
      </c>
      <c r="K1703" s="1">
        <v>0.64670000000000005</v>
      </c>
      <c r="L1703" s="1">
        <v>3.2399999999999998E-2</v>
      </c>
      <c r="N1703" s="1">
        <v>0.128</v>
      </c>
    </row>
    <row r="1704" spans="1:26" s="26" customFormat="1">
      <c r="A1704" s="26" t="s">
        <v>236</v>
      </c>
      <c r="B1704" s="26" t="s">
        <v>209</v>
      </c>
      <c r="C1704" s="26">
        <v>18</v>
      </c>
      <c r="D1704" s="26" t="s">
        <v>212</v>
      </c>
      <c r="E1704" s="26">
        <v>964</v>
      </c>
      <c r="G1704" s="27">
        <v>9.74E-2</v>
      </c>
      <c r="I1704" s="27">
        <v>0.3715</v>
      </c>
      <c r="J1704" s="27">
        <v>0.70979999999999999</v>
      </c>
      <c r="K1704" s="27">
        <v>0.74460000000000004</v>
      </c>
      <c r="L1704" s="27">
        <v>5.2499999999999998E-2</v>
      </c>
      <c r="N1704" s="27">
        <v>0.15379999999999999</v>
      </c>
    </row>
    <row r="1705" spans="1:26">
      <c r="A1705" t="s">
        <v>236</v>
      </c>
      <c r="B1705" t="s">
        <v>209</v>
      </c>
      <c r="C1705">
        <v>37</v>
      </c>
      <c r="D1705" t="s">
        <v>210</v>
      </c>
      <c r="E1705">
        <v>964</v>
      </c>
      <c r="F1705" s="1">
        <v>6.2300000000000001E-2</v>
      </c>
      <c r="G1705" s="1">
        <v>0.1734</v>
      </c>
      <c r="I1705" s="1">
        <v>0.12939999999999999</v>
      </c>
      <c r="J1705" s="1">
        <v>0.70209999999999995</v>
      </c>
      <c r="K1705" s="1">
        <v>0.38340000000000002</v>
      </c>
      <c r="L1705" s="1">
        <v>0.127</v>
      </c>
      <c r="N1705" s="1">
        <v>0.21</v>
      </c>
    </row>
    <row r="1706" spans="1:26">
      <c r="A1706" t="s">
        <v>235</v>
      </c>
      <c r="B1706" t="s">
        <v>209</v>
      </c>
      <c r="C1706">
        <v>31</v>
      </c>
      <c r="D1706" t="s">
        <v>210</v>
      </c>
      <c r="E1706">
        <v>964</v>
      </c>
      <c r="F1706" s="1">
        <v>3.3399999999999999E-2</v>
      </c>
      <c r="G1706" s="1">
        <v>0.11600000000000001</v>
      </c>
      <c r="I1706" s="1">
        <v>0.1002</v>
      </c>
      <c r="J1706" s="1">
        <v>0.63270000000000004</v>
      </c>
      <c r="K1706" s="1">
        <v>0.3831</v>
      </c>
      <c r="L1706" s="1">
        <v>0.1002</v>
      </c>
      <c r="N1706" s="1">
        <v>0.23380000000000001</v>
      </c>
    </row>
    <row r="1708" spans="1:26">
      <c r="A1708" t="s">
        <v>504</v>
      </c>
    </row>
    <row r="1709" spans="1:26">
      <c r="A1709" t="s">
        <v>190</v>
      </c>
      <c r="B1709" t="s">
        <v>505</v>
      </c>
      <c r="C1709" t="s">
        <v>506</v>
      </c>
      <c r="D1709" t="s">
        <v>507</v>
      </c>
      <c r="E1709" t="s">
        <v>508</v>
      </c>
      <c r="F1709" t="s">
        <v>509</v>
      </c>
      <c r="G1709" t="s">
        <v>510</v>
      </c>
      <c r="H1709" t="s">
        <v>511</v>
      </c>
      <c r="I1709" t="s">
        <v>512</v>
      </c>
      <c r="J1709" t="s">
        <v>513</v>
      </c>
      <c r="K1709" t="s">
        <v>514</v>
      </c>
      <c r="L1709" t="s">
        <v>515</v>
      </c>
      <c r="M1709" t="s">
        <v>516</v>
      </c>
      <c r="N1709" t="s">
        <v>517</v>
      </c>
      <c r="O1709" t="s">
        <v>518</v>
      </c>
      <c r="P1709" t="s">
        <v>519</v>
      </c>
      <c r="Q1709" t="s">
        <v>520</v>
      </c>
      <c r="R1709" t="s">
        <v>521</v>
      </c>
      <c r="S1709" t="s">
        <v>522</v>
      </c>
      <c r="T1709" t="s">
        <v>523</v>
      </c>
      <c r="U1709" t="s">
        <v>524</v>
      </c>
      <c r="V1709" t="s">
        <v>525</v>
      </c>
      <c r="W1709" t="s">
        <v>526</v>
      </c>
      <c r="X1709" t="s">
        <v>527</v>
      </c>
      <c r="Y1709" t="s">
        <v>528</v>
      </c>
      <c r="Z1709" t="s">
        <v>196</v>
      </c>
    </row>
    <row r="1710" spans="1:26">
      <c r="A1710" t="s">
        <v>198</v>
      </c>
      <c r="B1710">
        <v>18159.64649177602</v>
      </c>
      <c r="C1710">
        <v>5000</v>
      </c>
      <c r="D1710">
        <v>250</v>
      </c>
      <c r="E1710">
        <v>200000</v>
      </c>
      <c r="F1710">
        <v>9402.9390753188</v>
      </c>
      <c r="G1710">
        <v>6000</v>
      </c>
      <c r="H1710">
        <v>300</v>
      </c>
      <c r="I1710">
        <v>100000</v>
      </c>
      <c r="J1710">
        <v>11552.243153257579</v>
      </c>
      <c r="K1710">
        <v>6000</v>
      </c>
      <c r="L1710">
        <v>100</v>
      </c>
      <c r="M1710">
        <v>320000</v>
      </c>
      <c r="N1710">
        <v>9066.9435900814078</v>
      </c>
      <c r="O1710">
        <v>4000</v>
      </c>
      <c r="P1710">
        <v>200</v>
      </c>
      <c r="Q1710">
        <v>100000</v>
      </c>
      <c r="R1710">
        <v>15531.483845715091</v>
      </c>
      <c r="S1710">
        <v>7400</v>
      </c>
      <c r="T1710">
        <v>250</v>
      </c>
      <c r="U1710">
        <v>240000</v>
      </c>
      <c r="V1710">
        <v>18378.047013479521</v>
      </c>
      <c r="W1710">
        <v>5000</v>
      </c>
      <c r="X1710">
        <v>400</v>
      </c>
      <c r="Y1710">
        <v>240000</v>
      </c>
      <c r="Z1710">
        <v>153</v>
      </c>
    </row>
    <row r="1711" spans="1:26">
      <c r="A1711" t="s">
        <v>200</v>
      </c>
      <c r="B1711">
        <v>5008.0341959288808</v>
      </c>
      <c r="C1711">
        <v>5000</v>
      </c>
      <c r="D1711">
        <v>500</v>
      </c>
      <c r="E1711">
        <v>100000</v>
      </c>
      <c r="F1711">
        <v>5702.7150423569356</v>
      </c>
      <c r="G1711">
        <v>5000</v>
      </c>
      <c r="H1711">
        <v>300</v>
      </c>
      <c r="I1711">
        <v>22500</v>
      </c>
      <c r="J1711">
        <v>7068.5226423830618</v>
      </c>
      <c r="K1711">
        <v>6000</v>
      </c>
      <c r="L1711">
        <v>500</v>
      </c>
      <c r="M1711">
        <v>230000</v>
      </c>
      <c r="N1711">
        <v>2366.1837515057991</v>
      </c>
      <c r="O1711">
        <v>3000</v>
      </c>
      <c r="P1711">
        <v>500</v>
      </c>
      <c r="Q1711">
        <v>15000</v>
      </c>
      <c r="R1711">
        <v>8772.6426289222491</v>
      </c>
      <c r="S1711">
        <v>4200</v>
      </c>
      <c r="T1711">
        <v>3000</v>
      </c>
      <c r="U1711">
        <v>30000</v>
      </c>
      <c r="Z1711">
        <v>153</v>
      </c>
    </row>
    <row r="1712" spans="1:26">
      <c r="A1712" t="s">
        <v>201</v>
      </c>
      <c r="B1712">
        <v>9410</v>
      </c>
      <c r="C1712">
        <v>2000</v>
      </c>
      <c r="D1712">
        <v>1000</v>
      </c>
      <c r="E1712">
        <v>30000</v>
      </c>
      <c r="F1712">
        <v>10466.666666666661</v>
      </c>
      <c r="G1712">
        <v>7000</v>
      </c>
      <c r="H1712">
        <v>300</v>
      </c>
      <c r="I1712">
        <v>56000</v>
      </c>
      <c r="J1712">
        <v>16899.27536231884</v>
      </c>
      <c r="K1712">
        <v>10000</v>
      </c>
      <c r="L1712">
        <v>100</v>
      </c>
      <c r="M1712">
        <v>230000</v>
      </c>
      <c r="N1712">
        <v>12428.571428571429</v>
      </c>
      <c r="O1712">
        <v>5000</v>
      </c>
      <c r="P1712">
        <v>400</v>
      </c>
      <c r="Q1712">
        <v>100000</v>
      </c>
      <c r="R1712">
        <v>27684.25</v>
      </c>
      <c r="S1712">
        <v>10000</v>
      </c>
      <c r="T1712">
        <v>3200</v>
      </c>
      <c r="U1712">
        <v>240000</v>
      </c>
      <c r="V1712">
        <v>12714.28571428571</v>
      </c>
      <c r="W1712">
        <v>14000</v>
      </c>
      <c r="X1712">
        <v>4000</v>
      </c>
      <c r="Y1712">
        <v>33000</v>
      </c>
      <c r="Z1712">
        <v>153</v>
      </c>
    </row>
    <row r="1713" spans="1:27">
      <c r="A1713" t="s">
        <v>202</v>
      </c>
      <c r="B1713">
        <v>40681.024556754383</v>
      </c>
      <c r="C1713">
        <v>8000</v>
      </c>
      <c r="D1713">
        <v>500</v>
      </c>
      <c r="E1713">
        <v>200000</v>
      </c>
      <c r="F1713">
        <v>18918.333536966289</v>
      </c>
      <c r="G1713">
        <v>10000</v>
      </c>
      <c r="H1713">
        <v>900</v>
      </c>
      <c r="I1713">
        <v>100000</v>
      </c>
      <c r="J1713">
        <v>16299.80948595096</v>
      </c>
      <c r="K1713">
        <v>5000</v>
      </c>
      <c r="L1713">
        <v>500</v>
      </c>
      <c r="M1713">
        <v>300000</v>
      </c>
      <c r="N1713">
        <v>9901.7191730963859</v>
      </c>
      <c r="O1713">
        <v>6000</v>
      </c>
      <c r="P1713">
        <v>250</v>
      </c>
      <c r="Q1713">
        <v>60000</v>
      </c>
      <c r="R1713">
        <v>14986.368678601861</v>
      </c>
      <c r="S1713">
        <v>7400</v>
      </c>
      <c r="T1713">
        <v>600</v>
      </c>
      <c r="U1713">
        <v>50000</v>
      </c>
      <c r="V1713">
        <v>46028.61701983992</v>
      </c>
      <c r="W1713">
        <v>35000</v>
      </c>
      <c r="X1713">
        <v>4350</v>
      </c>
      <c r="Y1713">
        <v>180000</v>
      </c>
      <c r="Z1713">
        <v>153</v>
      </c>
    </row>
    <row r="1714" spans="1:27">
      <c r="A1714" t="s">
        <v>203</v>
      </c>
      <c r="B1714">
        <v>10828.60020613216</v>
      </c>
      <c r="C1714">
        <v>3000</v>
      </c>
      <c r="D1714">
        <v>350</v>
      </c>
      <c r="E1714">
        <v>70000</v>
      </c>
      <c r="F1714">
        <v>5374.5392267857969</v>
      </c>
      <c r="G1714">
        <v>5000</v>
      </c>
      <c r="H1714">
        <v>500</v>
      </c>
      <c r="I1714">
        <v>30000</v>
      </c>
      <c r="J1714">
        <v>6433.9121561934408</v>
      </c>
      <c r="K1714">
        <v>4220</v>
      </c>
      <c r="L1714">
        <v>300</v>
      </c>
      <c r="M1714">
        <v>50000</v>
      </c>
      <c r="N1714">
        <v>4323.7234685986323</v>
      </c>
      <c r="O1714">
        <v>5000</v>
      </c>
      <c r="P1714">
        <v>450</v>
      </c>
      <c r="Q1714">
        <v>10000</v>
      </c>
      <c r="R1714">
        <v>12674.691387972491</v>
      </c>
      <c r="S1714">
        <v>12000</v>
      </c>
      <c r="T1714">
        <v>250</v>
      </c>
      <c r="U1714">
        <v>40000</v>
      </c>
      <c r="V1714">
        <v>50321.438386112917</v>
      </c>
      <c r="W1714">
        <v>1000</v>
      </c>
      <c r="X1714">
        <v>1000</v>
      </c>
      <c r="Y1714">
        <v>240000</v>
      </c>
      <c r="Z1714">
        <v>153</v>
      </c>
    </row>
    <row r="1715" spans="1:27">
      <c r="A1715" t="s">
        <v>205</v>
      </c>
      <c r="B1715">
        <v>3783.333333333333</v>
      </c>
      <c r="C1715">
        <v>10000</v>
      </c>
      <c r="D1715">
        <v>350</v>
      </c>
      <c r="E1715">
        <v>10000</v>
      </c>
      <c r="F1715">
        <v>6377.0756432013286</v>
      </c>
      <c r="G1715">
        <v>6000</v>
      </c>
      <c r="H1715">
        <v>500</v>
      </c>
      <c r="I1715">
        <v>20000</v>
      </c>
      <c r="J1715">
        <v>6850.251005489602</v>
      </c>
      <c r="K1715">
        <v>5600</v>
      </c>
      <c r="L1715">
        <v>300</v>
      </c>
      <c r="M1715">
        <v>50000</v>
      </c>
      <c r="N1715">
        <v>7415.7720362078817</v>
      </c>
      <c r="O1715">
        <v>6000</v>
      </c>
      <c r="P1715">
        <v>300</v>
      </c>
      <c r="Q1715">
        <v>18000</v>
      </c>
      <c r="R1715">
        <v>10356.110457986881</v>
      </c>
      <c r="S1715">
        <v>18000</v>
      </c>
      <c r="T1715">
        <v>3000</v>
      </c>
      <c r="U1715">
        <v>22000</v>
      </c>
      <c r="V1715">
        <v>8034.3973843738859</v>
      </c>
      <c r="W1715">
        <v>5000</v>
      </c>
      <c r="X1715">
        <v>5000</v>
      </c>
      <c r="Y1715">
        <v>12000</v>
      </c>
      <c r="Z1715">
        <v>153</v>
      </c>
    </row>
    <row r="1716" spans="1:27">
      <c r="A1716" t="s">
        <v>206</v>
      </c>
      <c r="B1716">
        <v>10643.88329845037</v>
      </c>
      <c r="C1716">
        <v>7000</v>
      </c>
      <c r="D1716">
        <v>300</v>
      </c>
      <c r="E1716">
        <v>45000</v>
      </c>
      <c r="F1716">
        <v>5831.1394874849384</v>
      </c>
      <c r="G1716">
        <v>5000</v>
      </c>
      <c r="H1716">
        <v>300</v>
      </c>
      <c r="I1716">
        <v>25000</v>
      </c>
      <c r="J1716">
        <v>12542.641702031129</v>
      </c>
      <c r="K1716">
        <v>5000</v>
      </c>
      <c r="L1716">
        <v>300</v>
      </c>
      <c r="M1716">
        <v>150000</v>
      </c>
      <c r="N1716">
        <v>7778.6602381108924</v>
      </c>
      <c r="O1716">
        <v>7000</v>
      </c>
      <c r="P1716">
        <v>300</v>
      </c>
      <c r="Q1716">
        <v>30000</v>
      </c>
      <c r="R1716">
        <v>4969.3361597505018</v>
      </c>
      <c r="S1716">
        <v>8000</v>
      </c>
      <c r="T1716">
        <v>1500</v>
      </c>
      <c r="U1716">
        <v>9000</v>
      </c>
      <c r="Z1716">
        <v>153</v>
      </c>
    </row>
    <row r="1717" spans="1:27">
      <c r="A1717" t="s">
        <v>207</v>
      </c>
      <c r="B1717">
        <v>14906.085318038529</v>
      </c>
      <c r="C1717">
        <v>10000</v>
      </c>
      <c r="D1717">
        <v>800</v>
      </c>
      <c r="E1717">
        <v>100000</v>
      </c>
      <c r="F1717">
        <v>7516.6750265097508</v>
      </c>
      <c r="G1717">
        <v>5000</v>
      </c>
      <c r="H1717">
        <v>1000</v>
      </c>
      <c r="I1717">
        <v>30000</v>
      </c>
      <c r="J1717">
        <v>10509.15374489114</v>
      </c>
      <c r="K1717">
        <v>5000</v>
      </c>
      <c r="L1717">
        <v>300</v>
      </c>
      <c r="M1717">
        <v>60000</v>
      </c>
      <c r="N1717">
        <v>8857.4802984559556</v>
      </c>
      <c r="O1717">
        <v>3000</v>
      </c>
      <c r="P1717">
        <v>300</v>
      </c>
      <c r="Q1717">
        <v>35000</v>
      </c>
      <c r="R1717">
        <v>7370.1479786809959</v>
      </c>
      <c r="S1717">
        <v>7000</v>
      </c>
      <c r="T1717">
        <v>1000</v>
      </c>
      <c r="U1717">
        <v>25000</v>
      </c>
      <c r="V1717">
        <v>4681.7519167962628</v>
      </c>
      <c r="W1717">
        <v>3000</v>
      </c>
      <c r="X1717">
        <v>400</v>
      </c>
      <c r="Y1717">
        <v>100000</v>
      </c>
      <c r="Z1717">
        <v>153</v>
      </c>
    </row>
    <row r="1718" spans="1:27">
      <c r="A1718" t="s">
        <v>208</v>
      </c>
      <c r="B1718">
        <v>5500</v>
      </c>
      <c r="C1718">
        <v>2000</v>
      </c>
      <c r="D1718">
        <v>1000</v>
      </c>
      <c r="E1718">
        <v>20000</v>
      </c>
      <c r="F1718">
        <v>6365.5172413793089</v>
      </c>
      <c r="G1718">
        <v>4000</v>
      </c>
      <c r="H1718">
        <v>700</v>
      </c>
      <c r="I1718">
        <v>30000</v>
      </c>
      <c r="J1718">
        <v>7459.9999999999973</v>
      </c>
      <c r="K1718">
        <v>6000</v>
      </c>
      <c r="L1718">
        <v>500</v>
      </c>
      <c r="M1718">
        <v>31000</v>
      </c>
      <c r="N1718">
        <v>9286.6666666666642</v>
      </c>
      <c r="O1718">
        <v>10000</v>
      </c>
      <c r="P1718">
        <v>300</v>
      </c>
      <c r="Q1718">
        <v>30000</v>
      </c>
      <c r="R1718">
        <v>17450</v>
      </c>
      <c r="S1718">
        <v>2000</v>
      </c>
      <c r="T1718">
        <v>1800</v>
      </c>
      <c r="U1718">
        <v>60000</v>
      </c>
      <c r="V1718">
        <v>8816.6666666666661</v>
      </c>
      <c r="W1718">
        <v>1100</v>
      </c>
      <c r="X1718">
        <v>400</v>
      </c>
      <c r="Y1718">
        <v>48000</v>
      </c>
      <c r="Z1718">
        <v>153</v>
      </c>
    </row>
    <row r="1719" spans="1:27">
      <c r="A1719" t="s">
        <v>210</v>
      </c>
      <c r="B1719">
        <v>34599.712650622379</v>
      </c>
      <c r="C1719">
        <v>12000</v>
      </c>
      <c r="D1719">
        <v>1000</v>
      </c>
      <c r="E1719">
        <v>200000</v>
      </c>
      <c r="F1719">
        <v>7530.1464173133263</v>
      </c>
      <c r="G1719">
        <v>5000</v>
      </c>
      <c r="H1719">
        <v>500</v>
      </c>
      <c r="I1719">
        <v>24000</v>
      </c>
      <c r="J1719">
        <v>9920.636914653669</v>
      </c>
      <c r="K1719">
        <v>5000</v>
      </c>
      <c r="L1719">
        <v>100</v>
      </c>
      <c r="M1719">
        <v>100000</v>
      </c>
      <c r="N1719">
        <v>7505.6400935895545</v>
      </c>
      <c r="O1719">
        <v>18000</v>
      </c>
      <c r="P1719">
        <v>300</v>
      </c>
      <c r="Q1719">
        <v>18000</v>
      </c>
      <c r="R1719">
        <v>14766.22310128716</v>
      </c>
      <c r="S1719">
        <v>20000</v>
      </c>
      <c r="T1719">
        <v>2300</v>
      </c>
      <c r="U1719">
        <v>30000</v>
      </c>
      <c r="V1719">
        <v>13593.393832837661</v>
      </c>
      <c r="W1719">
        <v>10000</v>
      </c>
      <c r="X1719">
        <v>5000</v>
      </c>
      <c r="Y1719">
        <v>30000</v>
      </c>
      <c r="Z1719">
        <v>153</v>
      </c>
    </row>
    <row r="1720" spans="1:27">
      <c r="A1720" t="s">
        <v>211</v>
      </c>
      <c r="B1720">
        <v>32739.864815462879</v>
      </c>
      <c r="C1720">
        <v>10000</v>
      </c>
      <c r="D1720">
        <v>1000</v>
      </c>
      <c r="E1720">
        <v>200000</v>
      </c>
      <c r="F1720">
        <v>7972.8808673707763</v>
      </c>
      <c r="G1720">
        <v>5000</v>
      </c>
      <c r="H1720">
        <v>1000</v>
      </c>
      <c r="I1720">
        <v>30000</v>
      </c>
      <c r="J1720">
        <v>11789.55969295077</v>
      </c>
      <c r="K1720">
        <v>5000</v>
      </c>
      <c r="L1720">
        <v>300</v>
      </c>
      <c r="M1720">
        <v>320000</v>
      </c>
      <c r="N1720">
        <v>5130.3430868617907</v>
      </c>
      <c r="O1720">
        <v>3000</v>
      </c>
      <c r="P1720">
        <v>200</v>
      </c>
      <c r="Q1720">
        <v>20000</v>
      </c>
      <c r="R1720">
        <v>13341.405065585819</v>
      </c>
      <c r="S1720">
        <v>15000</v>
      </c>
      <c r="T1720">
        <v>3000</v>
      </c>
      <c r="U1720">
        <v>35000</v>
      </c>
      <c r="V1720">
        <v>12732.500665195999</v>
      </c>
      <c r="W1720">
        <v>19000</v>
      </c>
      <c r="X1720">
        <v>4800</v>
      </c>
      <c r="Y1720">
        <v>19000</v>
      </c>
      <c r="Z1720">
        <v>153</v>
      </c>
    </row>
    <row r="1721" spans="1:27">
      <c r="A1721" t="s">
        <v>212</v>
      </c>
      <c r="B1721">
        <v>7154.0740865563384</v>
      </c>
      <c r="C1721">
        <v>7000</v>
      </c>
      <c r="D1721">
        <v>250</v>
      </c>
      <c r="E1721">
        <v>18900</v>
      </c>
      <c r="F1721">
        <v>8058.6440511117416</v>
      </c>
      <c r="G1721">
        <v>6000</v>
      </c>
      <c r="H1721">
        <v>300</v>
      </c>
      <c r="I1721">
        <v>60000</v>
      </c>
      <c r="J1721">
        <v>10830.17181962541</v>
      </c>
      <c r="K1721">
        <v>6000</v>
      </c>
      <c r="L1721">
        <v>400</v>
      </c>
      <c r="M1721">
        <v>60000</v>
      </c>
      <c r="N1721">
        <v>8288.1968024581674</v>
      </c>
      <c r="O1721">
        <v>5000</v>
      </c>
      <c r="P1721">
        <v>200</v>
      </c>
      <c r="Q1721">
        <v>48000</v>
      </c>
      <c r="R1721">
        <v>6307.4705835422446</v>
      </c>
      <c r="S1721">
        <v>6000</v>
      </c>
      <c r="T1721">
        <v>2000</v>
      </c>
      <c r="U1721">
        <v>15000</v>
      </c>
      <c r="V1721">
        <v>2800</v>
      </c>
      <c r="W1721">
        <v>2000</v>
      </c>
      <c r="X1721">
        <v>2000</v>
      </c>
      <c r="Y1721">
        <v>3600</v>
      </c>
      <c r="Z1721">
        <v>153</v>
      </c>
    </row>
    <row r="1723" spans="1:27">
      <c r="A1723" t="s">
        <v>529</v>
      </c>
    </row>
    <row r="1724" spans="1:27">
      <c r="A1724" t="s">
        <v>190</v>
      </c>
      <c r="B1724" t="s">
        <v>214</v>
      </c>
      <c r="C1724" t="s">
        <v>505</v>
      </c>
      <c r="D1724" t="s">
        <v>506</v>
      </c>
      <c r="E1724" t="s">
        <v>507</v>
      </c>
      <c r="F1724" t="s">
        <v>508</v>
      </c>
      <c r="G1724" t="s">
        <v>509</v>
      </c>
      <c r="H1724" t="s">
        <v>510</v>
      </c>
      <c r="I1724" t="s">
        <v>511</v>
      </c>
      <c r="J1724" t="s">
        <v>512</v>
      </c>
      <c r="K1724" t="s">
        <v>513</v>
      </c>
      <c r="L1724" t="s">
        <v>514</v>
      </c>
      <c r="M1724" t="s">
        <v>515</v>
      </c>
      <c r="N1724" t="s">
        <v>516</v>
      </c>
      <c r="O1724" t="s">
        <v>517</v>
      </c>
      <c r="P1724" t="s">
        <v>518</v>
      </c>
      <c r="Q1724" t="s">
        <v>519</v>
      </c>
      <c r="R1724" t="s">
        <v>520</v>
      </c>
      <c r="S1724" t="s">
        <v>521</v>
      </c>
      <c r="T1724" t="s">
        <v>522</v>
      </c>
      <c r="U1724" t="s">
        <v>523</v>
      </c>
      <c r="V1724" t="s">
        <v>524</v>
      </c>
      <c r="W1724" t="s">
        <v>525</v>
      </c>
      <c r="X1724" t="s">
        <v>526</v>
      </c>
      <c r="Y1724" t="s">
        <v>527</v>
      </c>
      <c r="Z1724" t="s">
        <v>528</v>
      </c>
      <c r="AA1724" t="s">
        <v>196</v>
      </c>
    </row>
    <row r="1725" spans="1:27">
      <c r="A1725" t="s">
        <v>198</v>
      </c>
      <c r="B1725" t="s">
        <v>198</v>
      </c>
      <c r="C1725">
        <v>18159.64649177602</v>
      </c>
      <c r="D1725">
        <v>5000</v>
      </c>
      <c r="E1725">
        <v>250</v>
      </c>
      <c r="F1725">
        <v>200000</v>
      </c>
      <c r="G1725">
        <v>9402.9390753188</v>
      </c>
      <c r="H1725">
        <v>6000</v>
      </c>
      <c r="I1725">
        <v>300</v>
      </c>
      <c r="J1725">
        <v>100000</v>
      </c>
      <c r="K1725">
        <v>11552.243153257579</v>
      </c>
      <c r="L1725">
        <v>6000</v>
      </c>
      <c r="M1725">
        <v>100</v>
      </c>
      <c r="N1725">
        <v>320000</v>
      </c>
      <c r="O1725">
        <v>9066.9435900814078</v>
      </c>
      <c r="P1725">
        <v>4000</v>
      </c>
      <c r="Q1725">
        <v>200</v>
      </c>
      <c r="R1725">
        <v>100000</v>
      </c>
      <c r="S1725">
        <v>15531.483845715091</v>
      </c>
      <c r="T1725">
        <v>7400</v>
      </c>
      <c r="U1725">
        <v>250</v>
      </c>
      <c r="V1725">
        <v>240000</v>
      </c>
      <c r="W1725">
        <v>18378.047013479521</v>
      </c>
      <c r="X1725">
        <v>5000</v>
      </c>
      <c r="Y1725">
        <v>400</v>
      </c>
      <c r="Z1725">
        <v>240000</v>
      </c>
      <c r="AA1725">
        <v>153</v>
      </c>
    </row>
    <row r="1726" spans="1:27">
      <c r="A1726" t="s">
        <v>200</v>
      </c>
      <c r="B1726" t="s">
        <v>236</v>
      </c>
      <c r="C1726">
        <v>3462.577546756057</v>
      </c>
      <c r="D1726">
        <v>5000</v>
      </c>
      <c r="E1726">
        <v>500</v>
      </c>
      <c r="F1726">
        <v>25000</v>
      </c>
      <c r="G1726">
        <v>3353.1071168628459</v>
      </c>
      <c r="H1726">
        <v>5000</v>
      </c>
      <c r="I1726">
        <v>300</v>
      </c>
      <c r="J1726">
        <v>12000</v>
      </c>
      <c r="K1726">
        <v>6563.536462271135</v>
      </c>
      <c r="L1726">
        <v>6500</v>
      </c>
      <c r="M1726">
        <v>2000</v>
      </c>
      <c r="N1726">
        <v>15000</v>
      </c>
      <c r="O1726">
        <v>4604.6593936085283</v>
      </c>
      <c r="P1726">
        <v>5000</v>
      </c>
      <c r="Q1726">
        <v>2000</v>
      </c>
      <c r="R1726">
        <v>12000</v>
      </c>
      <c r="S1726">
        <v>8756.0127532189672</v>
      </c>
      <c r="T1726">
        <v>4000</v>
      </c>
      <c r="U1726">
        <v>4000</v>
      </c>
      <c r="V1726">
        <v>30000</v>
      </c>
      <c r="AA1726">
        <v>153</v>
      </c>
    </row>
    <row r="1727" spans="1:27">
      <c r="A1727" t="s">
        <v>200</v>
      </c>
      <c r="B1727" t="s">
        <v>235</v>
      </c>
      <c r="C1727">
        <v>7407.2090810207465</v>
      </c>
      <c r="D1727">
        <v>8000</v>
      </c>
      <c r="E1727">
        <v>2000</v>
      </c>
      <c r="F1727">
        <v>100000</v>
      </c>
      <c r="G1727">
        <v>7137.0662738257624</v>
      </c>
      <c r="H1727">
        <v>5000</v>
      </c>
      <c r="I1727">
        <v>2000</v>
      </c>
      <c r="J1727">
        <v>22500</v>
      </c>
      <c r="K1727">
        <v>6734.3252798598942</v>
      </c>
      <c r="L1727">
        <v>6000</v>
      </c>
      <c r="M1727">
        <v>500</v>
      </c>
      <c r="N1727">
        <v>36000</v>
      </c>
      <c r="O1727">
        <v>1668.982827822919</v>
      </c>
      <c r="P1727">
        <v>1500</v>
      </c>
      <c r="Q1727">
        <v>500</v>
      </c>
      <c r="R1727">
        <v>15000</v>
      </c>
      <c r="S1727">
        <v>9066.6666666666661</v>
      </c>
      <c r="T1727">
        <v>20000</v>
      </c>
      <c r="U1727">
        <v>3000</v>
      </c>
      <c r="V1727">
        <v>20000</v>
      </c>
      <c r="AA1727">
        <v>153</v>
      </c>
    </row>
    <row r="1728" spans="1:27">
      <c r="A1728" t="s">
        <v>201</v>
      </c>
      <c r="B1728" t="s">
        <v>235</v>
      </c>
      <c r="C1728">
        <v>9410</v>
      </c>
      <c r="D1728">
        <v>2000</v>
      </c>
      <c r="E1728">
        <v>1000</v>
      </c>
      <c r="F1728">
        <v>30000</v>
      </c>
      <c r="G1728">
        <v>10466.666666666661</v>
      </c>
      <c r="H1728">
        <v>7000</v>
      </c>
      <c r="I1728">
        <v>300</v>
      </c>
      <c r="J1728">
        <v>56000</v>
      </c>
      <c r="K1728">
        <v>16899.27536231884</v>
      </c>
      <c r="L1728">
        <v>10000</v>
      </c>
      <c r="M1728">
        <v>100</v>
      </c>
      <c r="N1728">
        <v>230000</v>
      </c>
      <c r="O1728">
        <v>12428.571428571429</v>
      </c>
      <c r="P1728">
        <v>5000</v>
      </c>
      <c r="Q1728">
        <v>400</v>
      </c>
      <c r="R1728">
        <v>100000</v>
      </c>
      <c r="S1728">
        <v>27684.25</v>
      </c>
      <c r="T1728">
        <v>10000</v>
      </c>
      <c r="U1728">
        <v>3200</v>
      </c>
      <c r="V1728">
        <v>240000</v>
      </c>
      <c r="W1728">
        <v>12714.28571428571</v>
      </c>
      <c r="X1728">
        <v>14000</v>
      </c>
      <c r="Y1728">
        <v>4000</v>
      </c>
      <c r="Z1728">
        <v>33000</v>
      </c>
      <c r="AA1728">
        <v>153</v>
      </c>
    </row>
    <row r="1729" spans="1:27">
      <c r="A1729" t="s">
        <v>202</v>
      </c>
      <c r="B1729" t="s">
        <v>236</v>
      </c>
      <c r="C1729">
        <v>63755.149241942752</v>
      </c>
      <c r="D1729">
        <v>70000</v>
      </c>
      <c r="E1729">
        <v>4000</v>
      </c>
      <c r="F1729">
        <v>200000</v>
      </c>
      <c r="G1729">
        <v>22240.760853415599</v>
      </c>
      <c r="H1729">
        <v>9430</v>
      </c>
      <c r="I1729">
        <v>1000</v>
      </c>
      <c r="J1729">
        <v>100000</v>
      </c>
      <c r="K1729">
        <v>22375.223416774232</v>
      </c>
      <c r="L1729">
        <v>9000</v>
      </c>
      <c r="M1729">
        <v>1000</v>
      </c>
      <c r="N1729">
        <v>150000</v>
      </c>
      <c r="O1729">
        <v>6481.0977624909201</v>
      </c>
      <c r="P1729">
        <v>3000</v>
      </c>
      <c r="Q1729">
        <v>300</v>
      </c>
      <c r="R1729">
        <v>24000</v>
      </c>
      <c r="S1729">
        <v>18240.363887171719</v>
      </c>
      <c r="T1729">
        <v>25000</v>
      </c>
      <c r="U1729">
        <v>5000</v>
      </c>
      <c r="V1729">
        <v>50000</v>
      </c>
      <c r="W1729">
        <v>42430.521973910763</v>
      </c>
      <c r="X1729">
        <v>12000</v>
      </c>
      <c r="Y1729">
        <v>4350</v>
      </c>
      <c r="Z1729">
        <v>180000</v>
      </c>
      <c r="AA1729">
        <v>153</v>
      </c>
    </row>
    <row r="1730" spans="1:27">
      <c r="A1730" t="s">
        <v>202</v>
      </c>
      <c r="B1730" t="s">
        <v>235</v>
      </c>
      <c r="C1730">
        <v>17268.847564753079</v>
      </c>
      <c r="D1730">
        <v>8000</v>
      </c>
      <c r="E1730">
        <v>500</v>
      </c>
      <c r="F1730">
        <v>100000</v>
      </c>
      <c r="G1730">
        <v>16410.78202457041</v>
      </c>
      <c r="H1730">
        <v>10000</v>
      </c>
      <c r="I1730">
        <v>900</v>
      </c>
      <c r="J1730">
        <v>68000</v>
      </c>
      <c r="K1730">
        <v>11591.37270740812</v>
      </c>
      <c r="L1730">
        <v>5000</v>
      </c>
      <c r="M1730">
        <v>500</v>
      </c>
      <c r="N1730">
        <v>300000</v>
      </c>
      <c r="O1730">
        <v>11869.13949869842</v>
      </c>
      <c r="P1730">
        <v>10000</v>
      </c>
      <c r="Q1730">
        <v>250</v>
      </c>
      <c r="R1730">
        <v>60000</v>
      </c>
      <c r="S1730">
        <v>9813.8891846235147</v>
      </c>
      <c r="T1730">
        <v>11000</v>
      </c>
      <c r="U1730">
        <v>600</v>
      </c>
      <c r="V1730">
        <v>20000</v>
      </c>
      <c r="W1730">
        <v>50272.320819002372</v>
      </c>
      <c r="X1730">
        <v>75000</v>
      </c>
      <c r="Y1730">
        <v>20000</v>
      </c>
      <c r="Z1730">
        <v>80000</v>
      </c>
      <c r="AA1730">
        <v>153</v>
      </c>
    </row>
    <row r="1731" spans="1:27">
      <c r="A1731" t="s">
        <v>203</v>
      </c>
      <c r="B1731" t="s">
        <v>236</v>
      </c>
      <c r="C1731">
        <v>21288.35528354413</v>
      </c>
      <c r="D1731">
        <v>5000</v>
      </c>
      <c r="E1731">
        <v>1000</v>
      </c>
      <c r="F1731">
        <v>70000</v>
      </c>
      <c r="G1731">
        <v>6098.4220826247956</v>
      </c>
      <c r="H1731">
        <v>5000</v>
      </c>
      <c r="I1731">
        <v>500</v>
      </c>
      <c r="J1731">
        <v>30000</v>
      </c>
      <c r="K1731">
        <v>7473.0898160408187</v>
      </c>
      <c r="L1731">
        <v>5000</v>
      </c>
      <c r="M1731">
        <v>500</v>
      </c>
      <c r="N1731">
        <v>50000</v>
      </c>
      <c r="O1731">
        <v>3642.0721125321102</v>
      </c>
      <c r="P1731">
        <v>5500</v>
      </c>
      <c r="Q1731">
        <v>500</v>
      </c>
      <c r="R1731">
        <v>5600</v>
      </c>
      <c r="S1731">
        <v>13764.985272095009</v>
      </c>
      <c r="T1731">
        <v>30000</v>
      </c>
      <c r="U1731">
        <v>3600</v>
      </c>
      <c r="V1731">
        <v>30000</v>
      </c>
      <c r="W1731">
        <v>120500</v>
      </c>
      <c r="X1731">
        <v>1000</v>
      </c>
      <c r="Y1731">
        <v>1000</v>
      </c>
      <c r="Z1731">
        <v>240000</v>
      </c>
      <c r="AA1731">
        <v>153</v>
      </c>
    </row>
    <row r="1732" spans="1:27">
      <c r="A1732" t="s">
        <v>203</v>
      </c>
      <c r="B1732" t="s">
        <v>235</v>
      </c>
      <c r="C1732">
        <v>4338.2196803405004</v>
      </c>
      <c r="D1732">
        <v>3000</v>
      </c>
      <c r="E1732">
        <v>350</v>
      </c>
      <c r="F1732">
        <v>20000</v>
      </c>
      <c r="G1732">
        <v>5019.6123839897828</v>
      </c>
      <c r="H1732">
        <v>5000</v>
      </c>
      <c r="I1732">
        <v>1500</v>
      </c>
      <c r="J1732">
        <v>10000</v>
      </c>
      <c r="K1732">
        <v>6144.4277420390699</v>
      </c>
      <c r="L1732">
        <v>5000</v>
      </c>
      <c r="M1732">
        <v>300</v>
      </c>
      <c r="N1732">
        <v>49000</v>
      </c>
      <c r="O1732">
        <v>4397.3888408450548</v>
      </c>
      <c r="P1732">
        <v>4800</v>
      </c>
      <c r="Q1732">
        <v>450</v>
      </c>
      <c r="R1732">
        <v>10000</v>
      </c>
      <c r="S1732">
        <v>12511.804830446639</v>
      </c>
      <c r="T1732">
        <v>12000</v>
      </c>
      <c r="U1732">
        <v>250</v>
      </c>
      <c r="V1732">
        <v>40000</v>
      </c>
      <c r="W1732">
        <v>1000</v>
      </c>
      <c r="X1732">
        <v>1000</v>
      </c>
      <c r="Y1732">
        <v>1000</v>
      </c>
      <c r="Z1732">
        <v>1000</v>
      </c>
      <c r="AA1732">
        <v>153</v>
      </c>
    </row>
    <row r="1733" spans="1:27">
      <c r="A1733" t="s">
        <v>205</v>
      </c>
      <c r="B1733" t="s">
        <v>236</v>
      </c>
      <c r="C1733">
        <v>3783.333333333333</v>
      </c>
      <c r="D1733">
        <v>10000</v>
      </c>
      <c r="E1733">
        <v>350</v>
      </c>
      <c r="F1733">
        <v>10000</v>
      </c>
      <c r="G1733">
        <v>5995.5096928496823</v>
      </c>
      <c r="H1733">
        <v>6000</v>
      </c>
      <c r="I1733">
        <v>1000</v>
      </c>
      <c r="J1733">
        <v>10000</v>
      </c>
      <c r="K1733">
        <v>6535.8129077699105</v>
      </c>
      <c r="L1733">
        <v>7000</v>
      </c>
      <c r="M1733">
        <v>300</v>
      </c>
      <c r="N1733">
        <v>24000</v>
      </c>
      <c r="O1733">
        <v>5006.303462658967</v>
      </c>
      <c r="P1733">
        <v>6000</v>
      </c>
      <c r="Q1733">
        <v>500</v>
      </c>
      <c r="R1733">
        <v>18000</v>
      </c>
      <c r="S1733">
        <v>21107.731969096691</v>
      </c>
      <c r="T1733">
        <v>22000</v>
      </c>
      <c r="U1733">
        <v>18000</v>
      </c>
      <c r="V1733">
        <v>22000</v>
      </c>
      <c r="W1733">
        <v>12000</v>
      </c>
      <c r="X1733">
        <v>12000</v>
      </c>
      <c r="Y1733">
        <v>12000</v>
      </c>
      <c r="Z1733">
        <v>12000</v>
      </c>
      <c r="AA1733">
        <v>153</v>
      </c>
    </row>
    <row r="1734" spans="1:27">
      <c r="A1734" t="s">
        <v>206</v>
      </c>
      <c r="B1734" t="s">
        <v>236</v>
      </c>
      <c r="C1734">
        <v>12265.830173752611</v>
      </c>
      <c r="D1734">
        <v>25000</v>
      </c>
      <c r="E1734">
        <v>5000</v>
      </c>
      <c r="F1734">
        <v>25000</v>
      </c>
      <c r="G1734">
        <v>9097.0887661082925</v>
      </c>
      <c r="H1734">
        <v>10000</v>
      </c>
      <c r="I1734">
        <v>500</v>
      </c>
      <c r="J1734">
        <v>25000</v>
      </c>
      <c r="K1734">
        <v>10877.287618224</v>
      </c>
      <c r="L1734">
        <v>8000</v>
      </c>
      <c r="M1734">
        <v>500</v>
      </c>
      <c r="N1734">
        <v>50000</v>
      </c>
      <c r="O1734">
        <v>11891.67656535923</v>
      </c>
      <c r="P1734">
        <v>13000</v>
      </c>
      <c r="Q1734">
        <v>2000</v>
      </c>
      <c r="R1734">
        <v>30000</v>
      </c>
      <c r="S1734">
        <v>9000</v>
      </c>
      <c r="T1734">
        <v>9000</v>
      </c>
      <c r="U1734">
        <v>9000</v>
      </c>
      <c r="V1734">
        <v>9000</v>
      </c>
      <c r="AA1734">
        <v>153</v>
      </c>
    </row>
    <row r="1735" spans="1:27">
      <c r="A1735" t="s">
        <v>206</v>
      </c>
      <c r="B1735" t="s">
        <v>235</v>
      </c>
      <c r="C1735">
        <v>10474.503367456669</v>
      </c>
      <c r="D1735">
        <v>5000</v>
      </c>
      <c r="E1735">
        <v>300</v>
      </c>
      <c r="F1735">
        <v>45000</v>
      </c>
      <c r="G1735">
        <v>4054.0109084494229</v>
      </c>
      <c r="H1735">
        <v>2000</v>
      </c>
      <c r="I1735">
        <v>300</v>
      </c>
      <c r="J1735">
        <v>10000</v>
      </c>
      <c r="K1735">
        <v>13643.80584514676</v>
      </c>
      <c r="L1735">
        <v>4000</v>
      </c>
      <c r="M1735">
        <v>300</v>
      </c>
      <c r="N1735">
        <v>150000</v>
      </c>
      <c r="O1735">
        <v>5666.0936862464632</v>
      </c>
      <c r="P1735">
        <v>4000</v>
      </c>
      <c r="Q1735">
        <v>300</v>
      </c>
      <c r="R1735">
        <v>18000</v>
      </c>
      <c r="S1735">
        <v>4192.6855362497108</v>
      </c>
      <c r="T1735">
        <v>5000</v>
      </c>
      <c r="U1735">
        <v>1500</v>
      </c>
      <c r="V1735">
        <v>8000</v>
      </c>
      <c r="AA1735">
        <v>153</v>
      </c>
    </row>
    <row r="1736" spans="1:27">
      <c r="A1736" t="s">
        <v>207</v>
      </c>
      <c r="B1736" t="s">
        <v>236</v>
      </c>
      <c r="C1736">
        <v>16747.682158646909</v>
      </c>
      <c r="D1736">
        <v>10000</v>
      </c>
      <c r="E1736">
        <v>800</v>
      </c>
      <c r="F1736">
        <v>100000</v>
      </c>
      <c r="G1736">
        <v>8394.7176228042281</v>
      </c>
      <c r="H1736">
        <v>4000</v>
      </c>
      <c r="I1736">
        <v>1500</v>
      </c>
      <c r="J1736">
        <v>30000</v>
      </c>
      <c r="K1736">
        <v>8315.3989377755934</v>
      </c>
      <c r="L1736">
        <v>5000</v>
      </c>
      <c r="M1736">
        <v>300</v>
      </c>
      <c r="N1736">
        <v>60000</v>
      </c>
      <c r="O1736">
        <v>3740.870355489491</v>
      </c>
      <c r="P1736">
        <v>1000</v>
      </c>
      <c r="Q1736">
        <v>300</v>
      </c>
      <c r="R1736">
        <v>19200</v>
      </c>
      <c r="S1736">
        <v>10700.33356658035</v>
      </c>
      <c r="T1736">
        <v>12000</v>
      </c>
      <c r="U1736">
        <v>1000</v>
      </c>
      <c r="V1736">
        <v>25000</v>
      </c>
      <c r="W1736">
        <v>5408.7735581133466</v>
      </c>
      <c r="X1736">
        <v>4000</v>
      </c>
      <c r="Y1736">
        <v>700</v>
      </c>
      <c r="Z1736">
        <v>100000</v>
      </c>
      <c r="AA1736">
        <v>153</v>
      </c>
    </row>
    <row r="1737" spans="1:27">
      <c r="A1737" t="s">
        <v>207</v>
      </c>
      <c r="B1737" t="s">
        <v>235</v>
      </c>
      <c r="C1737">
        <v>12523.028226919019</v>
      </c>
      <c r="D1737">
        <v>10000</v>
      </c>
      <c r="E1737">
        <v>4000</v>
      </c>
      <c r="F1737">
        <v>70000</v>
      </c>
      <c r="G1737">
        <v>6996.656743437914</v>
      </c>
      <c r="H1737">
        <v>5000</v>
      </c>
      <c r="I1737">
        <v>1000</v>
      </c>
      <c r="J1737">
        <v>15000</v>
      </c>
      <c r="K1737">
        <v>11746.89495637047</v>
      </c>
      <c r="L1737">
        <v>5000</v>
      </c>
      <c r="M1737">
        <v>300</v>
      </c>
      <c r="N1737">
        <v>56000</v>
      </c>
      <c r="O1737">
        <v>10919.261139067419</v>
      </c>
      <c r="P1737">
        <v>6000</v>
      </c>
      <c r="Q1737">
        <v>300</v>
      </c>
      <c r="R1737">
        <v>35000</v>
      </c>
      <c r="S1737">
        <v>5175.5419345361906</v>
      </c>
      <c r="T1737">
        <v>7000</v>
      </c>
      <c r="U1737">
        <v>2000</v>
      </c>
      <c r="V1737">
        <v>20000</v>
      </c>
      <c r="W1737">
        <v>4238.9955269577858</v>
      </c>
      <c r="X1737">
        <v>6000</v>
      </c>
      <c r="Y1737">
        <v>400</v>
      </c>
      <c r="Z1737">
        <v>8000</v>
      </c>
      <c r="AA1737">
        <v>153</v>
      </c>
    </row>
    <row r="1738" spans="1:27">
      <c r="A1738" t="s">
        <v>208</v>
      </c>
      <c r="B1738" t="s">
        <v>236</v>
      </c>
      <c r="C1738">
        <v>9000</v>
      </c>
      <c r="D1738">
        <v>20000</v>
      </c>
      <c r="E1738">
        <v>1000</v>
      </c>
      <c r="F1738">
        <v>20000</v>
      </c>
      <c r="G1738">
        <v>4099.9999999999991</v>
      </c>
      <c r="H1738">
        <v>5000</v>
      </c>
      <c r="I1738">
        <v>1500</v>
      </c>
      <c r="J1738">
        <v>6000</v>
      </c>
      <c r="K1738">
        <v>10275</v>
      </c>
      <c r="L1738">
        <v>8000</v>
      </c>
      <c r="M1738">
        <v>500</v>
      </c>
      <c r="N1738">
        <v>30000</v>
      </c>
      <c r="O1738">
        <v>4166.666666666667</v>
      </c>
      <c r="P1738">
        <v>11000</v>
      </c>
      <c r="Q1738">
        <v>500</v>
      </c>
      <c r="R1738">
        <v>11000</v>
      </c>
      <c r="W1738">
        <v>1200</v>
      </c>
      <c r="X1738">
        <v>1200</v>
      </c>
      <c r="Y1738">
        <v>1200</v>
      </c>
      <c r="Z1738">
        <v>1200</v>
      </c>
      <c r="AA1738">
        <v>153</v>
      </c>
    </row>
    <row r="1739" spans="1:27">
      <c r="A1739" t="s">
        <v>208</v>
      </c>
      <c r="B1739" t="s">
        <v>235</v>
      </c>
      <c r="C1739">
        <v>3400</v>
      </c>
      <c r="D1739">
        <v>5000</v>
      </c>
      <c r="E1739">
        <v>1000</v>
      </c>
      <c r="F1739">
        <v>7000</v>
      </c>
      <c r="G1739">
        <v>6837.4999999999991</v>
      </c>
      <c r="H1739">
        <v>4000</v>
      </c>
      <c r="I1739">
        <v>700</v>
      </c>
      <c r="J1739">
        <v>30000</v>
      </c>
      <c r="K1739">
        <v>6980.8510638297848</v>
      </c>
      <c r="L1739">
        <v>5500</v>
      </c>
      <c r="M1739">
        <v>800</v>
      </c>
      <c r="N1739">
        <v>31000</v>
      </c>
      <c r="O1739">
        <v>10566.66666666667</v>
      </c>
      <c r="P1739">
        <v>10000</v>
      </c>
      <c r="Q1739">
        <v>300</v>
      </c>
      <c r="R1739">
        <v>30000</v>
      </c>
      <c r="S1739">
        <v>17450</v>
      </c>
      <c r="T1739">
        <v>2000</v>
      </c>
      <c r="U1739">
        <v>1800</v>
      </c>
      <c r="V1739">
        <v>60000</v>
      </c>
      <c r="W1739">
        <v>10340</v>
      </c>
      <c r="X1739">
        <v>1800</v>
      </c>
      <c r="Y1739">
        <v>400</v>
      </c>
      <c r="Z1739">
        <v>48000</v>
      </c>
      <c r="AA1739">
        <v>153</v>
      </c>
    </row>
    <row r="1740" spans="1:27">
      <c r="A1740" t="s">
        <v>210</v>
      </c>
      <c r="B1740" t="s">
        <v>236</v>
      </c>
      <c r="C1740">
        <v>9400.0000000000018</v>
      </c>
      <c r="D1740">
        <v>12000</v>
      </c>
      <c r="E1740">
        <v>1000</v>
      </c>
      <c r="F1740">
        <v>20000</v>
      </c>
      <c r="G1740">
        <v>10045.174405497621</v>
      </c>
      <c r="H1740">
        <v>10000</v>
      </c>
      <c r="I1740">
        <v>500</v>
      </c>
      <c r="J1740">
        <v>20000</v>
      </c>
      <c r="K1740">
        <v>12707.745320844429</v>
      </c>
      <c r="L1740">
        <v>6000</v>
      </c>
      <c r="M1740">
        <v>100</v>
      </c>
      <c r="N1740">
        <v>100000</v>
      </c>
      <c r="O1740">
        <v>2250</v>
      </c>
      <c r="P1740">
        <v>500</v>
      </c>
      <c r="Q1740">
        <v>500</v>
      </c>
      <c r="R1740">
        <v>4000</v>
      </c>
      <c r="S1740">
        <v>12581.624754768111</v>
      </c>
      <c r="T1740">
        <v>20000</v>
      </c>
      <c r="U1740">
        <v>2300</v>
      </c>
      <c r="V1740">
        <v>20000</v>
      </c>
      <c r="W1740">
        <v>6666.6666666666661</v>
      </c>
      <c r="X1740">
        <v>10000</v>
      </c>
      <c r="Y1740">
        <v>5000</v>
      </c>
      <c r="Z1740">
        <v>10000</v>
      </c>
      <c r="AA1740">
        <v>153</v>
      </c>
    </row>
    <row r="1741" spans="1:27">
      <c r="A1741" t="s">
        <v>210</v>
      </c>
      <c r="B1741" t="s">
        <v>235</v>
      </c>
      <c r="C1741">
        <v>46500</v>
      </c>
      <c r="D1741">
        <v>14000</v>
      </c>
      <c r="E1741">
        <v>2000</v>
      </c>
      <c r="F1741">
        <v>200000</v>
      </c>
      <c r="G1741">
        <v>6530</v>
      </c>
      <c r="H1741">
        <v>5000</v>
      </c>
      <c r="I1741">
        <v>1000</v>
      </c>
      <c r="J1741">
        <v>24000</v>
      </c>
      <c r="K1741">
        <v>8357.3333333333339</v>
      </c>
      <c r="L1741">
        <v>5000</v>
      </c>
      <c r="M1741">
        <v>1000</v>
      </c>
      <c r="N1741">
        <v>35000</v>
      </c>
      <c r="O1741">
        <v>18000</v>
      </c>
      <c r="P1741">
        <v>18000</v>
      </c>
      <c r="Q1741">
        <v>18000</v>
      </c>
      <c r="R1741">
        <v>18000</v>
      </c>
      <c r="S1741">
        <v>17247.935948582039</v>
      </c>
      <c r="T1741">
        <v>30000</v>
      </c>
      <c r="U1741">
        <v>4000</v>
      </c>
      <c r="V1741">
        <v>30000</v>
      </c>
      <c r="W1741">
        <v>18500</v>
      </c>
      <c r="X1741">
        <v>7000</v>
      </c>
      <c r="Y1741">
        <v>7000</v>
      </c>
      <c r="Z1741">
        <v>30000</v>
      </c>
      <c r="AA1741">
        <v>153</v>
      </c>
    </row>
    <row r="1742" spans="1:27">
      <c r="A1742" t="s">
        <v>211</v>
      </c>
      <c r="B1742" t="s">
        <v>236</v>
      </c>
      <c r="C1742">
        <v>9814.0910394953553</v>
      </c>
      <c r="D1742">
        <v>10000</v>
      </c>
      <c r="E1742">
        <v>1800</v>
      </c>
      <c r="F1742">
        <v>40000</v>
      </c>
      <c r="G1742">
        <v>6344.4506122440634</v>
      </c>
      <c r="H1742">
        <v>3000</v>
      </c>
      <c r="I1742">
        <v>1000</v>
      </c>
      <c r="J1742">
        <v>22000</v>
      </c>
      <c r="K1742">
        <v>7024.2389912528652</v>
      </c>
      <c r="L1742">
        <v>5000</v>
      </c>
      <c r="M1742">
        <v>400</v>
      </c>
      <c r="N1742">
        <v>24000</v>
      </c>
      <c r="O1742">
        <v>1691.3375988417311</v>
      </c>
      <c r="P1742">
        <v>3000</v>
      </c>
      <c r="Q1742">
        <v>400</v>
      </c>
      <c r="R1742">
        <v>3000</v>
      </c>
      <c r="S1742">
        <v>9194.7255169743767</v>
      </c>
      <c r="T1742">
        <v>6000</v>
      </c>
      <c r="U1742">
        <v>3000</v>
      </c>
      <c r="V1742">
        <v>30000</v>
      </c>
      <c r="W1742">
        <v>19000</v>
      </c>
      <c r="X1742">
        <v>19000</v>
      </c>
      <c r="Y1742">
        <v>19000</v>
      </c>
      <c r="Z1742">
        <v>19000</v>
      </c>
      <c r="AA1742">
        <v>153</v>
      </c>
    </row>
    <row r="1743" spans="1:27">
      <c r="A1743" t="s">
        <v>211</v>
      </c>
      <c r="B1743" t="s">
        <v>235</v>
      </c>
      <c r="C1743">
        <v>66250</v>
      </c>
      <c r="D1743">
        <v>4000</v>
      </c>
      <c r="E1743">
        <v>1000</v>
      </c>
      <c r="F1743">
        <v>200000</v>
      </c>
      <c r="G1743">
        <v>8861.3332690867974</v>
      </c>
      <c r="H1743">
        <v>6500</v>
      </c>
      <c r="I1743">
        <v>1000</v>
      </c>
      <c r="J1743">
        <v>30000</v>
      </c>
      <c r="K1743">
        <v>14778.636940013501</v>
      </c>
      <c r="L1743">
        <v>5000</v>
      </c>
      <c r="M1743">
        <v>300</v>
      </c>
      <c r="N1743">
        <v>320000</v>
      </c>
      <c r="O1743">
        <v>5814.1547113926536</v>
      </c>
      <c r="P1743">
        <v>4000</v>
      </c>
      <c r="Q1743">
        <v>200</v>
      </c>
      <c r="R1743">
        <v>20000</v>
      </c>
      <c r="S1743">
        <v>14706.68376364194</v>
      </c>
      <c r="T1743">
        <v>20000</v>
      </c>
      <c r="U1743">
        <v>3000</v>
      </c>
      <c r="V1743">
        <v>35000</v>
      </c>
      <c r="W1743">
        <v>4800</v>
      </c>
      <c r="X1743">
        <v>4800</v>
      </c>
      <c r="Y1743">
        <v>4800</v>
      </c>
      <c r="Z1743">
        <v>4800</v>
      </c>
      <c r="AA1743">
        <v>153</v>
      </c>
    </row>
    <row r="1744" spans="1:27">
      <c r="A1744" t="s">
        <v>212</v>
      </c>
      <c r="B1744" t="s">
        <v>236</v>
      </c>
      <c r="C1744">
        <v>369.51816511150668</v>
      </c>
      <c r="D1744">
        <v>250</v>
      </c>
      <c r="E1744">
        <v>250</v>
      </c>
      <c r="F1744">
        <v>600</v>
      </c>
      <c r="G1744">
        <v>6875.8132216549129</v>
      </c>
      <c r="H1744">
        <v>8000</v>
      </c>
      <c r="I1744">
        <v>2000</v>
      </c>
      <c r="J1744">
        <v>12000</v>
      </c>
      <c r="K1744">
        <v>8381.5193030561859</v>
      </c>
      <c r="L1744">
        <v>6000</v>
      </c>
      <c r="M1744">
        <v>1200</v>
      </c>
      <c r="N1744">
        <v>20000</v>
      </c>
      <c r="O1744">
        <v>5441.617293778253</v>
      </c>
      <c r="P1744">
        <v>10800</v>
      </c>
      <c r="Q1744">
        <v>200</v>
      </c>
      <c r="R1744">
        <v>12000</v>
      </c>
      <c r="S1744">
        <v>6000</v>
      </c>
      <c r="T1744">
        <v>6000</v>
      </c>
      <c r="U1744">
        <v>6000</v>
      </c>
      <c r="V1744">
        <v>6000</v>
      </c>
      <c r="AA1744">
        <v>153</v>
      </c>
    </row>
    <row r="1745" spans="1:27">
      <c r="A1745" t="s">
        <v>212</v>
      </c>
      <c r="B1745" t="s">
        <v>235</v>
      </c>
      <c r="C1745">
        <v>8741.6932174083377</v>
      </c>
      <c r="D1745">
        <v>11000</v>
      </c>
      <c r="E1745">
        <v>700</v>
      </c>
      <c r="F1745">
        <v>18900</v>
      </c>
      <c r="G1745">
        <v>8264.8033620185161</v>
      </c>
      <c r="H1745">
        <v>6000</v>
      </c>
      <c r="I1745">
        <v>300</v>
      </c>
      <c r="J1745">
        <v>60000</v>
      </c>
      <c r="K1745">
        <v>11222.40559189198</v>
      </c>
      <c r="L1745">
        <v>6000</v>
      </c>
      <c r="M1745">
        <v>400</v>
      </c>
      <c r="N1745">
        <v>60000</v>
      </c>
      <c r="O1745">
        <v>8653.2219244481512</v>
      </c>
      <c r="P1745">
        <v>5000</v>
      </c>
      <c r="Q1745">
        <v>1000</v>
      </c>
      <c r="R1745">
        <v>48000</v>
      </c>
      <c r="S1745">
        <v>6342.8509365966747</v>
      </c>
      <c r="T1745">
        <v>9000</v>
      </c>
      <c r="U1745">
        <v>2000</v>
      </c>
      <c r="V1745">
        <v>15000</v>
      </c>
      <c r="W1745">
        <v>2800</v>
      </c>
      <c r="X1745">
        <v>2000</v>
      </c>
      <c r="Y1745">
        <v>2000</v>
      </c>
      <c r="Z1745">
        <v>3600</v>
      </c>
      <c r="AA1745">
        <v>153</v>
      </c>
    </row>
    <row r="1747" spans="1:27">
      <c r="A1747" t="s">
        <v>530</v>
      </c>
    </row>
    <row r="1748" spans="1:27">
      <c r="A1748" t="s">
        <v>189</v>
      </c>
      <c r="B1748" t="s">
        <v>190</v>
      </c>
      <c r="C1748" t="s">
        <v>191</v>
      </c>
      <c r="D1748" t="s">
        <v>192</v>
      </c>
      <c r="E1748" t="s">
        <v>193</v>
      </c>
      <c r="F1748" t="s">
        <v>194</v>
      </c>
      <c r="G1748" t="s">
        <v>195</v>
      </c>
      <c r="H1748" t="s">
        <v>196</v>
      </c>
    </row>
    <row r="1749" spans="1:27">
      <c r="A1749" t="s">
        <v>197</v>
      </c>
      <c r="B1749" t="s">
        <v>198</v>
      </c>
      <c r="C1749">
        <v>7451.6955414082622</v>
      </c>
      <c r="D1749">
        <v>6427.7777777777801</v>
      </c>
      <c r="E1749">
        <v>25</v>
      </c>
      <c r="F1749">
        <v>62783.333333333299</v>
      </c>
      <c r="G1749">
        <v>949</v>
      </c>
      <c r="H1749">
        <v>949</v>
      </c>
    </row>
    <row r="1750" spans="1:27">
      <c r="A1750" t="s">
        <v>199</v>
      </c>
      <c r="B1750" t="s">
        <v>200</v>
      </c>
      <c r="C1750">
        <v>5088.5117394102626</v>
      </c>
      <c r="D1750">
        <v>4583.3333333333303</v>
      </c>
      <c r="E1750">
        <v>350</v>
      </c>
      <c r="F1750">
        <v>14100</v>
      </c>
      <c r="G1750">
        <v>73</v>
      </c>
      <c r="H1750">
        <v>949</v>
      </c>
    </row>
    <row r="1751" spans="1:27">
      <c r="A1751" t="s">
        <v>199</v>
      </c>
      <c r="B1751" t="s">
        <v>201</v>
      </c>
      <c r="C1751">
        <v>9711.9521437198</v>
      </c>
      <c r="D1751">
        <v>7847.2222222222199</v>
      </c>
      <c r="E1751">
        <v>1700</v>
      </c>
      <c r="F1751">
        <v>62783.333333333299</v>
      </c>
      <c r="G1751">
        <v>92</v>
      </c>
      <c r="H1751">
        <v>949</v>
      </c>
    </row>
    <row r="1752" spans="1:27">
      <c r="A1752" t="s">
        <v>199</v>
      </c>
      <c r="B1752" t="s">
        <v>202</v>
      </c>
      <c r="C1752">
        <v>8739.7787951292667</v>
      </c>
      <c r="D1752">
        <v>7433.3333333333303</v>
      </c>
      <c r="E1752">
        <v>883.33333333333303</v>
      </c>
      <c r="F1752">
        <v>35275</v>
      </c>
      <c r="G1752">
        <v>98</v>
      </c>
      <c r="H1752">
        <v>949</v>
      </c>
    </row>
    <row r="1753" spans="1:27">
      <c r="A1753" t="s">
        <v>199</v>
      </c>
      <c r="B1753" t="s">
        <v>203</v>
      </c>
      <c r="C1753">
        <v>5123.5912680543006</v>
      </c>
      <c r="D1753">
        <v>4400</v>
      </c>
      <c r="E1753">
        <v>675</v>
      </c>
      <c r="F1753">
        <v>15777.777777777799</v>
      </c>
      <c r="G1753">
        <v>74</v>
      </c>
      <c r="H1753">
        <v>949</v>
      </c>
    </row>
    <row r="1754" spans="1:27">
      <c r="A1754" t="s">
        <v>204</v>
      </c>
      <c r="B1754" t="s">
        <v>205</v>
      </c>
      <c r="C1754">
        <v>7413.3961186160586</v>
      </c>
      <c r="D1754">
        <v>6750</v>
      </c>
      <c r="E1754">
        <v>1008</v>
      </c>
      <c r="F1754">
        <v>21785.833333333299</v>
      </c>
      <c r="G1754">
        <v>90</v>
      </c>
      <c r="H1754">
        <v>949</v>
      </c>
    </row>
    <row r="1755" spans="1:27">
      <c r="A1755" t="s">
        <v>204</v>
      </c>
      <c r="B1755" t="s">
        <v>206</v>
      </c>
      <c r="C1755">
        <v>5468.6459641699621</v>
      </c>
      <c r="D1755">
        <v>4600</v>
      </c>
      <c r="E1755">
        <v>170</v>
      </c>
      <c r="F1755">
        <v>28380</v>
      </c>
      <c r="G1755">
        <v>71</v>
      </c>
      <c r="H1755">
        <v>949</v>
      </c>
    </row>
    <row r="1756" spans="1:27">
      <c r="A1756" t="s">
        <v>204</v>
      </c>
      <c r="B1756" t="s">
        <v>207</v>
      </c>
      <c r="C1756">
        <v>6020.1219139980958</v>
      </c>
      <c r="D1756">
        <v>6755.5555555555602</v>
      </c>
      <c r="E1756">
        <v>115</v>
      </c>
      <c r="F1756">
        <v>24570</v>
      </c>
      <c r="G1756">
        <v>129</v>
      </c>
      <c r="H1756">
        <v>949</v>
      </c>
    </row>
    <row r="1757" spans="1:27">
      <c r="A1757" t="s">
        <v>204</v>
      </c>
      <c r="B1757" t="s">
        <v>208</v>
      </c>
      <c r="C1757">
        <v>6014.3512720156559</v>
      </c>
      <c r="D1757">
        <v>5487.5</v>
      </c>
      <c r="E1757">
        <v>650</v>
      </c>
      <c r="F1757">
        <v>18436.666666666701</v>
      </c>
      <c r="G1757">
        <v>73</v>
      </c>
      <c r="H1757">
        <v>949</v>
      </c>
    </row>
    <row r="1758" spans="1:27">
      <c r="A1758" t="s">
        <v>209</v>
      </c>
      <c r="B1758" t="s">
        <v>210</v>
      </c>
      <c r="C1758">
        <v>4993.0471856191216</v>
      </c>
      <c r="D1758">
        <v>4016.6666666666702</v>
      </c>
      <c r="E1758">
        <v>25</v>
      </c>
      <c r="F1758">
        <v>17591.666666666701</v>
      </c>
      <c r="G1758">
        <v>70</v>
      </c>
      <c r="H1758">
        <v>949</v>
      </c>
    </row>
    <row r="1759" spans="1:27">
      <c r="A1759" t="s">
        <v>209</v>
      </c>
      <c r="B1759" t="s">
        <v>211</v>
      </c>
      <c r="C1759">
        <v>5166.6944926875067</v>
      </c>
      <c r="D1759">
        <v>4250</v>
      </c>
      <c r="E1759">
        <v>100</v>
      </c>
      <c r="F1759">
        <v>22497.222222222201</v>
      </c>
      <c r="G1759">
        <v>95</v>
      </c>
      <c r="H1759">
        <v>949</v>
      </c>
    </row>
    <row r="1760" spans="1:27">
      <c r="A1760" t="s">
        <v>209</v>
      </c>
      <c r="B1760" t="s">
        <v>212</v>
      </c>
      <c r="C1760">
        <v>7470.7755916635106</v>
      </c>
      <c r="D1760">
        <v>6120.8333333333303</v>
      </c>
      <c r="E1760">
        <v>250</v>
      </c>
      <c r="F1760">
        <v>27466.666666666701</v>
      </c>
      <c r="G1760">
        <v>84</v>
      </c>
      <c r="H1760">
        <v>949</v>
      </c>
    </row>
    <row r="1762" spans="1:9">
      <c r="A1762" t="s">
        <v>531</v>
      </c>
    </row>
    <row r="1763" spans="1:9">
      <c r="A1763" t="s">
        <v>189</v>
      </c>
      <c r="B1763" t="s">
        <v>190</v>
      </c>
      <c r="C1763" t="s">
        <v>214</v>
      </c>
      <c r="D1763" t="s">
        <v>191</v>
      </c>
      <c r="E1763" t="s">
        <v>192</v>
      </c>
      <c r="F1763" t="s">
        <v>193</v>
      </c>
      <c r="G1763" t="s">
        <v>194</v>
      </c>
      <c r="H1763" t="s">
        <v>195</v>
      </c>
      <c r="I1763" t="s">
        <v>196</v>
      </c>
    </row>
    <row r="1764" spans="1:9">
      <c r="A1764" t="s">
        <v>197</v>
      </c>
      <c r="B1764" t="s">
        <v>198</v>
      </c>
      <c r="C1764" t="s">
        <v>198</v>
      </c>
      <c r="D1764">
        <v>7451.6955414082622</v>
      </c>
      <c r="E1764">
        <v>6427.7777777777801</v>
      </c>
      <c r="F1764">
        <v>25</v>
      </c>
      <c r="G1764">
        <v>62783.333333333299</v>
      </c>
      <c r="H1764">
        <v>949</v>
      </c>
      <c r="I1764">
        <v>949</v>
      </c>
    </row>
    <row r="1765" spans="1:9" s="26" customFormat="1">
      <c r="A1765" s="26" t="s">
        <v>199</v>
      </c>
      <c r="B1765" s="26" t="s">
        <v>200</v>
      </c>
      <c r="C1765" s="26" t="s">
        <v>236</v>
      </c>
      <c r="D1765" s="26">
        <v>3836.5992863804208</v>
      </c>
      <c r="E1765" s="26">
        <v>4422.2222222222199</v>
      </c>
      <c r="F1765" s="26">
        <v>350</v>
      </c>
      <c r="G1765" s="26">
        <v>9900</v>
      </c>
      <c r="H1765" s="26">
        <v>24</v>
      </c>
      <c r="I1765" s="26">
        <v>949</v>
      </c>
    </row>
    <row r="1766" spans="1:9">
      <c r="A1766" t="s">
        <v>199</v>
      </c>
      <c r="B1766" t="s">
        <v>200</v>
      </c>
      <c r="C1766" t="s">
        <v>235</v>
      </c>
      <c r="D1766">
        <v>6200.2462810706375</v>
      </c>
      <c r="E1766">
        <v>5383.3333333333303</v>
      </c>
      <c r="F1766">
        <v>440</v>
      </c>
      <c r="G1766">
        <v>14100</v>
      </c>
      <c r="H1766">
        <v>46</v>
      </c>
      <c r="I1766">
        <v>949</v>
      </c>
    </row>
    <row r="1767" spans="1:9">
      <c r="A1767" t="s">
        <v>199</v>
      </c>
      <c r="B1767" t="s">
        <v>201</v>
      </c>
      <c r="C1767" t="s">
        <v>235</v>
      </c>
      <c r="D1767">
        <v>9711.9521437198</v>
      </c>
      <c r="E1767">
        <v>7847.2222222222199</v>
      </c>
      <c r="F1767">
        <v>1700</v>
      </c>
      <c r="G1767">
        <v>62783.333333333299</v>
      </c>
      <c r="H1767">
        <v>92</v>
      </c>
      <c r="I1767">
        <v>949</v>
      </c>
    </row>
    <row r="1768" spans="1:9">
      <c r="A1768" t="s">
        <v>199</v>
      </c>
      <c r="B1768" t="s">
        <v>202</v>
      </c>
      <c r="C1768" t="s">
        <v>236</v>
      </c>
      <c r="D1768">
        <v>9071.9044616490974</v>
      </c>
      <c r="E1768">
        <v>7425</v>
      </c>
      <c r="F1768">
        <v>1666.6666666666699</v>
      </c>
      <c r="G1768">
        <v>29488.888888888901</v>
      </c>
      <c r="H1768">
        <v>37</v>
      </c>
      <c r="I1768">
        <v>949</v>
      </c>
    </row>
    <row r="1769" spans="1:9">
      <c r="A1769" t="s">
        <v>199</v>
      </c>
      <c r="B1769" t="s">
        <v>202</v>
      </c>
      <c r="C1769" t="s">
        <v>235</v>
      </c>
      <c r="D1769">
        <v>8506.3480705274123</v>
      </c>
      <c r="E1769">
        <v>7600</v>
      </c>
      <c r="F1769">
        <v>883.33333333333303</v>
      </c>
      <c r="G1769">
        <v>35275</v>
      </c>
      <c r="H1769">
        <v>60</v>
      </c>
      <c r="I1769">
        <v>949</v>
      </c>
    </row>
    <row r="1770" spans="1:9">
      <c r="A1770" t="s">
        <v>199</v>
      </c>
      <c r="B1770" t="s">
        <v>203</v>
      </c>
      <c r="C1770" t="s">
        <v>236</v>
      </c>
      <c r="D1770">
        <v>3515.0486542426129</v>
      </c>
      <c r="E1770">
        <v>3000</v>
      </c>
      <c r="F1770">
        <v>675</v>
      </c>
      <c r="G1770">
        <v>15777.777777777799</v>
      </c>
      <c r="H1770">
        <v>31</v>
      </c>
      <c r="I1770">
        <v>949</v>
      </c>
    </row>
    <row r="1771" spans="1:9">
      <c r="A1771" t="s">
        <v>199</v>
      </c>
      <c r="B1771" t="s">
        <v>203</v>
      </c>
      <c r="C1771" t="s">
        <v>235</v>
      </c>
      <c r="D1771">
        <v>5947.3502952378349</v>
      </c>
      <c r="E1771">
        <v>5125</v>
      </c>
      <c r="F1771">
        <v>1575.8333333333301</v>
      </c>
      <c r="G1771">
        <v>12833.333333333299</v>
      </c>
      <c r="H1771">
        <v>42</v>
      </c>
      <c r="I1771">
        <v>949</v>
      </c>
    </row>
    <row r="1772" spans="1:9">
      <c r="A1772" t="s">
        <v>204</v>
      </c>
      <c r="B1772" t="s">
        <v>205</v>
      </c>
      <c r="C1772" t="s">
        <v>236</v>
      </c>
      <c r="D1772">
        <v>7932.9564516334758</v>
      </c>
      <c r="E1772">
        <v>4445.5555555555602</v>
      </c>
      <c r="F1772">
        <v>1008</v>
      </c>
      <c r="G1772">
        <v>21785.833333333299</v>
      </c>
      <c r="H1772">
        <v>32</v>
      </c>
      <c r="I1772">
        <v>949</v>
      </c>
    </row>
    <row r="1773" spans="1:9">
      <c r="A1773" t="s">
        <v>204</v>
      </c>
      <c r="B1773" t="s">
        <v>205</v>
      </c>
      <c r="C1773" t="s">
        <v>235</v>
      </c>
      <c r="D1773">
        <v>7306.2139988921972</v>
      </c>
      <c r="E1773">
        <v>7000</v>
      </c>
      <c r="F1773">
        <v>1082</v>
      </c>
      <c r="G1773">
        <v>15283.333333333299</v>
      </c>
      <c r="H1773">
        <v>57</v>
      </c>
      <c r="I1773">
        <v>949</v>
      </c>
    </row>
    <row r="1774" spans="1:9" s="26" customFormat="1">
      <c r="A1774" s="26" t="s">
        <v>204</v>
      </c>
      <c r="B1774" s="26" t="s">
        <v>206</v>
      </c>
      <c r="C1774" s="26" t="s">
        <v>236</v>
      </c>
      <c r="D1774" s="26">
        <v>4051.9345670958228</v>
      </c>
      <c r="E1774" s="26">
        <v>3666.6666666666702</v>
      </c>
      <c r="F1774" s="26">
        <v>291.66666666666703</v>
      </c>
      <c r="G1774" s="26">
        <v>11916.666666666701</v>
      </c>
      <c r="H1774" s="26">
        <v>21</v>
      </c>
      <c r="I1774" s="26">
        <v>949</v>
      </c>
    </row>
    <row r="1775" spans="1:9">
      <c r="A1775" t="s">
        <v>204</v>
      </c>
      <c r="B1775" t="s">
        <v>206</v>
      </c>
      <c r="C1775" t="s">
        <v>235</v>
      </c>
      <c r="D1775">
        <v>6216.3425353892617</v>
      </c>
      <c r="E1775">
        <v>5079.1666666666697</v>
      </c>
      <c r="F1775">
        <v>500</v>
      </c>
      <c r="G1775">
        <v>28380</v>
      </c>
      <c r="H1775">
        <v>46</v>
      </c>
      <c r="I1775">
        <v>949</v>
      </c>
    </row>
    <row r="1776" spans="1:9">
      <c r="A1776" t="s">
        <v>204</v>
      </c>
      <c r="B1776" t="s">
        <v>207</v>
      </c>
      <c r="C1776" t="s">
        <v>236</v>
      </c>
      <c r="D1776">
        <v>5998.4327865347304</v>
      </c>
      <c r="E1776">
        <v>7266.6666666666697</v>
      </c>
      <c r="F1776">
        <v>400</v>
      </c>
      <c r="G1776">
        <v>24570</v>
      </c>
      <c r="H1776">
        <v>79</v>
      </c>
      <c r="I1776">
        <v>949</v>
      </c>
    </row>
    <row r="1777" spans="1:9">
      <c r="A1777" t="s">
        <v>204</v>
      </c>
      <c r="B1777" t="s">
        <v>207</v>
      </c>
      <c r="C1777" t="s">
        <v>235</v>
      </c>
      <c r="D1777">
        <v>6105.3144254154022</v>
      </c>
      <c r="E1777">
        <v>6800</v>
      </c>
      <c r="F1777">
        <v>115</v>
      </c>
      <c r="G1777">
        <v>19506.666666666701</v>
      </c>
      <c r="H1777">
        <v>45</v>
      </c>
      <c r="I1777">
        <v>949</v>
      </c>
    </row>
    <row r="1778" spans="1:9" s="26" customFormat="1">
      <c r="A1778" s="26" t="s">
        <v>204</v>
      </c>
      <c r="B1778" s="26" t="s">
        <v>208</v>
      </c>
      <c r="C1778" s="26" t="s">
        <v>236</v>
      </c>
      <c r="D1778" s="26">
        <v>3856.1363636363621</v>
      </c>
      <c r="E1778" s="26">
        <v>4158.3333333333303</v>
      </c>
      <c r="F1778" s="26">
        <v>983.33333333333303</v>
      </c>
      <c r="G1778" s="26">
        <v>7333.3333333333303</v>
      </c>
      <c r="H1778" s="26">
        <v>11</v>
      </c>
      <c r="I1778" s="26">
        <v>949</v>
      </c>
    </row>
    <row r="1779" spans="1:9">
      <c r="A1779" t="s">
        <v>204</v>
      </c>
      <c r="B1779" t="s">
        <v>208</v>
      </c>
      <c r="C1779" t="s">
        <v>235</v>
      </c>
      <c r="D1779">
        <v>6397.2603686635957</v>
      </c>
      <c r="E1779">
        <v>5925</v>
      </c>
      <c r="F1779">
        <v>650</v>
      </c>
      <c r="G1779">
        <v>18436.666666666701</v>
      </c>
      <c r="H1779">
        <v>62</v>
      </c>
      <c r="I1779">
        <v>949</v>
      </c>
    </row>
    <row r="1780" spans="1:9">
      <c r="A1780" t="s">
        <v>209</v>
      </c>
      <c r="B1780" t="s">
        <v>210</v>
      </c>
      <c r="C1780" t="s">
        <v>236</v>
      </c>
      <c r="D1780">
        <v>3705.4864191817751</v>
      </c>
      <c r="E1780">
        <v>3250</v>
      </c>
      <c r="F1780">
        <v>250</v>
      </c>
      <c r="G1780">
        <v>13383.333333333299</v>
      </c>
      <c r="H1780">
        <v>37</v>
      </c>
      <c r="I1780">
        <v>949</v>
      </c>
    </row>
    <row r="1781" spans="1:9">
      <c r="A1781" t="s">
        <v>209</v>
      </c>
      <c r="B1781" t="s">
        <v>210</v>
      </c>
      <c r="C1781" t="s">
        <v>235</v>
      </c>
      <c r="D1781">
        <v>6213.7923846110716</v>
      </c>
      <c r="E1781">
        <v>4858.3333333333303</v>
      </c>
      <c r="F1781">
        <v>25</v>
      </c>
      <c r="G1781">
        <v>17591.666666666701</v>
      </c>
      <c r="H1781">
        <v>30</v>
      </c>
      <c r="I1781">
        <v>949</v>
      </c>
    </row>
    <row r="1782" spans="1:9">
      <c r="A1782" t="s">
        <v>209</v>
      </c>
      <c r="B1782" t="s">
        <v>211</v>
      </c>
      <c r="C1782" t="s">
        <v>236</v>
      </c>
      <c r="D1782">
        <v>4118.8252161451392</v>
      </c>
      <c r="E1782">
        <v>3733.3333333333298</v>
      </c>
      <c r="F1782">
        <v>100</v>
      </c>
      <c r="G1782">
        <v>14888.8888888889</v>
      </c>
      <c r="H1782">
        <v>39</v>
      </c>
      <c r="I1782">
        <v>949</v>
      </c>
    </row>
    <row r="1783" spans="1:9">
      <c r="A1783" t="s">
        <v>209</v>
      </c>
      <c r="B1783" t="s">
        <v>211</v>
      </c>
      <c r="C1783" t="s">
        <v>235</v>
      </c>
      <c r="D1783">
        <v>5832.3564354916398</v>
      </c>
      <c r="E1783">
        <v>5143.6666666666697</v>
      </c>
      <c r="F1783">
        <v>458.33333333333297</v>
      </c>
      <c r="G1783">
        <v>22497.222222222201</v>
      </c>
      <c r="H1783">
        <v>54</v>
      </c>
      <c r="I1783">
        <v>949</v>
      </c>
    </row>
    <row r="1784" spans="1:9" s="26" customFormat="1">
      <c r="A1784" s="26" t="s">
        <v>209</v>
      </c>
      <c r="B1784" s="26" t="s">
        <v>212</v>
      </c>
      <c r="C1784" s="26" t="s">
        <v>236</v>
      </c>
      <c r="D1784" s="26">
        <v>5438.5511860063534</v>
      </c>
      <c r="E1784" s="26">
        <v>4994.4444444444398</v>
      </c>
      <c r="F1784" s="26">
        <v>944.81481481481501</v>
      </c>
      <c r="G1784" s="26">
        <v>13670.833333333299</v>
      </c>
      <c r="H1784" s="26">
        <v>18</v>
      </c>
      <c r="I1784" s="26">
        <v>949</v>
      </c>
    </row>
    <row r="1785" spans="1:9">
      <c r="A1785" t="s">
        <v>209</v>
      </c>
      <c r="B1785" t="s">
        <v>212</v>
      </c>
      <c r="C1785" t="s">
        <v>235</v>
      </c>
      <c r="D1785">
        <v>7801.5003879978649</v>
      </c>
      <c r="E1785">
        <v>6600</v>
      </c>
      <c r="F1785">
        <v>250</v>
      </c>
      <c r="G1785">
        <v>27466.666666666701</v>
      </c>
      <c r="H1785">
        <v>66</v>
      </c>
      <c r="I1785">
        <v>949</v>
      </c>
    </row>
    <row r="1787" spans="1:9">
      <c r="A1787" t="s">
        <v>532</v>
      </c>
    </row>
    <row r="1788" spans="1:9">
      <c r="A1788" t="s">
        <v>189</v>
      </c>
      <c r="B1788" t="s">
        <v>190</v>
      </c>
      <c r="C1788" t="s">
        <v>191</v>
      </c>
      <c r="D1788" t="s">
        <v>192</v>
      </c>
      <c r="E1788" t="s">
        <v>193</v>
      </c>
      <c r="F1788" t="s">
        <v>194</v>
      </c>
      <c r="G1788" t="s">
        <v>195</v>
      </c>
      <c r="H1788" t="s">
        <v>196</v>
      </c>
    </row>
    <row r="1789" spans="1:9">
      <c r="A1789" t="s">
        <v>197</v>
      </c>
      <c r="B1789" t="s">
        <v>198</v>
      </c>
      <c r="C1789">
        <v>19269.695027371679</v>
      </c>
      <c r="D1789">
        <v>15466.666666666701</v>
      </c>
      <c r="E1789">
        <v>50</v>
      </c>
      <c r="F1789">
        <v>119833.33333333299</v>
      </c>
      <c r="G1789">
        <v>949</v>
      </c>
      <c r="H1789">
        <v>949</v>
      </c>
    </row>
    <row r="1790" spans="1:9">
      <c r="A1790" t="s">
        <v>199</v>
      </c>
      <c r="B1790" t="s">
        <v>200</v>
      </c>
      <c r="C1790">
        <v>12681.78943850131</v>
      </c>
      <c r="D1790">
        <v>12500</v>
      </c>
      <c r="E1790">
        <v>440</v>
      </c>
      <c r="F1790">
        <v>40333.333333333299</v>
      </c>
      <c r="G1790">
        <v>73</v>
      </c>
      <c r="H1790">
        <v>949</v>
      </c>
    </row>
    <row r="1791" spans="1:9">
      <c r="A1791" t="s">
        <v>199</v>
      </c>
      <c r="B1791" t="s">
        <v>201</v>
      </c>
      <c r="C1791">
        <v>25493.668478260861</v>
      </c>
      <c r="D1791">
        <v>23700</v>
      </c>
      <c r="E1791">
        <v>1700</v>
      </c>
      <c r="F1791">
        <v>115233.33333333299</v>
      </c>
      <c r="G1791">
        <v>92</v>
      </c>
      <c r="H1791">
        <v>949</v>
      </c>
    </row>
    <row r="1792" spans="1:9">
      <c r="A1792" t="s">
        <v>199</v>
      </c>
      <c r="B1792" t="s">
        <v>202</v>
      </c>
      <c r="C1792">
        <v>25810.04847615019</v>
      </c>
      <c r="D1792">
        <v>20692.333333333299</v>
      </c>
      <c r="E1792">
        <v>1766.6666666666699</v>
      </c>
      <c r="F1792">
        <v>119833.33333333299</v>
      </c>
      <c r="G1792">
        <v>98</v>
      </c>
      <c r="H1792">
        <v>949</v>
      </c>
    </row>
    <row r="1793" spans="1:9">
      <c r="A1793" t="s">
        <v>199</v>
      </c>
      <c r="B1793" t="s">
        <v>203</v>
      </c>
      <c r="C1793">
        <v>13938.05033067646</v>
      </c>
      <c r="D1793">
        <v>13166.666666666701</v>
      </c>
      <c r="E1793">
        <v>1750</v>
      </c>
      <c r="F1793">
        <v>59533.333333333299</v>
      </c>
      <c r="G1793">
        <v>74</v>
      </c>
      <c r="H1793">
        <v>949</v>
      </c>
    </row>
    <row r="1794" spans="1:9">
      <c r="A1794" t="s">
        <v>204</v>
      </c>
      <c r="B1794" t="s">
        <v>205</v>
      </c>
      <c r="C1794">
        <v>17319.00617204071</v>
      </c>
      <c r="D1794">
        <v>15266.666666666701</v>
      </c>
      <c r="E1794">
        <v>2203.3333333333298</v>
      </c>
      <c r="F1794">
        <v>43571.666666666701</v>
      </c>
      <c r="G1794">
        <v>90</v>
      </c>
      <c r="H1794">
        <v>949</v>
      </c>
    </row>
    <row r="1795" spans="1:9">
      <c r="A1795" t="s">
        <v>204</v>
      </c>
      <c r="B1795" t="s">
        <v>206</v>
      </c>
      <c r="C1795">
        <v>15258.87115233148</v>
      </c>
      <c r="D1795">
        <v>13100</v>
      </c>
      <c r="E1795">
        <v>170</v>
      </c>
      <c r="F1795">
        <v>55636.666666666701</v>
      </c>
      <c r="G1795">
        <v>71</v>
      </c>
      <c r="H1795">
        <v>949</v>
      </c>
    </row>
    <row r="1796" spans="1:9">
      <c r="A1796" t="s">
        <v>204</v>
      </c>
      <c r="B1796" t="s">
        <v>207</v>
      </c>
      <c r="C1796">
        <v>13980.12436500148</v>
      </c>
      <c r="D1796">
        <v>12250</v>
      </c>
      <c r="E1796">
        <v>230</v>
      </c>
      <c r="F1796">
        <v>66833.333333333299</v>
      </c>
      <c r="G1796">
        <v>129</v>
      </c>
      <c r="H1796">
        <v>949</v>
      </c>
    </row>
    <row r="1797" spans="1:9">
      <c r="A1797" t="s">
        <v>204</v>
      </c>
      <c r="B1797" t="s">
        <v>208</v>
      </c>
      <c r="C1797">
        <v>14451.000000000009</v>
      </c>
      <c r="D1797">
        <v>13000</v>
      </c>
      <c r="E1797">
        <v>1300</v>
      </c>
      <c r="F1797">
        <v>49826.666666666701</v>
      </c>
      <c r="G1797">
        <v>73</v>
      </c>
      <c r="H1797">
        <v>949</v>
      </c>
    </row>
    <row r="1798" spans="1:9">
      <c r="A1798" t="s">
        <v>209</v>
      </c>
      <c r="B1798" t="s">
        <v>210</v>
      </c>
      <c r="C1798">
        <v>12701.249032942031</v>
      </c>
      <c r="D1798">
        <v>10026.666666666701</v>
      </c>
      <c r="E1798">
        <v>50</v>
      </c>
      <c r="F1798">
        <v>70366.666666666701</v>
      </c>
      <c r="G1798">
        <v>70</v>
      </c>
      <c r="H1798">
        <v>949</v>
      </c>
    </row>
    <row r="1799" spans="1:9">
      <c r="A1799" t="s">
        <v>209</v>
      </c>
      <c r="B1799" t="s">
        <v>211</v>
      </c>
      <c r="C1799">
        <v>14306.17408493358</v>
      </c>
      <c r="D1799">
        <v>12700</v>
      </c>
      <c r="E1799">
        <v>500</v>
      </c>
      <c r="F1799">
        <v>67491.666666666701</v>
      </c>
      <c r="G1799">
        <v>95</v>
      </c>
      <c r="H1799">
        <v>949</v>
      </c>
    </row>
    <row r="1800" spans="1:9">
      <c r="A1800" t="s">
        <v>209</v>
      </c>
      <c r="B1800" t="s">
        <v>212</v>
      </c>
      <c r="C1800">
        <v>20110.962356289139</v>
      </c>
      <c r="D1800">
        <v>18900</v>
      </c>
      <c r="E1800">
        <v>1000</v>
      </c>
      <c r="F1800">
        <v>74808.333333333299</v>
      </c>
      <c r="G1800">
        <v>84</v>
      </c>
      <c r="H1800">
        <v>949</v>
      </c>
    </row>
    <row r="1802" spans="1:9">
      <c r="A1802" t="s">
        <v>533</v>
      </c>
    </row>
    <row r="1803" spans="1:9">
      <c r="A1803" t="s">
        <v>189</v>
      </c>
      <c r="B1803" t="s">
        <v>190</v>
      </c>
      <c r="C1803" t="s">
        <v>214</v>
      </c>
      <c r="D1803" t="s">
        <v>191</v>
      </c>
      <c r="E1803" t="s">
        <v>192</v>
      </c>
      <c r="F1803" t="s">
        <v>193</v>
      </c>
      <c r="G1803" t="s">
        <v>194</v>
      </c>
      <c r="H1803" t="s">
        <v>195</v>
      </c>
      <c r="I1803" t="s">
        <v>196</v>
      </c>
    </row>
    <row r="1804" spans="1:9">
      <c r="A1804" t="s">
        <v>197</v>
      </c>
      <c r="B1804" t="s">
        <v>198</v>
      </c>
      <c r="C1804" t="s">
        <v>198</v>
      </c>
      <c r="D1804">
        <v>19269.695027371679</v>
      </c>
      <c r="E1804">
        <v>15466.666666666701</v>
      </c>
      <c r="F1804">
        <v>50</v>
      </c>
      <c r="G1804">
        <v>119833.33333333299</v>
      </c>
      <c r="H1804">
        <v>949</v>
      </c>
      <c r="I1804">
        <v>949</v>
      </c>
    </row>
    <row r="1805" spans="1:9" s="26" customFormat="1">
      <c r="A1805" s="26" t="s">
        <v>199</v>
      </c>
      <c r="B1805" s="26" t="s">
        <v>200</v>
      </c>
      <c r="C1805" s="26" t="s">
        <v>236</v>
      </c>
      <c r="D1805" s="26">
        <v>9613.3157134624289</v>
      </c>
      <c r="E1805" s="26">
        <v>9900</v>
      </c>
      <c r="F1805" s="26">
        <v>700</v>
      </c>
      <c r="G1805" s="26">
        <v>18333.333333333299</v>
      </c>
      <c r="H1805" s="26">
        <v>24</v>
      </c>
      <c r="I1805" s="26">
        <v>949</v>
      </c>
    </row>
    <row r="1806" spans="1:9">
      <c r="A1806" t="s">
        <v>199</v>
      </c>
      <c r="B1806" t="s">
        <v>200</v>
      </c>
      <c r="C1806" t="s">
        <v>235</v>
      </c>
      <c r="D1806">
        <v>15377.010886810989</v>
      </c>
      <c r="E1806">
        <v>14316.666666666701</v>
      </c>
      <c r="F1806">
        <v>440</v>
      </c>
      <c r="G1806">
        <v>40333.333333333299</v>
      </c>
      <c r="H1806">
        <v>46</v>
      </c>
      <c r="I1806">
        <v>949</v>
      </c>
    </row>
    <row r="1807" spans="1:9">
      <c r="A1807" t="s">
        <v>199</v>
      </c>
      <c r="B1807" t="s">
        <v>201</v>
      </c>
      <c r="C1807" t="s">
        <v>235</v>
      </c>
      <c r="D1807">
        <v>25493.668478260861</v>
      </c>
      <c r="E1807">
        <v>23700</v>
      </c>
      <c r="F1807">
        <v>1700</v>
      </c>
      <c r="G1807">
        <v>115233.33333333299</v>
      </c>
      <c r="H1807">
        <v>92</v>
      </c>
      <c r="I1807">
        <v>949</v>
      </c>
    </row>
    <row r="1808" spans="1:9">
      <c r="A1808" t="s">
        <v>199</v>
      </c>
      <c r="B1808" t="s">
        <v>202</v>
      </c>
      <c r="C1808" t="s">
        <v>236</v>
      </c>
      <c r="D1808">
        <v>29084.375744061439</v>
      </c>
      <c r="E1808">
        <v>19423.333333333299</v>
      </c>
      <c r="F1808">
        <v>2700</v>
      </c>
      <c r="G1808">
        <v>119833.33333333299</v>
      </c>
      <c r="H1808">
        <v>37</v>
      </c>
      <c r="I1808">
        <v>949</v>
      </c>
    </row>
    <row r="1809" spans="1:9">
      <c r="A1809" t="s">
        <v>199</v>
      </c>
      <c r="B1809" t="s">
        <v>202</v>
      </c>
      <c r="C1809" t="s">
        <v>235</v>
      </c>
      <c r="D1809">
        <v>23660.958953089681</v>
      </c>
      <c r="E1809">
        <v>21230</v>
      </c>
      <c r="F1809">
        <v>1766.6666666666699</v>
      </c>
      <c r="G1809">
        <v>70550</v>
      </c>
      <c r="H1809">
        <v>60</v>
      </c>
      <c r="I1809">
        <v>949</v>
      </c>
    </row>
    <row r="1810" spans="1:9">
      <c r="A1810" t="s">
        <v>199</v>
      </c>
      <c r="B1810" t="s">
        <v>203</v>
      </c>
      <c r="C1810" t="s">
        <v>236</v>
      </c>
      <c r="D1810">
        <v>10645.58104129099</v>
      </c>
      <c r="E1810">
        <v>8033.3333333333303</v>
      </c>
      <c r="F1810">
        <v>2700</v>
      </c>
      <c r="G1810">
        <v>59533.333333333299</v>
      </c>
      <c r="H1810">
        <v>31</v>
      </c>
      <c r="I1810">
        <v>949</v>
      </c>
    </row>
    <row r="1811" spans="1:9">
      <c r="A1811" t="s">
        <v>199</v>
      </c>
      <c r="B1811" t="s">
        <v>203</v>
      </c>
      <c r="C1811" t="s">
        <v>235</v>
      </c>
      <c r="D1811">
        <v>15310.84757154517</v>
      </c>
      <c r="E1811">
        <v>15016.666666666701</v>
      </c>
      <c r="F1811">
        <v>1750</v>
      </c>
      <c r="G1811">
        <v>42100</v>
      </c>
      <c r="H1811">
        <v>42</v>
      </c>
      <c r="I1811">
        <v>949</v>
      </c>
    </row>
    <row r="1812" spans="1:9">
      <c r="A1812" t="s">
        <v>204</v>
      </c>
      <c r="B1812" t="s">
        <v>205</v>
      </c>
      <c r="C1812" t="s">
        <v>236</v>
      </c>
      <c r="D1812">
        <v>18651.425172490621</v>
      </c>
      <c r="E1812">
        <v>12800</v>
      </c>
      <c r="F1812">
        <v>2203.3333333333298</v>
      </c>
      <c r="G1812">
        <v>43571.666666666701</v>
      </c>
      <c r="H1812">
        <v>32</v>
      </c>
      <c r="I1812">
        <v>949</v>
      </c>
    </row>
    <row r="1813" spans="1:9">
      <c r="A1813" t="s">
        <v>204</v>
      </c>
      <c r="B1813" t="s">
        <v>205</v>
      </c>
      <c r="C1813" t="s">
        <v>235</v>
      </c>
      <c r="D1813">
        <v>17032.08310755916</v>
      </c>
      <c r="E1813">
        <v>15283.333333333299</v>
      </c>
      <c r="F1813">
        <v>2736.6666666666702</v>
      </c>
      <c r="G1813">
        <v>29500</v>
      </c>
      <c r="H1813">
        <v>57</v>
      </c>
      <c r="I1813">
        <v>949</v>
      </c>
    </row>
    <row r="1814" spans="1:9" s="26" customFormat="1">
      <c r="A1814" s="26" t="s">
        <v>204</v>
      </c>
      <c r="B1814" s="26" t="s">
        <v>206</v>
      </c>
      <c r="C1814" s="26" t="s">
        <v>236</v>
      </c>
      <c r="D1814" s="26">
        <v>13554.8041107426</v>
      </c>
      <c r="E1814" s="26">
        <v>12356.666666666701</v>
      </c>
      <c r="F1814" s="26">
        <v>583.33333333333303</v>
      </c>
      <c r="G1814" s="26">
        <v>47666.666666666701</v>
      </c>
      <c r="H1814" s="26">
        <v>21</v>
      </c>
      <c r="I1814" s="26">
        <v>949</v>
      </c>
    </row>
    <row r="1815" spans="1:9">
      <c r="A1815" t="s">
        <v>204</v>
      </c>
      <c r="B1815" t="s">
        <v>206</v>
      </c>
      <c r="C1815" t="s">
        <v>235</v>
      </c>
      <c r="D1815">
        <v>16471.329265438791</v>
      </c>
      <c r="E1815">
        <v>13850</v>
      </c>
      <c r="F1815">
        <v>1000</v>
      </c>
      <c r="G1815">
        <v>55636.666666666701</v>
      </c>
      <c r="H1815">
        <v>46</v>
      </c>
      <c r="I1815">
        <v>949</v>
      </c>
    </row>
    <row r="1816" spans="1:9">
      <c r="A1816" t="s">
        <v>204</v>
      </c>
      <c r="B1816" t="s">
        <v>207</v>
      </c>
      <c r="C1816" t="s">
        <v>236</v>
      </c>
      <c r="D1816">
        <v>13376.537051165171</v>
      </c>
      <c r="E1816">
        <v>12250</v>
      </c>
      <c r="F1816">
        <v>1600</v>
      </c>
      <c r="G1816">
        <v>66833.333333333299</v>
      </c>
      <c r="H1816">
        <v>79</v>
      </c>
      <c r="I1816">
        <v>949</v>
      </c>
    </row>
    <row r="1817" spans="1:9">
      <c r="A1817" t="s">
        <v>204</v>
      </c>
      <c r="B1817" t="s">
        <v>207</v>
      </c>
      <c r="C1817" t="s">
        <v>235</v>
      </c>
      <c r="D1817">
        <v>14551.334995656631</v>
      </c>
      <c r="E1817">
        <v>12766.666666666701</v>
      </c>
      <c r="F1817">
        <v>230</v>
      </c>
      <c r="G1817">
        <v>39013.333333333299</v>
      </c>
      <c r="H1817">
        <v>45</v>
      </c>
      <c r="I1817">
        <v>949</v>
      </c>
    </row>
    <row r="1818" spans="1:9" s="26" customFormat="1">
      <c r="A1818" s="26" t="s">
        <v>204</v>
      </c>
      <c r="B1818" s="26" t="s">
        <v>208</v>
      </c>
      <c r="C1818" s="26" t="s">
        <v>236</v>
      </c>
      <c r="D1818" s="26">
        <v>12579.09090909091</v>
      </c>
      <c r="E1818" s="26">
        <v>14766.666666666701</v>
      </c>
      <c r="F1818" s="26">
        <v>1966.6666666666699</v>
      </c>
      <c r="G1818" s="26">
        <v>26833.333333333299</v>
      </c>
      <c r="H1818" s="26">
        <v>11</v>
      </c>
      <c r="I1818" s="26">
        <v>949</v>
      </c>
    </row>
    <row r="1819" spans="1:9">
      <c r="A1819" t="s">
        <v>204</v>
      </c>
      <c r="B1819" t="s">
        <v>208</v>
      </c>
      <c r="C1819" t="s">
        <v>235</v>
      </c>
      <c r="D1819">
        <v>14783.11290322581</v>
      </c>
      <c r="E1819">
        <v>13000</v>
      </c>
      <c r="F1819">
        <v>1300</v>
      </c>
      <c r="G1819">
        <v>49826.666666666701</v>
      </c>
      <c r="H1819">
        <v>62</v>
      </c>
      <c r="I1819">
        <v>949</v>
      </c>
    </row>
    <row r="1820" spans="1:9">
      <c r="A1820" t="s">
        <v>209</v>
      </c>
      <c r="B1820" t="s">
        <v>210</v>
      </c>
      <c r="C1820" t="s">
        <v>236</v>
      </c>
      <c r="D1820">
        <v>12087.31210490492</v>
      </c>
      <c r="E1820">
        <v>9166.6666666666697</v>
      </c>
      <c r="F1820">
        <v>500</v>
      </c>
      <c r="G1820">
        <v>51666.666666666701</v>
      </c>
      <c r="H1820">
        <v>37</v>
      </c>
      <c r="I1820">
        <v>949</v>
      </c>
    </row>
    <row r="1821" spans="1:9">
      <c r="A1821" t="s">
        <v>209</v>
      </c>
      <c r="B1821" t="s">
        <v>210</v>
      </c>
      <c r="C1821" t="s">
        <v>235</v>
      </c>
      <c r="D1821">
        <v>13647.415112822649</v>
      </c>
      <c r="E1821">
        <v>11000</v>
      </c>
      <c r="F1821">
        <v>50</v>
      </c>
      <c r="G1821">
        <v>70366.666666666701</v>
      </c>
      <c r="H1821">
        <v>30</v>
      </c>
      <c r="I1821">
        <v>949</v>
      </c>
    </row>
    <row r="1822" spans="1:9">
      <c r="A1822" t="s">
        <v>209</v>
      </c>
      <c r="B1822" t="s">
        <v>211</v>
      </c>
      <c r="C1822" t="s">
        <v>236</v>
      </c>
      <c r="D1822">
        <v>10792.43097086594</v>
      </c>
      <c r="E1822">
        <v>9733.3333333333303</v>
      </c>
      <c r="F1822">
        <v>500</v>
      </c>
      <c r="G1822">
        <v>44666.666666666701</v>
      </c>
      <c r="H1822">
        <v>39</v>
      </c>
      <c r="I1822">
        <v>949</v>
      </c>
    </row>
    <row r="1823" spans="1:9">
      <c r="A1823" t="s">
        <v>209</v>
      </c>
      <c r="B1823" t="s">
        <v>211</v>
      </c>
      <c r="C1823" t="s">
        <v>235</v>
      </c>
      <c r="D1823">
        <v>16560.86034652299</v>
      </c>
      <c r="E1823">
        <v>15000</v>
      </c>
      <c r="F1823">
        <v>1833.3333333333301</v>
      </c>
      <c r="G1823">
        <v>67491.666666666701</v>
      </c>
      <c r="H1823">
        <v>54</v>
      </c>
      <c r="I1823">
        <v>949</v>
      </c>
    </row>
    <row r="1824" spans="1:9" s="26" customFormat="1">
      <c r="A1824" s="26" t="s">
        <v>209</v>
      </c>
      <c r="B1824" s="26" t="s">
        <v>212</v>
      </c>
      <c r="C1824" s="26" t="s">
        <v>236</v>
      </c>
      <c r="D1824" s="26">
        <v>15512.890663022919</v>
      </c>
      <c r="E1824" s="26">
        <v>16433.333333333299</v>
      </c>
      <c r="F1824" s="26">
        <v>2440</v>
      </c>
      <c r="G1824" s="26">
        <v>31866.666666666701</v>
      </c>
      <c r="H1824" s="26">
        <v>18</v>
      </c>
      <c r="I1824" s="26">
        <v>949</v>
      </c>
    </row>
    <row r="1825" spans="1:22">
      <c r="A1825" t="s">
        <v>209</v>
      </c>
      <c r="B1825" t="s">
        <v>212</v>
      </c>
      <c r="C1825" t="s">
        <v>235</v>
      </c>
      <c r="D1825">
        <v>20859.253893411231</v>
      </c>
      <c r="E1825">
        <v>19010</v>
      </c>
      <c r="F1825">
        <v>1000</v>
      </c>
      <c r="G1825">
        <v>74808.333333333299</v>
      </c>
      <c r="H1825">
        <v>66</v>
      </c>
      <c r="I1825">
        <v>949</v>
      </c>
    </row>
    <row r="1827" spans="1:22">
      <c r="A1827" t="s">
        <v>534</v>
      </c>
    </row>
    <row r="1828" spans="1:22">
      <c r="A1828" t="s">
        <v>189</v>
      </c>
      <c r="B1828" t="s">
        <v>195</v>
      </c>
      <c r="C1828" t="s">
        <v>190</v>
      </c>
      <c r="D1828" t="s">
        <v>196</v>
      </c>
      <c r="E1828" t="s">
        <v>535</v>
      </c>
      <c r="F1828" t="s">
        <v>536</v>
      </c>
      <c r="G1828" t="s">
        <v>228</v>
      </c>
      <c r="H1828" t="s">
        <v>537</v>
      </c>
      <c r="I1828" t="s">
        <v>538</v>
      </c>
      <c r="J1828" t="s">
        <v>539</v>
      </c>
      <c r="K1828" t="s">
        <v>540</v>
      </c>
      <c r="L1828" t="s">
        <v>541</v>
      </c>
      <c r="M1828" t="s">
        <v>542</v>
      </c>
      <c r="N1828" t="s">
        <v>543</v>
      </c>
      <c r="O1828" t="s">
        <v>276</v>
      </c>
      <c r="P1828" t="s">
        <v>278</v>
      </c>
      <c r="Q1828" t="s">
        <v>544</v>
      </c>
      <c r="R1828" t="s">
        <v>223</v>
      </c>
      <c r="S1828" t="s">
        <v>545</v>
      </c>
      <c r="T1828" t="s">
        <v>546</v>
      </c>
      <c r="U1828" t="s">
        <v>547</v>
      </c>
      <c r="V1828" t="s">
        <v>548</v>
      </c>
    </row>
    <row r="1829" spans="1:22">
      <c r="A1829" t="s">
        <v>197</v>
      </c>
      <c r="B1829">
        <v>961</v>
      </c>
      <c r="C1829" t="s">
        <v>198</v>
      </c>
      <c r="D1829">
        <v>961</v>
      </c>
      <c r="E1829" s="1">
        <v>2.8899999999999999E-2</v>
      </c>
      <c r="F1829" s="1">
        <v>0.1903</v>
      </c>
      <c r="G1829" s="1">
        <v>2.81E-2</v>
      </c>
      <c r="H1829" s="1">
        <v>0.13719999999999999</v>
      </c>
      <c r="I1829" s="1">
        <v>5.5599999999999997E-2</v>
      </c>
      <c r="J1829" s="1">
        <v>5.5899999999999998E-2</v>
      </c>
      <c r="K1829" s="1">
        <v>0.1052</v>
      </c>
      <c r="L1829" s="1">
        <v>8.3799999999999999E-2</v>
      </c>
      <c r="M1829" s="1">
        <v>0.1193</v>
      </c>
      <c r="N1829" s="1">
        <v>0.13159999999999999</v>
      </c>
      <c r="O1829" s="1">
        <v>0.4698</v>
      </c>
      <c r="P1829" s="1">
        <v>5.4000000000000003E-3</v>
      </c>
      <c r="Q1829" s="1">
        <v>8.1600000000000006E-2</v>
      </c>
      <c r="R1829" s="1">
        <v>2.8E-3</v>
      </c>
      <c r="S1829" s="1">
        <v>1.9099999999999999E-2</v>
      </c>
      <c r="T1829" s="1">
        <v>0.1421</v>
      </c>
      <c r="U1829" s="1">
        <v>1.7399999999999999E-2</v>
      </c>
      <c r="V1829" s="1">
        <v>0.1958</v>
      </c>
    </row>
    <row r="1830" spans="1:22">
      <c r="A1830" t="s">
        <v>204</v>
      </c>
      <c r="B1830">
        <v>90</v>
      </c>
      <c r="C1830" t="s">
        <v>205</v>
      </c>
      <c r="D1830">
        <v>961</v>
      </c>
      <c r="E1830" s="1">
        <v>8.6E-3</v>
      </c>
      <c r="F1830" s="1">
        <v>0.2341</v>
      </c>
      <c r="G1830" s="1">
        <v>4.2500000000000003E-2</v>
      </c>
      <c r="H1830" s="1">
        <v>0.19109999999999999</v>
      </c>
      <c r="I1830" s="1">
        <v>8.4699999999999998E-2</v>
      </c>
      <c r="J1830" s="1">
        <v>4.9599999999999998E-2</v>
      </c>
      <c r="K1830" s="1">
        <v>0.2346</v>
      </c>
      <c r="L1830" s="1">
        <v>0.1404</v>
      </c>
      <c r="M1830" s="1">
        <v>0.15759999999999999</v>
      </c>
      <c r="N1830" s="1">
        <v>0.1244</v>
      </c>
      <c r="O1830" s="1">
        <v>0.48609999999999998</v>
      </c>
      <c r="Q1830" s="1">
        <v>0.11360000000000001</v>
      </c>
      <c r="S1830" s="1">
        <v>5.7000000000000002E-3</v>
      </c>
      <c r="T1830" s="1">
        <v>8.1900000000000001E-2</v>
      </c>
      <c r="U1830" s="1">
        <v>1.7600000000000001E-2</v>
      </c>
      <c r="V1830" s="1">
        <v>0.12039999999999999</v>
      </c>
    </row>
    <row r="1831" spans="1:22">
      <c r="A1831" t="s">
        <v>204</v>
      </c>
      <c r="B1831">
        <v>72</v>
      </c>
      <c r="C1831" t="s">
        <v>206</v>
      </c>
      <c r="D1831">
        <v>961</v>
      </c>
      <c r="E1831" s="1">
        <v>3.9600000000000003E-2</v>
      </c>
      <c r="F1831" s="1">
        <v>0.12330000000000001</v>
      </c>
      <c r="G1831" s="1">
        <v>3.2500000000000001E-2</v>
      </c>
      <c r="H1831" s="1">
        <v>0.14660000000000001</v>
      </c>
      <c r="I1831" s="1">
        <v>4.4200000000000003E-2</v>
      </c>
      <c r="J1831" s="1">
        <v>0.13489999999999999</v>
      </c>
      <c r="K1831" s="1">
        <v>4.6600000000000003E-2</v>
      </c>
      <c r="L1831" s="1">
        <v>6.7500000000000004E-2</v>
      </c>
      <c r="M1831" s="1">
        <v>9.5399999999999999E-2</v>
      </c>
      <c r="N1831" s="1">
        <v>0.13950000000000001</v>
      </c>
      <c r="O1831" s="1">
        <v>0.49070000000000003</v>
      </c>
      <c r="P1831" s="1">
        <v>1.1599999999999999E-2</v>
      </c>
      <c r="Q1831" s="1">
        <v>0.107</v>
      </c>
      <c r="S1831" s="1">
        <v>1.6299999999999999E-2</v>
      </c>
      <c r="T1831" s="1">
        <v>0.14879999999999999</v>
      </c>
      <c r="V1831" s="1">
        <v>0.12330000000000001</v>
      </c>
    </row>
    <row r="1832" spans="1:22">
      <c r="A1832" t="s">
        <v>204</v>
      </c>
      <c r="B1832">
        <v>128</v>
      </c>
      <c r="C1832" t="s">
        <v>207</v>
      </c>
      <c r="D1832">
        <v>961</v>
      </c>
      <c r="E1832" s="1">
        <v>1.0500000000000001E-2</v>
      </c>
      <c r="F1832" s="1">
        <v>0.1429</v>
      </c>
      <c r="G1832" s="1">
        <v>7.0000000000000001E-3</v>
      </c>
      <c r="H1832" s="1">
        <v>5.0700000000000002E-2</v>
      </c>
      <c r="I1832" s="1">
        <v>1.66E-2</v>
      </c>
      <c r="J1832" s="1">
        <v>7.8600000000000003E-2</v>
      </c>
      <c r="K1832" s="1">
        <v>0.1138</v>
      </c>
      <c r="L1832" s="1">
        <v>2.7E-2</v>
      </c>
      <c r="M1832" s="1">
        <v>7.8700000000000006E-2</v>
      </c>
      <c r="N1832" s="1">
        <v>4.7800000000000002E-2</v>
      </c>
      <c r="O1832" s="1">
        <v>0.52200000000000002</v>
      </c>
      <c r="P1832" s="1">
        <v>2.5000000000000001E-3</v>
      </c>
      <c r="Q1832" s="1">
        <v>2.8199999999999999E-2</v>
      </c>
      <c r="S1832" s="1">
        <v>9.5999999999999992E-3</v>
      </c>
      <c r="T1832" s="1">
        <v>0.17419999999999999</v>
      </c>
      <c r="U1832" s="1">
        <v>4.3E-3</v>
      </c>
      <c r="V1832" s="1">
        <v>0.23680000000000001</v>
      </c>
    </row>
    <row r="1833" spans="1:22">
      <c r="A1833" t="s">
        <v>204</v>
      </c>
      <c r="B1833">
        <v>74</v>
      </c>
      <c r="C1833" t="s">
        <v>208</v>
      </c>
      <c r="D1833">
        <v>961</v>
      </c>
      <c r="E1833" s="1">
        <v>2.7E-2</v>
      </c>
      <c r="F1833" s="1">
        <v>0.2838</v>
      </c>
      <c r="G1833" s="1">
        <v>2.7E-2</v>
      </c>
      <c r="H1833" s="1">
        <v>0.2162</v>
      </c>
      <c r="I1833" s="1">
        <v>8.1100000000000005E-2</v>
      </c>
      <c r="J1833" s="1">
        <v>6.7599999999999993E-2</v>
      </c>
      <c r="K1833" s="1">
        <v>0.1081</v>
      </c>
      <c r="L1833" s="1">
        <v>9.4600000000000004E-2</v>
      </c>
      <c r="M1833" s="1">
        <v>0.1081</v>
      </c>
      <c r="N1833" s="1">
        <v>0.2838</v>
      </c>
      <c r="O1833" s="1">
        <v>0.31080000000000002</v>
      </c>
      <c r="Q1833" s="1">
        <v>0.1351</v>
      </c>
      <c r="S1833" s="1">
        <v>5.4100000000000002E-2</v>
      </c>
      <c r="T1833" s="1">
        <v>0.1351</v>
      </c>
      <c r="U1833" s="1">
        <v>2.7E-2</v>
      </c>
      <c r="V1833" s="1">
        <v>0.18920000000000001</v>
      </c>
    </row>
    <row r="1834" spans="1:22">
      <c r="A1834" t="s">
        <v>199</v>
      </c>
      <c r="B1834">
        <v>73</v>
      </c>
      <c r="C1834" t="s">
        <v>200</v>
      </c>
      <c r="D1834">
        <v>961</v>
      </c>
      <c r="E1834" s="1">
        <v>0.1147</v>
      </c>
      <c r="F1834" s="1">
        <v>0.37330000000000002</v>
      </c>
      <c r="G1834" s="1">
        <v>8.6800000000000002E-2</v>
      </c>
      <c r="H1834" s="1">
        <v>0.26369999999999999</v>
      </c>
      <c r="I1834" s="1">
        <v>7.9000000000000008E-3</v>
      </c>
      <c r="J1834" s="1">
        <v>0.21299999999999999</v>
      </c>
      <c r="K1834" s="1">
        <v>6.2100000000000002E-2</v>
      </c>
      <c r="L1834" s="1">
        <v>0.13200000000000001</v>
      </c>
      <c r="M1834" s="1">
        <v>0.14230000000000001</v>
      </c>
      <c r="N1834" s="1">
        <v>0.17530000000000001</v>
      </c>
      <c r="O1834" s="1">
        <v>0.27279999999999999</v>
      </c>
      <c r="P1834" s="1">
        <v>4.7000000000000002E-3</v>
      </c>
      <c r="Q1834" s="1">
        <v>0.25309999999999999</v>
      </c>
      <c r="S1834" s="1">
        <v>4.7000000000000002E-3</v>
      </c>
      <c r="T1834" s="1">
        <v>0.14729999999999999</v>
      </c>
      <c r="V1834" s="1">
        <v>0.22789999999999999</v>
      </c>
    </row>
    <row r="1835" spans="1:22">
      <c r="A1835" t="s">
        <v>199</v>
      </c>
      <c r="B1835">
        <v>95</v>
      </c>
      <c r="C1835" t="s">
        <v>201</v>
      </c>
      <c r="D1835">
        <v>961</v>
      </c>
      <c r="E1835" s="1">
        <v>5.2600000000000001E-2</v>
      </c>
      <c r="F1835" s="1">
        <v>0.16839999999999999</v>
      </c>
      <c r="G1835" s="1">
        <v>1.0500000000000001E-2</v>
      </c>
      <c r="H1835" s="1">
        <v>0.1368</v>
      </c>
      <c r="I1835" s="1">
        <v>5.2600000000000001E-2</v>
      </c>
      <c r="K1835" s="1">
        <v>4.2099999999999999E-2</v>
      </c>
      <c r="L1835" s="1">
        <v>6.3200000000000006E-2</v>
      </c>
      <c r="M1835" s="1">
        <v>0.1053</v>
      </c>
      <c r="N1835" s="1">
        <v>0.15790000000000001</v>
      </c>
      <c r="O1835" s="1">
        <v>0.50529999999999997</v>
      </c>
      <c r="Q1835" s="1">
        <v>7.3700000000000002E-2</v>
      </c>
      <c r="S1835" s="1">
        <v>2.1100000000000001E-2</v>
      </c>
      <c r="T1835" s="1">
        <v>0.1789</v>
      </c>
      <c r="U1835" s="1">
        <v>2.1100000000000001E-2</v>
      </c>
      <c r="V1835" s="1">
        <v>0.21049999999999999</v>
      </c>
    </row>
    <row r="1836" spans="1:22">
      <c r="A1836" t="s">
        <v>199</v>
      </c>
      <c r="B1836">
        <v>98</v>
      </c>
      <c r="C1836" t="s">
        <v>202</v>
      </c>
      <c r="D1836">
        <v>961</v>
      </c>
      <c r="E1836" s="1">
        <v>3.9300000000000002E-2</v>
      </c>
      <c r="F1836" s="1">
        <v>0.2024</v>
      </c>
      <c r="G1836" s="1">
        <v>1.7000000000000001E-2</v>
      </c>
      <c r="H1836" s="1">
        <v>8.3500000000000005E-2</v>
      </c>
      <c r="I1836" s="1">
        <v>2.3199999999999998E-2</v>
      </c>
      <c r="J1836" s="1">
        <v>2.69E-2</v>
      </c>
      <c r="K1836" s="1">
        <v>8.3599999999999994E-2</v>
      </c>
      <c r="L1836" s="1">
        <v>8.9800000000000005E-2</v>
      </c>
      <c r="M1836" s="1">
        <v>0.1857</v>
      </c>
      <c r="N1836" s="1">
        <v>0.19719999999999999</v>
      </c>
      <c r="O1836" s="1">
        <v>0.4889</v>
      </c>
      <c r="P1836" s="1">
        <v>1.35E-2</v>
      </c>
      <c r="Q1836" s="1">
        <v>4.8300000000000003E-2</v>
      </c>
      <c r="R1836" s="1">
        <v>1.8100000000000002E-2</v>
      </c>
      <c r="S1836" s="1">
        <v>1.35E-2</v>
      </c>
      <c r="T1836" s="1">
        <v>0.1328</v>
      </c>
      <c r="U1836" s="1">
        <v>1.35E-2</v>
      </c>
      <c r="V1836" s="1">
        <v>0.20330000000000001</v>
      </c>
    </row>
    <row r="1837" spans="1:22">
      <c r="A1837" t="s">
        <v>199</v>
      </c>
      <c r="B1837">
        <v>77</v>
      </c>
      <c r="C1837" t="s">
        <v>203</v>
      </c>
      <c r="D1837">
        <v>961</v>
      </c>
      <c r="E1837" s="1">
        <v>4.3299999999999998E-2</v>
      </c>
      <c r="F1837" s="1">
        <v>0.1822</v>
      </c>
      <c r="G1837" s="1">
        <v>6.2E-2</v>
      </c>
      <c r="H1837" s="1">
        <v>0.1777</v>
      </c>
      <c r="I1837" s="1">
        <v>0.107</v>
      </c>
      <c r="J1837" s="1">
        <v>0.14410000000000001</v>
      </c>
      <c r="K1837" s="1">
        <v>0.1103</v>
      </c>
      <c r="L1837" s="1">
        <v>0.1153</v>
      </c>
      <c r="M1837" s="1">
        <v>0.15859999999999999</v>
      </c>
      <c r="N1837" s="1">
        <v>0.19289999999999999</v>
      </c>
      <c r="O1837" s="1">
        <v>0.40770000000000001</v>
      </c>
      <c r="P1837" s="1">
        <v>3.3799999999999997E-2</v>
      </c>
      <c r="Q1837" s="1">
        <v>0.1206</v>
      </c>
      <c r="S1837" s="1">
        <v>0.1434</v>
      </c>
      <c r="T1837" s="1">
        <v>0.21490000000000001</v>
      </c>
      <c r="U1837" s="1">
        <v>4.4600000000000001E-2</v>
      </c>
      <c r="V1837" s="1">
        <v>0.28839999999999999</v>
      </c>
    </row>
    <row r="1838" spans="1:22">
      <c r="A1838" t="s">
        <v>209</v>
      </c>
      <c r="B1838">
        <v>74</v>
      </c>
      <c r="C1838" t="s">
        <v>210</v>
      </c>
      <c r="D1838">
        <v>961</v>
      </c>
      <c r="E1838" s="1">
        <v>3.44E-2</v>
      </c>
      <c r="F1838" s="1">
        <v>0.20080000000000001</v>
      </c>
      <c r="G1838" s="1">
        <v>4.3700000000000003E-2</v>
      </c>
      <c r="H1838" s="1">
        <v>0.13750000000000001</v>
      </c>
      <c r="I1838" s="1">
        <v>0.1134</v>
      </c>
      <c r="J1838" s="1">
        <v>0.13009999999999999</v>
      </c>
      <c r="K1838" s="1">
        <v>0.1227</v>
      </c>
      <c r="L1838" s="1">
        <v>0.13009999999999999</v>
      </c>
      <c r="M1838" s="1">
        <v>0.14680000000000001</v>
      </c>
      <c r="N1838" s="1">
        <v>0.16539999999999999</v>
      </c>
      <c r="O1838" s="1">
        <v>0.42659999999999998</v>
      </c>
      <c r="Q1838" s="1">
        <v>0.13109999999999999</v>
      </c>
      <c r="R1838" s="1">
        <v>1.77E-2</v>
      </c>
      <c r="S1838" s="1">
        <v>7.9000000000000001E-2</v>
      </c>
      <c r="T1838" s="1">
        <v>0.19239999999999999</v>
      </c>
      <c r="U1838" s="1">
        <v>4.3700000000000003E-2</v>
      </c>
      <c r="V1838" s="1">
        <v>0.20180000000000001</v>
      </c>
    </row>
    <row r="1839" spans="1:22">
      <c r="A1839" t="s">
        <v>209</v>
      </c>
      <c r="B1839">
        <v>97</v>
      </c>
      <c r="C1839" t="s">
        <v>211</v>
      </c>
      <c r="D1839">
        <v>961</v>
      </c>
      <c r="E1839" s="1">
        <v>1.9800000000000002E-2</v>
      </c>
      <c r="F1839" s="1">
        <v>0.1216</v>
      </c>
      <c r="G1839" s="1">
        <v>3.61E-2</v>
      </c>
      <c r="H1839" s="1">
        <v>0.16789999999999999</v>
      </c>
      <c r="I1839" s="1">
        <v>8.9399999999999993E-2</v>
      </c>
      <c r="J1839" s="1">
        <v>0.13320000000000001</v>
      </c>
      <c r="K1839" s="1">
        <v>2.0500000000000001E-2</v>
      </c>
      <c r="L1839" s="1">
        <v>3.3599999999999998E-2</v>
      </c>
      <c r="M1839" s="1">
        <v>6.7500000000000004E-2</v>
      </c>
      <c r="N1839" s="1">
        <v>4.6600000000000003E-2</v>
      </c>
      <c r="O1839" s="1">
        <v>0.52710000000000001</v>
      </c>
      <c r="Q1839" s="1">
        <v>0.1011</v>
      </c>
      <c r="S1839" s="1">
        <v>1.6299999999999999E-2</v>
      </c>
      <c r="T1839" s="1">
        <v>0.1036</v>
      </c>
      <c r="U1839" s="1">
        <v>8.5000000000000006E-3</v>
      </c>
      <c r="V1839" s="1">
        <v>0.16639999999999999</v>
      </c>
    </row>
    <row r="1840" spans="1:22">
      <c r="A1840" t="s">
        <v>209</v>
      </c>
      <c r="B1840">
        <v>83</v>
      </c>
      <c r="C1840" t="s">
        <v>212</v>
      </c>
      <c r="D1840">
        <v>961</v>
      </c>
      <c r="E1840" s="1">
        <v>1.4200000000000001E-2</v>
      </c>
      <c r="F1840" s="1">
        <v>0.13420000000000001</v>
      </c>
      <c r="G1840" s="1">
        <v>4.7E-2</v>
      </c>
      <c r="H1840" s="1">
        <v>0.1258</v>
      </c>
      <c r="I1840" s="1">
        <v>6.8599999999999994E-2</v>
      </c>
      <c r="J1840" s="1">
        <v>5.0299999999999997E-2</v>
      </c>
      <c r="K1840" s="1">
        <v>4.02E-2</v>
      </c>
      <c r="L1840" s="1">
        <v>7.8E-2</v>
      </c>
      <c r="M1840" s="1">
        <v>4.8399999999999999E-2</v>
      </c>
      <c r="N1840" s="1">
        <v>3.85E-2</v>
      </c>
      <c r="O1840" s="1">
        <v>0.41599999999999998</v>
      </c>
      <c r="P1840" s="1">
        <v>1.4200000000000001E-2</v>
      </c>
      <c r="Q1840" s="1">
        <v>5.4399999999999997E-2</v>
      </c>
      <c r="T1840" s="1">
        <v>0.1492</v>
      </c>
      <c r="U1840" s="1">
        <v>2.8400000000000002E-2</v>
      </c>
      <c r="V1840" s="1">
        <v>0.2283</v>
      </c>
    </row>
    <row r="1842" spans="1:23">
      <c r="A1842" t="s">
        <v>549</v>
      </c>
    </row>
    <row r="1843" spans="1:23">
      <c r="A1843" t="s">
        <v>214</v>
      </c>
      <c r="B1843" t="s">
        <v>189</v>
      </c>
      <c r="C1843" t="s">
        <v>195</v>
      </c>
      <c r="D1843" t="s">
        <v>190</v>
      </c>
      <c r="E1843" t="s">
        <v>196</v>
      </c>
      <c r="F1843" t="s">
        <v>535</v>
      </c>
      <c r="G1843" t="s">
        <v>536</v>
      </c>
      <c r="H1843" t="s">
        <v>228</v>
      </c>
      <c r="I1843" t="s">
        <v>537</v>
      </c>
      <c r="J1843" t="s">
        <v>538</v>
      </c>
      <c r="K1843" t="s">
        <v>539</v>
      </c>
      <c r="L1843" t="s">
        <v>540</v>
      </c>
      <c r="M1843" t="s">
        <v>541</v>
      </c>
      <c r="N1843" t="s">
        <v>542</v>
      </c>
      <c r="O1843" t="s">
        <v>543</v>
      </c>
      <c r="P1843" t="s">
        <v>276</v>
      </c>
      <c r="Q1843" t="s">
        <v>278</v>
      </c>
      <c r="R1843" t="s">
        <v>544</v>
      </c>
      <c r="S1843" t="s">
        <v>223</v>
      </c>
      <c r="T1843" t="s">
        <v>545</v>
      </c>
      <c r="U1843" t="s">
        <v>546</v>
      </c>
      <c r="V1843" t="s">
        <v>547</v>
      </c>
      <c r="W1843" t="s">
        <v>548</v>
      </c>
    </row>
    <row r="1844" spans="1:23">
      <c r="A1844" t="s">
        <v>198</v>
      </c>
      <c r="B1844" t="s">
        <v>197</v>
      </c>
      <c r="C1844">
        <v>961</v>
      </c>
      <c r="D1844" t="s">
        <v>198</v>
      </c>
      <c r="E1844">
        <v>961</v>
      </c>
      <c r="F1844" s="1">
        <v>2.8899999999999999E-2</v>
      </c>
      <c r="G1844" s="1">
        <v>0.1903</v>
      </c>
      <c r="H1844" s="1">
        <v>2.81E-2</v>
      </c>
      <c r="I1844" s="1">
        <v>0.13719999999999999</v>
      </c>
      <c r="J1844" s="1">
        <v>5.5599999999999997E-2</v>
      </c>
      <c r="K1844" s="1">
        <v>5.5899999999999998E-2</v>
      </c>
      <c r="L1844" s="1">
        <v>0.1052</v>
      </c>
      <c r="M1844" s="1">
        <v>8.3799999999999999E-2</v>
      </c>
      <c r="N1844" s="1">
        <v>0.1193</v>
      </c>
      <c r="O1844" s="1">
        <v>0.13159999999999999</v>
      </c>
      <c r="P1844" s="1">
        <v>0.4698</v>
      </c>
      <c r="Q1844" s="1">
        <v>5.4000000000000003E-3</v>
      </c>
      <c r="R1844" s="1">
        <v>8.1600000000000006E-2</v>
      </c>
      <c r="S1844" s="1">
        <v>2.8E-3</v>
      </c>
      <c r="T1844" s="1">
        <v>1.9099999999999999E-2</v>
      </c>
      <c r="U1844" s="1">
        <v>0.1421</v>
      </c>
      <c r="V1844" s="1">
        <v>1.7399999999999999E-2</v>
      </c>
      <c r="W1844" s="1">
        <v>0.1958</v>
      </c>
    </row>
    <row r="1845" spans="1:23">
      <c r="A1845" t="s">
        <v>235</v>
      </c>
      <c r="B1845" t="s">
        <v>204</v>
      </c>
      <c r="C1845">
        <v>63</v>
      </c>
      <c r="D1845" t="s">
        <v>208</v>
      </c>
      <c r="E1845">
        <v>961</v>
      </c>
      <c r="F1845" s="1">
        <v>3.1699999999999999E-2</v>
      </c>
      <c r="G1845" s="1">
        <v>0.30159999999999998</v>
      </c>
      <c r="H1845" s="1">
        <v>3.1699999999999999E-2</v>
      </c>
      <c r="I1845" s="1">
        <v>0.22220000000000001</v>
      </c>
      <c r="J1845" s="1">
        <v>7.9399999999999998E-2</v>
      </c>
      <c r="K1845" s="1">
        <v>4.7600000000000003E-2</v>
      </c>
      <c r="L1845" s="1">
        <v>7.9399999999999998E-2</v>
      </c>
      <c r="M1845" s="1">
        <v>9.5200000000000007E-2</v>
      </c>
      <c r="N1845" s="1">
        <v>0.127</v>
      </c>
      <c r="O1845" s="1">
        <v>0.26979999999999998</v>
      </c>
      <c r="P1845" s="1">
        <v>0.3175</v>
      </c>
      <c r="R1845" s="1">
        <v>0.127</v>
      </c>
      <c r="T1845" s="1">
        <v>4.7600000000000003E-2</v>
      </c>
      <c r="U1845" s="1">
        <v>0.127</v>
      </c>
      <c r="V1845" s="1">
        <v>3.1699999999999999E-2</v>
      </c>
      <c r="W1845" s="1">
        <v>0.1905</v>
      </c>
    </row>
    <row r="1846" spans="1:23">
      <c r="A1846" t="s">
        <v>236</v>
      </c>
      <c r="B1846" t="s">
        <v>204</v>
      </c>
      <c r="C1846">
        <v>32</v>
      </c>
      <c r="D1846" t="s">
        <v>205</v>
      </c>
      <c r="E1846">
        <v>961</v>
      </c>
      <c r="F1846" s="1">
        <v>4.7600000000000003E-2</v>
      </c>
      <c r="G1846" s="1">
        <v>0.26350000000000001</v>
      </c>
      <c r="H1846" s="1">
        <v>2.7300000000000001E-2</v>
      </c>
      <c r="I1846" s="1">
        <v>0.17780000000000001</v>
      </c>
      <c r="J1846" s="1">
        <v>7.4899999999999994E-2</v>
      </c>
      <c r="K1846" s="1">
        <v>0.1701</v>
      </c>
      <c r="L1846" s="1">
        <v>0.16059999999999999</v>
      </c>
      <c r="M1846" s="1">
        <v>0.1232</v>
      </c>
      <c r="N1846" s="1">
        <v>0.1981</v>
      </c>
      <c r="O1846" s="1">
        <v>0.1701</v>
      </c>
      <c r="P1846" s="1">
        <v>0.56879999999999997</v>
      </c>
      <c r="R1846" s="1">
        <v>0.20230000000000001</v>
      </c>
      <c r="U1846" s="1">
        <v>0.14099999999999999</v>
      </c>
      <c r="V1846" s="1">
        <v>6.13E-2</v>
      </c>
      <c r="W1846" s="1">
        <v>0.24990000000000001</v>
      </c>
    </row>
    <row r="1847" spans="1:23">
      <c r="A1847" t="s">
        <v>235</v>
      </c>
      <c r="B1847" t="s">
        <v>204</v>
      </c>
      <c r="C1847">
        <v>57</v>
      </c>
      <c r="D1847" t="s">
        <v>205</v>
      </c>
      <c r="E1847">
        <v>961</v>
      </c>
      <c r="G1847" s="1">
        <v>0.2283</v>
      </c>
      <c r="H1847" s="1">
        <v>4.5999999999999999E-2</v>
      </c>
      <c r="I1847" s="1">
        <v>0.1946</v>
      </c>
      <c r="J1847" s="1">
        <v>8.7099999999999997E-2</v>
      </c>
      <c r="K1847" s="1">
        <v>2.3E-2</v>
      </c>
      <c r="L1847" s="1">
        <v>0.25180000000000002</v>
      </c>
      <c r="M1847" s="1">
        <v>0.1447</v>
      </c>
      <c r="N1847" s="1">
        <v>0.14910000000000001</v>
      </c>
      <c r="O1847" s="1">
        <v>0.1145</v>
      </c>
      <c r="P1847" s="1">
        <v>0.46610000000000001</v>
      </c>
      <c r="R1847" s="1">
        <v>9.4200000000000006E-2</v>
      </c>
      <c r="T1847" s="1">
        <v>7.0000000000000001E-3</v>
      </c>
      <c r="U1847" s="1">
        <v>6.8900000000000003E-2</v>
      </c>
      <c r="V1847" s="1">
        <v>8.0000000000000002E-3</v>
      </c>
      <c r="W1847" s="1">
        <v>9.1899999999999996E-2</v>
      </c>
    </row>
    <row r="1848" spans="1:23" s="26" customFormat="1">
      <c r="A1848" s="26" t="s">
        <v>236</v>
      </c>
      <c r="B1848" s="26" t="s">
        <v>204</v>
      </c>
      <c r="C1848" s="26">
        <v>21</v>
      </c>
      <c r="D1848" s="26" t="s">
        <v>206</v>
      </c>
      <c r="E1848" s="26">
        <v>961</v>
      </c>
      <c r="F1848" s="27">
        <v>4.2799999999999998E-2</v>
      </c>
      <c r="G1848" s="27">
        <v>0.18809999999999999</v>
      </c>
      <c r="I1848" s="27">
        <v>0.18809999999999999</v>
      </c>
      <c r="J1848" s="27">
        <v>5.9700000000000003E-2</v>
      </c>
      <c r="K1848" s="27">
        <v>0.29060000000000002</v>
      </c>
      <c r="L1848" s="27">
        <v>0.1283</v>
      </c>
      <c r="M1848" s="27">
        <v>4.2799999999999998E-2</v>
      </c>
      <c r="N1848" s="27">
        <v>4.2799999999999998E-2</v>
      </c>
      <c r="O1848" s="27">
        <v>0.1711</v>
      </c>
      <c r="P1848" s="27">
        <v>0.3931</v>
      </c>
      <c r="R1848" s="27">
        <v>0.14530000000000001</v>
      </c>
      <c r="U1848" s="27">
        <v>0.24779999999999999</v>
      </c>
      <c r="W1848" s="27">
        <v>0.29060000000000002</v>
      </c>
    </row>
    <row r="1849" spans="1:23">
      <c r="A1849" t="s">
        <v>235</v>
      </c>
      <c r="B1849" t="s">
        <v>204</v>
      </c>
      <c r="C1849">
        <v>47</v>
      </c>
      <c r="D1849" t="s">
        <v>206</v>
      </c>
      <c r="E1849">
        <v>961</v>
      </c>
      <c r="F1849" s="1">
        <v>2.4E-2</v>
      </c>
      <c r="G1849" s="1">
        <v>0.1065</v>
      </c>
      <c r="H1849" s="1">
        <v>4.8099999999999997E-2</v>
      </c>
      <c r="I1849" s="1">
        <v>0.1409</v>
      </c>
      <c r="J1849" s="1">
        <v>4.1200000000000001E-2</v>
      </c>
      <c r="K1849" s="1">
        <v>6.5299999999999997E-2</v>
      </c>
      <c r="M1849" s="1">
        <v>6.5299999999999997E-2</v>
      </c>
      <c r="N1849" s="1">
        <v>0.1065</v>
      </c>
      <c r="O1849" s="1">
        <v>0.1202</v>
      </c>
      <c r="P1849" s="1">
        <v>0.52580000000000005</v>
      </c>
      <c r="Q1849" s="1">
        <v>1.72E-2</v>
      </c>
      <c r="R1849" s="1">
        <v>8.2500000000000004E-2</v>
      </c>
      <c r="T1849" s="1">
        <v>2.4E-2</v>
      </c>
      <c r="U1849" s="1">
        <v>0.1202</v>
      </c>
      <c r="W1849" s="1">
        <v>6.5299999999999997E-2</v>
      </c>
    </row>
    <row r="1850" spans="1:23">
      <c r="A1850" t="s">
        <v>236</v>
      </c>
      <c r="B1850" t="s">
        <v>204</v>
      </c>
      <c r="C1850">
        <v>79</v>
      </c>
      <c r="D1850" t="s">
        <v>207</v>
      </c>
      <c r="E1850">
        <v>961</v>
      </c>
      <c r="F1850" s="1">
        <v>2.01E-2</v>
      </c>
      <c r="G1850" s="1">
        <v>9.69E-2</v>
      </c>
      <c r="H1850" s="1">
        <v>1.12E-2</v>
      </c>
      <c r="I1850" s="1">
        <v>0.1009</v>
      </c>
      <c r="J1850" s="1">
        <v>4.1000000000000002E-2</v>
      </c>
      <c r="K1850" s="1">
        <v>0.1943</v>
      </c>
      <c r="L1850" s="1">
        <v>0.1484</v>
      </c>
      <c r="M1850" s="1">
        <v>6.2199999999999998E-2</v>
      </c>
      <c r="N1850" s="1">
        <v>7.3400000000000007E-2</v>
      </c>
      <c r="O1850" s="1">
        <v>8.9899999999999994E-2</v>
      </c>
      <c r="P1850" s="1">
        <v>0.48909999999999998</v>
      </c>
      <c r="Q1850" s="1">
        <v>6.1999999999999998E-3</v>
      </c>
      <c r="R1850" s="1">
        <v>4.2599999999999999E-2</v>
      </c>
      <c r="T1850" s="1">
        <v>1.49E-2</v>
      </c>
      <c r="U1850" s="1">
        <v>6.93E-2</v>
      </c>
      <c r="V1850" s="1">
        <v>8.3999999999999995E-3</v>
      </c>
      <c r="W1850" s="1">
        <v>0.1024</v>
      </c>
    </row>
    <row r="1851" spans="1:23">
      <c r="A1851" t="s">
        <v>235</v>
      </c>
      <c r="B1851" t="s">
        <v>204</v>
      </c>
      <c r="C1851">
        <v>44</v>
      </c>
      <c r="D1851" t="s">
        <v>207</v>
      </c>
      <c r="E1851">
        <v>961</v>
      </c>
      <c r="F1851" s="1">
        <v>4.0000000000000001E-3</v>
      </c>
      <c r="G1851" s="1">
        <v>0.1739</v>
      </c>
      <c r="H1851" s="1">
        <v>4.3E-3</v>
      </c>
      <c r="I1851" s="1">
        <v>1.26E-2</v>
      </c>
      <c r="L1851" s="1">
        <v>9.2499999999999999E-2</v>
      </c>
      <c r="M1851" s="1">
        <v>3.0999999999999999E-3</v>
      </c>
      <c r="N1851" s="1">
        <v>0.08</v>
      </c>
      <c r="O1851" s="1">
        <v>1.9699999999999999E-2</v>
      </c>
      <c r="P1851" s="1">
        <v>0.54849999999999999</v>
      </c>
      <c r="R1851" s="1">
        <v>1.2800000000000001E-2</v>
      </c>
      <c r="U1851" s="1">
        <v>0.24690000000000001</v>
      </c>
      <c r="V1851" s="1">
        <v>1.6000000000000001E-3</v>
      </c>
      <c r="W1851" s="1">
        <v>0.33150000000000002</v>
      </c>
    </row>
    <row r="1852" spans="1:23" s="26" customFormat="1">
      <c r="A1852" s="26" t="s">
        <v>236</v>
      </c>
      <c r="B1852" s="26" t="s">
        <v>204</v>
      </c>
      <c r="C1852" s="26">
        <v>11</v>
      </c>
      <c r="D1852" s="26" t="s">
        <v>208</v>
      </c>
      <c r="E1852" s="26">
        <v>961</v>
      </c>
      <c r="G1852" s="27">
        <v>0.18179999999999999</v>
      </c>
      <c r="I1852" s="27">
        <v>0.18179999999999999</v>
      </c>
      <c r="J1852" s="27">
        <v>9.0899999999999995E-2</v>
      </c>
      <c r="K1852" s="27">
        <v>0.18179999999999999</v>
      </c>
      <c r="L1852" s="27">
        <v>0.2727</v>
      </c>
      <c r="M1852" s="27">
        <v>9.0899999999999995E-2</v>
      </c>
      <c r="O1852" s="27">
        <v>0.36359999999999998</v>
      </c>
      <c r="P1852" s="27">
        <v>0.2727</v>
      </c>
      <c r="R1852" s="27">
        <v>0.18179999999999999</v>
      </c>
      <c r="T1852" s="27">
        <v>9.0899999999999995E-2</v>
      </c>
      <c r="U1852" s="27">
        <v>0.18179999999999999</v>
      </c>
      <c r="W1852" s="27">
        <v>0.18179999999999999</v>
      </c>
    </row>
    <row r="1853" spans="1:23">
      <c r="A1853" t="s">
        <v>235</v>
      </c>
      <c r="B1853" t="s">
        <v>199</v>
      </c>
      <c r="C1853">
        <v>44</v>
      </c>
      <c r="D1853" t="s">
        <v>203</v>
      </c>
      <c r="E1853">
        <v>961</v>
      </c>
      <c r="F1853" s="1">
        <v>5.7200000000000001E-2</v>
      </c>
      <c r="G1853" s="1">
        <v>0.16719999999999999</v>
      </c>
      <c r="H1853" s="1">
        <v>4.2799999999999998E-2</v>
      </c>
      <c r="I1853" s="1">
        <v>0.18240000000000001</v>
      </c>
      <c r="J1853" s="1">
        <v>0.11260000000000001</v>
      </c>
      <c r="K1853" s="1">
        <v>3.2899999999999999E-2</v>
      </c>
      <c r="L1853" s="1">
        <v>0.106</v>
      </c>
      <c r="M1853" s="1">
        <v>0.11260000000000001</v>
      </c>
      <c r="N1853" s="1">
        <v>0.15540000000000001</v>
      </c>
      <c r="O1853" s="1">
        <v>0.2482</v>
      </c>
      <c r="P1853" s="1">
        <v>0.44440000000000002</v>
      </c>
      <c r="Q1853" s="1">
        <v>2.7E-2</v>
      </c>
      <c r="R1853" s="1">
        <v>0.1343</v>
      </c>
      <c r="T1853" s="1">
        <v>0.1706</v>
      </c>
      <c r="U1853" s="1">
        <v>0.1706</v>
      </c>
      <c r="W1853" s="1">
        <v>0.27129999999999999</v>
      </c>
    </row>
    <row r="1854" spans="1:23">
      <c r="A1854" t="s">
        <v>236</v>
      </c>
      <c r="B1854" t="s">
        <v>199</v>
      </c>
      <c r="C1854">
        <v>32</v>
      </c>
      <c r="D1854" t="s">
        <v>203</v>
      </c>
      <c r="E1854">
        <v>961</v>
      </c>
      <c r="F1854" s="1">
        <v>2.1499999999999998E-2</v>
      </c>
      <c r="G1854" s="1">
        <v>0.22339999999999999</v>
      </c>
      <c r="H1854" s="1">
        <v>0.1016</v>
      </c>
      <c r="I1854" s="1">
        <v>0.1052</v>
      </c>
      <c r="J1854" s="1">
        <v>2.75E-2</v>
      </c>
      <c r="K1854" s="1">
        <v>0.35720000000000002</v>
      </c>
      <c r="L1854" s="1">
        <v>4.9000000000000002E-2</v>
      </c>
      <c r="M1854" s="1">
        <v>5.1299999999999998E-2</v>
      </c>
      <c r="N1854" s="1">
        <v>0.17680000000000001</v>
      </c>
      <c r="O1854" s="1">
        <v>0.1074</v>
      </c>
      <c r="P1854" s="1">
        <v>0.37269999999999998</v>
      </c>
      <c r="Q1854" s="1">
        <v>4.9000000000000002E-2</v>
      </c>
      <c r="R1854" s="1">
        <v>2.75E-2</v>
      </c>
      <c r="T1854" s="1">
        <v>2.75E-2</v>
      </c>
      <c r="U1854" s="1">
        <v>0.23430000000000001</v>
      </c>
      <c r="V1854" s="1">
        <v>5.1299999999999998E-2</v>
      </c>
      <c r="W1854" s="1">
        <v>0.2641</v>
      </c>
    </row>
    <row r="1855" spans="1:23">
      <c r="A1855" t="s">
        <v>235</v>
      </c>
      <c r="B1855" t="s">
        <v>199</v>
      </c>
      <c r="C1855">
        <v>60</v>
      </c>
      <c r="D1855" t="s">
        <v>202</v>
      </c>
      <c r="E1855">
        <v>961</v>
      </c>
      <c r="F1855" s="1">
        <v>2.1299999999999999E-2</v>
      </c>
      <c r="G1855" s="1">
        <v>0.1593</v>
      </c>
      <c r="H1855" s="1">
        <v>2.9700000000000001E-2</v>
      </c>
      <c r="I1855" s="1">
        <v>8.1900000000000001E-2</v>
      </c>
      <c r="L1855" s="1">
        <v>4.4400000000000002E-2</v>
      </c>
      <c r="M1855" s="1">
        <v>6.25E-2</v>
      </c>
      <c r="N1855" s="1">
        <v>0.1129</v>
      </c>
      <c r="O1855" s="1">
        <v>0.1966</v>
      </c>
      <c r="P1855" s="1">
        <v>0.5625</v>
      </c>
      <c r="Q1855" s="1">
        <v>2.3599999999999999E-2</v>
      </c>
      <c r="R1855" s="1">
        <v>3.6999999999999998E-2</v>
      </c>
      <c r="S1855" s="1">
        <v>1.5800000000000002E-2</v>
      </c>
      <c r="U1855" s="1">
        <v>0.10050000000000001</v>
      </c>
      <c r="W1855" s="1">
        <v>0.1293</v>
      </c>
    </row>
    <row r="1856" spans="1:23" s="26" customFormat="1">
      <c r="A1856" s="26" t="s">
        <v>236</v>
      </c>
      <c r="B1856" s="26" t="s">
        <v>199</v>
      </c>
      <c r="C1856" s="26">
        <v>24</v>
      </c>
      <c r="D1856" s="26" t="s">
        <v>200</v>
      </c>
      <c r="E1856" s="26">
        <v>961</v>
      </c>
      <c r="F1856" s="27">
        <v>0.14560000000000001</v>
      </c>
      <c r="G1856" s="27">
        <v>0.34300000000000003</v>
      </c>
      <c r="H1856" s="27">
        <v>0.18149999999999999</v>
      </c>
      <c r="I1856" s="27">
        <v>0.43940000000000001</v>
      </c>
      <c r="K1856" s="27">
        <v>0.15229999999999999</v>
      </c>
      <c r="L1856" s="27">
        <v>0.12889999999999999</v>
      </c>
      <c r="M1856" s="27">
        <v>0.12889999999999999</v>
      </c>
      <c r="O1856" s="27">
        <v>0.14560000000000001</v>
      </c>
      <c r="P1856" s="27">
        <v>0.29709999999999998</v>
      </c>
      <c r="Q1856" s="27">
        <v>3.3999999999999998E-3</v>
      </c>
      <c r="R1856" s="27">
        <v>0.14560000000000001</v>
      </c>
      <c r="U1856" s="27">
        <v>0.1615</v>
      </c>
      <c r="W1856" s="27">
        <v>0.32640000000000002</v>
      </c>
    </row>
    <row r="1857" spans="1:23">
      <c r="A1857" t="s">
        <v>235</v>
      </c>
      <c r="B1857" t="s">
        <v>199</v>
      </c>
      <c r="C1857">
        <v>46</v>
      </c>
      <c r="D1857" t="s">
        <v>200</v>
      </c>
      <c r="E1857">
        <v>961</v>
      </c>
      <c r="F1857" s="1">
        <v>8.8300000000000003E-2</v>
      </c>
      <c r="G1857" s="1">
        <v>0.40379999999999999</v>
      </c>
      <c r="H1857" s="1">
        <v>3.0000000000000001E-3</v>
      </c>
      <c r="I1857" s="1">
        <v>0.10630000000000001</v>
      </c>
      <c r="J1857" s="1">
        <v>1.4999999999999999E-2</v>
      </c>
      <c r="K1857" s="1">
        <v>0.2661</v>
      </c>
      <c r="L1857" s="1">
        <v>3.0000000000000001E-3</v>
      </c>
      <c r="M1857" s="1">
        <v>0.13600000000000001</v>
      </c>
      <c r="N1857" s="1">
        <v>0.27079999999999999</v>
      </c>
      <c r="O1857" s="1">
        <v>0.20050000000000001</v>
      </c>
      <c r="P1857" s="1">
        <v>0.25059999999999999</v>
      </c>
      <c r="Q1857" s="1">
        <v>6.0000000000000001E-3</v>
      </c>
      <c r="R1857" s="1">
        <v>0.35139999999999999</v>
      </c>
      <c r="T1857" s="1">
        <v>8.9999999999999993E-3</v>
      </c>
      <c r="U1857" s="1">
        <v>0.13600000000000001</v>
      </c>
      <c r="W1857" s="1">
        <v>0.14199999999999999</v>
      </c>
    </row>
    <row r="1858" spans="1:23">
      <c r="A1858" t="s">
        <v>236</v>
      </c>
      <c r="B1858" t="s">
        <v>199</v>
      </c>
      <c r="C1858">
        <v>37</v>
      </c>
      <c r="D1858" t="s">
        <v>202</v>
      </c>
      <c r="E1858">
        <v>961</v>
      </c>
      <c r="F1858" s="1">
        <v>6.5600000000000006E-2</v>
      </c>
      <c r="G1858" s="1">
        <v>0.26889999999999997</v>
      </c>
      <c r="I1858" s="1">
        <v>8.8400000000000006E-2</v>
      </c>
      <c r="J1858" s="1">
        <v>5.6099999999999997E-2</v>
      </c>
      <c r="K1858" s="1">
        <v>6.5100000000000005E-2</v>
      </c>
      <c r="L1858" s="1">
        <v>0.1409</v>
      </c>
      <c r="M1858" s="1">
        <v>0.13070000000000001</v>
      </c>
      <c r="N1858" s="1">
        <v>0.29289999999999999</v>
      </c>
      <c r="O1858" s="1">
        <v>0.20449999999999999</v>
      </c>
      <c r="P1858" s="1">
        <v>0.36990000000000001</v>
      </c>
      <c r="R1858" s="1">
        <v>6.5600000000000006E-2</v>
      </c>
      <c r="S1858" s="1">
        <v>2.1899999999999999E-2</v>
      </c>
      <c r="T1858" s="1">
        <v>3.2800000000000003E-2</v>
      </c>
      <c r="U1858" s="1">
        <v>0.18210000000000001</v>
      </c>
      <c r="V1858" s="1">
        <v>3.2800000000000003E-2</v>
      </c>
      <c r="W1858" s="1">
        <v>0.31280000000000002</v>
      </c>
    </row>
    <row r="1859" spans="1:23">
      <c r="A1859" t="s">
        <v>235</v>
      </c>
      <c r="B1859" t="s">
        <v>199</v>
      </c>
      <c r="C1859">
        <v>95</v>
      </c>
      <c r="D1859" t="s">
        <v>201</v>
      </c>
      <c r="E1859">
        <v>961</v>
      </c>
      <c r="F1859" s="1">
        <v>5.2600000000000001E-2</v>
      </c>
      <c r="G1859" s="1">
        <v>0.16839999999999999</v>
      </c>
      <c r="H1859" s="1">
        <v>1.0500000000000001E-2</v>
      </c>
      <c r="I1859" s="1">
        <v>0.1368</v>
      </c>
      <c r="J1859" s="1">
        <v>5.2600000000000001E-2</v>
      </c>
      <c r="L1859" s="1">
        <v>4.2099999999999999E-2</v>
      </c>
      <c r="M1859" s="1">
        <v>6.3200000000000006E-2</v>
      </c>
      <c r="N1859" s="1">
        <v>0.1053</v>
      </c>
      <c r="O1859" s="1">
        <v>0.15790000000000001</v>
      </c>
      <c r="P1859" s="1">
        <v>0.50529999999999997</v>
      </c>
      <c r="R1859" s="1">
        <v>7.3700000000000002E-2</v>
      </c>
      <c r="T1859" s="1">
        <v>2.1100000000000001E-2</v>
      </c>
      <c r="U1859" s="1">
        <v>0.1789</v>
      </c>
      <c r="V1859" s="1">
        <v>2.1100000000000001E-2</v>
      </c>
      <c r="W1859" s="1">
        <v>0.21049999999999999</v>
      </c>
    </row>
    <row r="1860" spans="1:23">
      <c r="A1860" t="s">
        <v>236</v>
      </c>
      <c r="B1860" t="s">
        <v>209</v>
      </c>
      <c r="C1860">
        <v>39</v>
      </c>
      <c r="D1860" t="s">
        <v>211</v>
      </c>
      <c r="E1860">
        <v>961</v>
      </c>
      <c r="F1860" s="1">
        <v>2.76E-2</v>
      </c>
      <c r="G1860" s="1">
        <v>0.17580000000000001</v>
      </c>
      <c r="H1860" s="1">
        <v>3.3599999999999998E-2</v>
      </c>
      <c r="I1860" s="1">
        <v>0.17979999999999999</v>
      </c>
      <c r="J1860" s="1">
        <v>0.1067</v>
      </c>
      <c r="K1860" s="1">
        <v>0.25380000000000003</v>
      </c>
      <c r="L1860" s="1">
        <v>4.5400000000000003E-2</v>
      </c>
      <c r="M1860" s="1">
        <v>1.18E-2</v>
      </c>
      <c r="N1860" s="1">
        <v>3.95E-2</v>
      </c>
      <c r="O1860" s="1">
        <v>5.1299999999999998E-2</v>
      </c>
      <c r="P1860" s="1">
        <v>0.48909999999999998</v>
      </c>
      <c r="R1860" s="1">
        <v>0.1245</v>
      </c>
      <c r="T1860" s="1">
        <v>3.3599999999999998E-2</v>
      </c>
      <c r="U1860" s="1">
        <v>0.1067</v>
      </c>
      <c r="V1860" s="1">
        <v>1.18E-2</v>
      </c>
      <c r="W1860" s="1">
        <v>0.20349999999999999</v>
      </c>
    </row>
    <row r="1861" spans="1:23">
      <c r="A1861" t="s">
        <v>235</v>
      </c>
      <c r="B1861" t="s">
        <v>209</v>
      </c>
      <c r="C1861">
        <v>56</v>
      </c>
      <c r="D1861" t="s">
        <v>211</v>
      </c>
      <c r="E1861">
        <v>961</v>
      </c>
      <c r="F1861" s="1">
        <v>1.6199999999999999E-2</v>
      </c>
      <c r="G1861" s="1">
        <v>7.1099999999999997E-2</v>
      </c>
      <c r="H1861" s="1">
        <v>3.9300000000000002E-2</v>
      </c>
      <c r="I1861" s="1">
        <v>0.16919999999999999</v>
      </c>
      <c r="J1861" s="1">
        <v>5.8900000000000001E-2</v>
      </c>
      <c r="K1861" s="1">
        <v>6.93E-2</v>
      </c>
      <c r="L1861" s="1">
        <v>6.8999999999999999E-3</v>
      </c>
      <c r="M1861" s="1">
        <v>2.3099999999999999E-2</v>
      </c>
      <c r="N1861" s="1">
        <v>8.72E-2</v>
      </c>
      <c r="O1861" s="1">
        <v>4.6199999999999998E-2</v>
      </c>
      <c r="P1861" s="1">
        <v>0.57540000000000002</v>
      </c>
      <c r="R1861" s="1">
        <v>6.7599999999999993E-2</v>
      </c>
      <c r="T1861" s="1">
        <v>6.8999999999999999E-3</v>
      </c>
      <c r="U1861" s="1">
        <v>8.2000000000000003E-2</v>
      </c>
      <c r="V1861" s="1">
        <v>6.8999999999999999E-3</v>
      </c>
      <c r="W1861" s="1">
        <v>0.12820000000000001</v>
      </c>
    </row>
    <row r="1862" spans="1:23">
      <c r="A1862" t="s">
        <v>235</v>
      </c>
      <c r="B1862" t="s">
        <v>209</v>
      </c>
      <c r="C1862">
        <v>66</v>
      </c>
      <c r="D1862" t="s">
        <v>212</v>
      </c>
      <c r="E1862">
        <v>961</v>
      </c>
      <c r="F1862" s="1">
        <v>1.6500000000000001E-2</v>
      </c>
      <c r="G1862" s="1">
        <v>0.12839999999999999</v>
      </c>
      <c r="H1862" s="1">
        <v>4.5999999999999999E-2</v>
      </c>
      <c r="I1862" s="1">
        <v>0.10489999999999999</v>
      </c>
      <c r="J1862" s="1">
        <v>6.59E-2</v>
      </c>
      <c r="K1862" s="1">
        <v>3.9600000000000003E-2</v>
      </c>
      <c r="L1862" s="1">
        <v>3.3000000000000002E-2</v>
      </c>
      <c r="M1862" s="1">
        <v>6.3100000000000003E-2</v>
      </c>
      <c r="N1862" s="1">
        <v>3.9600000000000003E-2</v>
      </c>
      <c r="O1862" s="1">
        <v>1.6500000000000001E-2</v>
      </c>
      <c r="P1862" s="1">
        <v>0.42180000000000001</v>
      </c>
      <c r="Q1862" s="1">
        <v>1.6500000000000001E-2</v>
      </c>
      <c r="R1862" s="1">
        <v>4.9399999999999999E-2</v>
      </c>
      <c r="U1862" s="1">
        <v>0.15659999999999999</v>
      </c>
      <c r="V1862" s="1">
        <v>3.3000000000000002E-2</v>
      </c>
      <c r="W1862" s="1">
        <v>0.23960000000000001</v>
      </c>
    </row>
    <row r="1863" spans="1:23" s="26" customFormat="1">
      <c r="A1863" s="26" t="s">
        <v>236</v>
      </c>
      <c r="B1863" s="26" t="s">
        <v>209</v>
      </c>
      <c r="C1863" s="26">
        <v>17</v>
      </c>
      <c r="D1863" s="26" t="s">
        <v>212</v>
      </c>
      <c r="E1863" s="26">
        <v>961</v>
      </c>
      <c r="G1863" s="27">
        <v>0.1709</v>
      </c>
      <c r="H1863" s="27">
        <v>5.3499999999999999E-2</v>
      </c>
      <c r="I1863" s="27">
        <v>0.25629999999999997</v>
      </c>
      <c r="J1863" s="27">
        <v>8.5400000000000004E-2</v>
      </c>
      <c r="K1863" s="27">
        <v>0.1172</v>
      </c>
      <c r="L1863" s="27">
        <v>8.5400000000000004E-2</v>
      </c>
      <c r="M1863" s="27">
        <v>0.1709</v>
      </c>
      <c r="N1863" s="27">
        <v>0.10349999999999999</v>
      </c>
      <c r="O1863" s="27">
        <v>0.17599999999999999</v>
      </c>
      <c r="P1863" s="27">
        <v>0.37940000000000002</v>
      </c>
      <c r="R1863" s="27">
        <v>8.5400000000000004E-2</v>
      </c>
      <c r="U1863" s="27">
        <v>0.1031</v>
      </c>
      <c r="W1863" s="27">
        <v>0.1575</v>
      </c>
    </row>
    <row r="1864" spans="1:23">
      <c r="A1864" t="s">
        <v>236</v>
      </c>
      <c r="B1864" t="s">
        <v>209</v>
      </c>
      <c r="C1864">
        <v>38</v>
      </c>
      <c r="D1864" t="s">
        <v>210</v>
      </c>
      <c r="E1864">
        <v>961</v>
      </c>
      <c r="F1864" s="1">
        <v>4.07E-2</v>
      </c>
      <c r="G1864" s="1">
        <v>0.1447</v>
      </c>
      <c r="H1864" s="1">
        <v>2.0299999999999999E-2</v>
      </c>
      <c r="I1864" s="1">
        <v>0.20569999999999999</v>
      </c>
      <c r="J1864" s="1">
        <v>6.0999999999999999E-2</v>
      </c>
      <c r="K1864" s="1">
        <v>0.16750000000000001</v>
      </c>
      <c r="L1864" s="1">
        <v>4.07E-2</v>
      </c>
      <c r="M1864" s="1">
        <v>0.1017</v>
      </c>
      <c r="N1864" s="1">
        <v>0.14230000000000001</v>
      </c>
      <c r="O1864" s="1">
        <v>0.1017</v>
      </c>
      <c r="P1864" s="1">
        <v>0.39829999999999999</v>
      </c>
      <c r="R1864" s="1">
        <v>0.1041</v>
      </c>
      <c r="T1864" s="1">
        <v>6.3399999999999998E-2</v>
      </c>
      <c r="U1864" s="1">
        <v>0.14710000000000001</v>
      </c>
      <c r="V1864" s="1">
        <v>2.0299999999999999E-2</v>
      </c>
      <c r="W1864" s="1">
        <v>0.19020000000000001</v>
      </c>
    </row>
    <row r="1865" spans="1:23">
      <c r="A1865" t="s">
        <v>235</v>
      </c>
      <c r="B1865" t="s">
        <v>209</v>
      </c>
      <c r="C1865">
        <v>32</v>
      </c>
      <c r="D1865" t="s">
        <v>210</v>
      </c>
      <c r="E1865">
        <v>961</v>
      </c>
      <c r="F1865" s="1">
        <v>3.2300000000000002E-2</v>
      </c>
      <c r="G1865" s="1">
        <v>0.22620000000000001</v>
      </c>
      <c r="H1865" s="1">
        <v>6.4600000000000005E-2</v>
      </c>
      <c r="I1865" s="1">
        <v>9.69E-2</v>
      </c>
      <c r="J1865" s="1">
        <v>0.16159999999999999</v>
      </c>
      <c r="K1865" s="1">
        <v>0.11219999999999999</v>
      </c>
      <c r="L1865" s="1">
        <v>0.19389999999999999</v>
      </c>
      <c r="M1865" s="1">
        <v>0.16159999999999999</v>
      </c>
      <c r="N1865" s="1">
        <v>0.1293</v>
      </c>
      <c r="O1865" s="1">
        <v>0.19389999999999999</v>
      </c>
      <c r="P1865" s="1">
        <v>0.43540000000000001</v>
      </c>
      <c r="R1865" s="1">
        <v>0.16159999999999999</v>
      </c>
      <c r="S1865" s="1">
        <v>3.2300000000000002E-2</v>
      </c>
      <c r="T1865" s="1">
        <v>9.69E-2</v>
      </c>
      <c r="U1865" s="1">
        <v>0.2092</v>
      </c>
      <c r="V1865" s="1">
        <v>6.4600000000000005E-2</v>
      </c>
      <c r="W1865" s="1">
        <v>0.22620000000000001</v>
      </c>
    </row>
    <row r="1867" spans="1:23">
      <c r="A1867" t="s">
        <v>550</v>
      </c>
    </row>
    <row r="1868" spans="1:23">
      <c r="A1868" t="s">
        <v>189</v>
      </c>
      <c r="B1868" t="s">
        <v>195</v>
      </c>
      <c r="C1868" t="s">
        <v>190</v>
      </c>
      <c r="D1868" t="s">
        <v>196</v>
      </c>
      <c r="E1868" t="s">
        <v>551</v>
      </c>
      <c r="F1868" t="s">
        <v>228</v>
      </c>
      <c r="G1868" t="s">
        <v>552</v>
      </c>
      <c r="H1868" t="s">
        <v>553</v>
      </c>
      <c r="I1868" t="s">
        <v>554</v>
      </c>
      <c r="J1868" t="s">
        <v>555</v>
      </c>
      <c r="K1868" t="s">
        <v>556</v>
      </c>
      <c r="L1868" t="s">
        <v>557</v>
      </c>
      <c r="M1868" t="s">
        <v>558</v>
      </c>
      <c r="N1868" t="s">
        <v>559</v>
      </c>
      <c r="O1868" t="s">
        <v>276</v>
      </c>
      <c r="P1868" t="s">
        <v>278</v>
      </c>
      <c r="Q1868" t="s">
        <v>560</v>
      </c>
      <c r="R1868" t="s">
        <v>561</v>
      </c>
      <c r="S1868" t="s">
        <v>223</v>
      </c>
      <c r="T1868" t="s">
        <v>562</v>
      </c>
    </row>
    <row r="1869" spans="1:23">
      <c r="A1869" t="s">
        <v>197</v>
      </c>
      <c r="B1869">
        <v>967</v>
      </c>
      <c r="C1869" t="s">
        <v>198</v>
      </c>
      <c r="D1869">
        <v>967</v>
      </c>
      <c r="E1869" s="1">
        <v>0.18940000000000001</v>
      </c>
      <c r="F1869" s="1">
        <v>2.9999999999999997E-4</v>
      </c>
      <c r="G1869" s="1">
        <v>3.6499999999999998E-2</v>
      </c>
      <c r="H1869" s="1">
        <v>0.48599999999999999</v>
      </c>
      <c r="I1869" s="1">
        <v>3.6999999999999998E-2</v>
      </c>
      <c r="J1869" s="1">
        <v>1.9199999999999998E-2</v>
      </c>
      <c r="K1869" s="1">
        <v>7.3000000000000001E-3</v>
      </c>
      <c r="L1869" s="1">
        <v>9.8199999999999996E-2</v>
      </c>
      <c r="M1869" s="1">
        <v>4.0000000000000001E-3</v>
      </c>
      <c r="N1869" s="1">
        <v>3.5200000000000002E-2</v>
      </c>
      <c r="O1869" s="1">
        <v>7.6E-3</v>
      </c>
      <c r="P1869" s="1">
        <v>7.0000000000000001E-3</v>
      </c>
      <c r="Q1869" s="1">
        <v>0.247</v>
      </c>
      <c r="R1869" s="1">
        <v>0.32450000000000001</v>
      </c>
      <c r="S1869" s="1">
        <v>2.3E-3</v>
      </c>
      <c r="T1869" s="1">
        <v>0.58189999999999997</v>
      </c>
    </row>
    <row r="1870" spans="1:23">
      <c r="A1870" t="s">
        <v>204</v>
      </c>
      <c r="B1870">
        <v>91</v>
      </c>
      <c r="C1870" t="s">
        <v>205</v>
      </c>
      <c r="D1870">
        <v>967</v>
      </c>
      <c r="E1870" s="1">
        <v>0.18149999999999999</v>
      </c>
      <c r="G1870" s="1">
        <v>8.6800000000000002E-2</v>
      </c>
      <c r="H1870" s="1">
        <v>0.54369999999999996</v>
      </c>
      <c r="J1870" s="1">
        <v>2.4299999999999999E-2</v>
      </c>
      <c r="L1870" s="1">
        <v>0.1163</v>
      </c>
      <c r="N1870" s="1">
        <v>1.34E-2</v>
      </c>
      <c r="Q1870" s="1">
        <v>0.2336</v>
      </c>
      <c r="R1870" s="1">
        <v>0.33879999999999999</v>
      </c>
      <c r="T1870" s="1">
        <v>0.58120000000000005</v>
      </c>
    </row>
    <row r="1871" spans="1:23">
      <c r="A1871" t="s">
        <v>204</v>
      </c>
      <c r="B1871">
        <v>71</v>
      </c>
      <c r="C1871" t="s">
        <v>206</v>
      </c>
      <c r="D1871">
        <v>967</v>
      </c>
      <c r="E1871" s="1">
        <v>0.111</v>
      </c>
      <c r="G1871" s="1">
        <v>6.8599999999999994E-2</v>
      </c>
      <c r="H1871" s="1">
        <v>0.57689999999999997</v>
      </c>
      <c r="I1871" s="1">
        <v>1.6500000000000001E-2</v>
      </c>
      <c r="J1871" s="1">
        <v>1.18E-2</v>
      </c>
      <c r="L1871" s="1">
        <v>4.02E-2</v>
      </c>
      <c r="M1871" s="1">
        <v>1.6500000000000001E-2</v>
      </c>
      <c r="N1871" s="1">
        <v>2.8400000000000002E-2</v>
      </c>
      <c r="O1871" s="1">
        <v>3.3099999999999997E-2</v>
      </c>
      <c r="Q1871" s="1">
        <v>0.34289999999999998</v>
      </c>
      <c r="R1871" s="1">
        <v>0.18920000000000001</v>
      </c>
      <c r="T1871" s="1">
        <v>0.54120000000000001</v>
      </c>
    </row>
    <row r="1872" spans="1:23">
      <c r="A1872" t="s">
        <v>204</v>
      </c>
      <c r="B1872">
        <v>131</v>
      </c>
      <c r="C1872" t="s">
        <v>207</v>
      </c>
      <c r="D1872">
        <v>967</v>
      </c>
      <c r="E1872" s="1">
        <v>0.39479999999999998</v>
      </c>
      <c r="G1872" s="1">
        <v>1.9400000000000001E-2</v>
      </c>
      <c r="H1872" s="1">
        <v>0.46850000000000003</v>
      </c>
      <c r="I1872" s="1">
        <v>5.2900000000000003E-2</v>
      </c>
      <c r="J1872" s="1">
        <v>4.6399999999999997E-2</v>
      </c>
      <c r="K1872" s="1">
        <v>4.7E-2</v>
      </c>
      <c r="L1872" s="1">
        <v>7.7200000000000005E-2</v>
      </c>
      <c r="M1872" s="1">
        <v>2.5000000000000001E-3</v>
      </c>
      <c r="N1872" s="1">
        <v>5.33E-2</v>
      </c>
      <c r="O1872" s="1">
        <v>7.7000000000000002E-3</v>
      </c>
      <c r="P1872" s="1">
        <v>8.9999999999999998E-4</v>
      </c>
      <c r="Q1872" s="1">
        <v>0.29420000000000002</v>
      </c>
      <c r="R1872" s="1">
        <v>0.37969999999999998</v>
      </c>
      <c r="T1872" s="1">
        <v>0.36059999999999998</v>
      </c>
    </row>
    <row r="1873" spans="1:21">
      <c r="A1873" t="s">
        <v>204</v>
      </c>
      <c r="B1873">
        <v>74</v>
      </c>
      <c r="C1873" t="s">
        <v>208</v>
      </c>
      <c r="D1873">
        <v>967</v>
      </c>
      <c r="E1873" s="1">
        <v>0.20269999999999999</v>
      </c>
      <c r="G1873" s="1">
        <v>9.4600000000000004E-2</v>
      </c>
      <c r="H1873" s="1">
        <v>0.6351</v>
      </c>
      <c r="J1873" s="1">
        <v>1.35E-2</v>
      </c>
      <c r="L1873" s="1">
        <v>5.4100000000000002E-2</v>
      </c>
      <c r="N1873" s="1">
        <v>8.1100000000000005E-2</v>
      </c>
      <c r="O1873" s="1">
        <v>5.4100000000000002E-2</v>
      </c>
      <c r="Q1873" s="1">
        <v>0.39190000000000003</v>
      </c>
      <c r="R1873" s="1">
        <v>0.31080000000000002</v>
      </c>
      <c r="T1873" s="1">
        <v>0.43240000000000001</v>
      </c>
    </row>
    <row r="1874" spans="1:21">
      <c r="A1874" t="s">
        <v>199</v>
      </c>
      <c r="B1874">
        <v>73</v>
      </c>
      <c r="C1874" t="s">
        <v>200</v>
      </c>
      <c r="D1874">
        <v>967</v>
      </c>
      <c r="E1874" s="1">
        <v>0.30220000000000002</v>
      </c>
      <c r="G1874" s="1">
        <v>1.5299999999999999E-2</v>
      </c>
      <c r="H1874" s="1">
        <v>0.54330000000000001</v>
      </c>
      <c r="J1874" s="1">
        <v>3.3799999999999997E-2</v>
      </c>
      <c r="L1874" s="1">
        <v>0.2016</v>
      </c>
      <c r="N1874" s="1">
        <v>1.6000000000000001E-3</v>
      </c>
      <c r="Q1874" s="1">
        <v>0.2389</v>
      </c>
      <c r="R1874" s="1">
        <v>0.35110000000000002</v>
      </c>
      <c r="T1874" s="1">
        <v>0.29570000000000002</v>
      </c>
    </row>
    <row r="1875" spans="1:21">
      <c r="A1875" t="s">
        <v>199</v>
      </c>
      <c r="B1875">
        <v>96</v>
      </c>
      <c r="C1875" t="s">
        <v>201</v>
      </c>
      <c r="D1875">
        <v>967</v>
      </c>
      <c r="E1875" s="1">
        <v>9.3799999999999994E-2</v>
      </c>
      <c r="H1875" s="1">
        <v>0.40620000000000001</v>
      </c>
      <c r="I1875" s="1">
        <v>6.25E-2</v>
      </c>
      <c r="L1875" s="1">
        <v>9.3799999999999994E-2</v>
      </c>
      <c r="N1875" s="1">
        <v>4.1700000000000001E-2</v>
      </c>
      <c r="P1875" s="1">
        <v>1.04E-2</v>
      </c>
      <c r="Q1875" s="1">
        <v>0.19789999999999999</v>
      </c>
      <c r="R1875" s="1">
        <v>0.20830000000000001</v>
      </c>
      <c r="S1875" s="1">
        <v>1.04E-2</v>
      </c>
      <c r="T1875" s="1">
        <v>0.76039999999999996</v>
      </c>
    </row>
    <row r="1876" spans="1:21">
      <c r="A1876" t="s">
        <v>199</v>
      </c>
      <c r="B1876">
        <v>98</v>
      </c>
      <c r="C1876" t="s">
        <v>202</v>
      </c>
      <c r="D1876">
        <v>967</v>
      </c>
      <c r="E1876" s="1">
        <v>0.13439999999999999</v>
      </c>
      <c r="G1876" s="1">
        <v>1.6400000000000001E-2</v>
      </c>
      <c r="H1876" s="1">
        <v>0.4803</v>
      </c>
      <c r="I1876" s="1">
        <v>7.1999999999999995E-2</v>
      </c>
      <c r="J1876" s="1">
        <v>1.78E-2</v>
      </c>
      <c r="L1876" s="1">
        <v>0.10299999999999999</v>
      </c>
      <c r="M1876" s="1">
        <v>1.2200000000000001E-2</v>
      </c>
      <c r="N1876" s="1">
        <v>1.6400000000000001E-2</v>
      </c>
      <c r="O1876" s="1">
        <v>1.35E-2</v>
      </c>
      <c r="P1876" s="1">
        <v>2.7099999999999999E-2</v>
      </c>
      <c r="Q1876" s="1">
        <v>0.1661</v>
      </c>
      <c r="R1876" s="1">
        <v>0.45050000000000001</v>
      </c>
      <c r="T1876" s="1">
        <v>0.69940000000000002</v>
      </c>
    </row>
    <row r="1877" spans="1:21">
      <c r="A1877" t="s">
        <v>199</v>
      </c>
      <c r="B1877">
        <v>77</v>
      </c>
      <c r="C1877" t="s">
        <v>203</v>
      </c>
      <c r="D1877">
        <v>967</v>
      </c>
      <c r="E1877" s="1">
        <v>0.107</v>
      </c>
      <c r="F1877" s="1">
        <v>7.4000000000000003E-3</v>
      </c>
      <c r="H1877" s="1">
        <v>0.43480000000000002</v>
      </c>
      <c r="I1877" s="1">
        <v>3.5099999999999999E-2</v>
      </c>
      <c r="J1877" s="1">
        <v>2.69E-2</v>
      </c>
      <c r="K1877" s="1">
        <v>2.8999999999999998E-3</v>
      </c>
      <c r="L1877" s="1">
        <v>0.10780000000000001</v>
      </c>
      <c r="N1877" s="1">
        <v>2.69E-2</v>
      </c>
      <c r="P1877" s="1">
        <v>1.9E-2</v>
      </c>
      <c r="Q1877" s="1">
        <v>0.31269999999999998</v>
      </c>
      <c r="R1877" s="1">
        <v>0.29110000000000003</v>
      </c>
      <c r="S1877" s="1">
        <v>9.4999999999999998E-3</v>
      </c>
      <c r="T1877" s="1">
        <v>0.54569999999999996</v>
      </c>
    </row>
    <row r="1878" spans="1:21">
      <c r="A1878" t="s">
        <v>209</v>
      </c>
      <c r="B1878">
        <v>74</v>
      </c>
      <c r="C1878" t="s">
        <v>210</v>
      </c>
      <c r="D1878">
        <v>967</v>
      </c>
      <c r="E1878" s="1">
        <v>0.15809999999999999</v>
      </c>
      <c r="F1878" s="1">
        <v>8.3000000000000001E-3</v>
      </c>
      <c r="G1878" s="1">
        <v>0.1217</v>
      </c>
      <c r="H1878" s="1">
        <v>0.4143</v>
      </c>
      <c r="I1878" s="1">
        <v>8.3000000000000001E-3</v>
      </c>
      <c r="L1878" s="1">
        <v>6.9699999999999998E-2</v>
      </c>
      <c r="M1878" s="1">
        <v>1.77E-2</v>
      </c>
      <c r="P1878" s="1">
        <v>2.5999999999999999E-2</v>
      </c>
      <c r="Q1878" s="1">
        <v>0.20080000000000001</v>
      </c>
      <c r="R1878" s="1">
        <v>0.3206</v>
      </c>
      <c r="T1878" s="1">
        <v>0.47860000000000003</v>
      </c>
    </row>
    <row r="1879" spans="1:21">
      <c r="A1879" t="s">
        <v>209</v>
      </c>
      <c r="B1879">
        <v>97</v>
      </c>
      <c r="C1879" t="s">
        <v>211</v>
      </c>
      <c r="D1879">
        <v>967</v>
      </c>
      <c r="E1879" s="1">
        <v>0.2223</v>
      </c>
      <c r="G1879" s="1">
        <v>4.5199999999999997E-2</v>
      </c>
      <c r="H1879" s="1">
        <v>0.58389999999999997</v>
      </c>
      <c r="I1879" s="1">
        <v>2.0500000000000001E-2</v>
      </c>
      <c r="J1879" s="1">
        <v>3.2500000000000001E-2</v>
      </c>
      <c r="L1879" s="1">
        <v>8.0199999999999994E-2</v>
      </c>
      <c r="O1879" s="1">
        <v>1.2E-2</v>
      </c>
      <c r="Q1879" s="1">
        <v>0.21659999999999999</v>
      </c>
      <c r="R1879" s="1">
        <v>0.30669999999999997</v>
      </c>
      <c r="T1879" s="1">
        <v>0.54520000000000002</v>
      </c>
    </row>
    <row r="1880" spans="1:21">
      <c r="A1880" t="s">
        <v>209</v>
      </c>
      <c r="B1880">
        <v>85</v>
      </c>
      <c r="C1880" t="s">
        <v>212</v>
      </c>
      <c r="D1880">
        <v>967</v>
      </c>
      <c r="E1880" s="1">
        <v>0.14360000000000001</v>
      </c>
      <c r="G1880" s="1">
        <v>2.7900000000000001E-2</v>
      </c>
      <c r="H1880" s="1">
        <v>0.41520000000000001</v>
      </c>
      <c r="I1880" s="1">
        <v>3.5400000000000001E-2</v>
      </c>
      <c r="L1880" s="1">
        <v>0.1075</v>
      </c>
      <c r="M1880" s="1">
        <v>1.4E-2</v>
      </c>
      <c r="N1880" s="1">
        <v>6.7500000000000004E-2</v>
      </c>
      <c r="Q1880" s="1">
        <v>0.30280000000000001</v>
      </c>
      <c r="R1880" s="1">
        <v>0.28710000000000002</v>
      </c>
      <c r="T1880" s="1">
        <v>0.62080000000000002</v>
      </c>
    </row>
    <row r="1882" spans="1:21">
      <c r="A1882" t="s">
        <v>563</v>
      </c>
    </row>
    <row r="1883" spans="1:21">
      <c r="A1883" t="s">
        <v>214</v>
      </c>
      <c r="B1883" t="s">
        <v>189</v>
      </c>
      <c r="C1883" t="s">
        <v>195</v>
      </c>
      <c r="D1883" t="s">
        <v>190</v>
      </c>
      <c r="E1883" t="s">
        <v>196</v>
      </c>
      <c r="F1883" t="s">
        <v>551</v>
      </c>
      <c r="G1883" t="s">
        <v>228</v>
      </c>
      <c r="H1883" t="s">
        <v>552</v>
      </c>
      <c r="I1883" t="s">
        <v>553</v>
      </c>
      <c r="J1883" t="s">
        <v>554</v>
      </c>
      <c r="K1883" t="s">
        <v>555</v>
      </c>
      <c r="L1883" t="s">
        <v>556</v>
      </c>
      <c r="M1883" t="s">
        <v>557</v>
      </c>
      <c r="N1883" t="s">
        <v>558</v>
      </c>
      <c r="O1883" t="s">
        <v>559</v>
      </c>
      <c r="P1883" t="s">
        <v>276</v>
      </c>
      <c r="Q1883" t="s">
        <v>278</v>
      </c>
      <c r="R1883" t="s">
        <v>560</v>
      </c>
      <c r="S1883" t="s">
        <v>561</v>
      </c>
      <c r="T1883" t="s">
        <v>223</v>
      </c>
      <c r="U1883" t="s">
        <v>562</v>
      </c>
    </row>
    <row r="1884" spans="1:21">
      <c r="A1884" t="s">
        <v>198</v>
      </c>
      <c r="B1884" t="s">
        <v>197</v>
      </c>
      <c r="C1884">
        <v>967</v>
      </c>
      <c r="D1884" t="s">
        <v>198</v>
      </c>
      <c r="E1884">
        <v>967</v>
      </c>
      <c r="F1884" s="1">
        <v>0.18940000000000001</v>
      </c>
      <c r="G1884" s="1">
        <v>2.9999999999999997E-4</v>
      </c>
      <c r="H1884" s="1">
        <v>3.6499999999999998E-2</v>
      </c>
      <c r="I1884" s="1">
        <v>0.48599999999999999</v>
      </c>
      <c r="J1884" s="1">
        <v>3.6999999999999998E-2</v>
      </c>
      <c r="K1884" s="1">
        <v>1.9199999999999998E-2</v>
      </c>
      <c r="L1884" s="1">
        <v>7.3000000000000001E-3</v>
      </c>
      <c r="M1884" s="1">
        <v>9.8199999999999996E-2</v>
      </c>
      <c r="N1884" s="1">
        <v>4.0000000000000001E-3</v>
      </c>
      <c r="O1884" s="1">
        <v>3.5200000000000002E-2</v>
      </c>
      <c r="P1884" s="1">
        <v>7.6E-3</v>
      </c>
      <c r="Q1884" s="1">
        <v>7.0000000000000001E-3</v>
      </c>
      <c r="R1884" s="1">
        <v>0.247</v>
      </c>
      <c r="S1884" s="1">
        <v>0.32450000000000001</v>
      </c>
      <c r="T1884" s="1">
        <v>2.3E-3</v>
      </c>
      <c r="U1884" s="1">
        <v>0.58189999999999997</v>
      </c>
    </row>
    <row r="1885" spans="1:21">
      <c r="A1885" t="s">
        <v>235</v>
      </c>
      <c r="B1885" t="s">
        <v>204</v>
      </c>
      <c r="C1885">
        <v>63</v>
      </c>
      <c r="D1885" t="s">
        <v>208</v>
      </c>
      <c r="E1885">
        <v>967</v>
      </c>
      <c r="F1885" s="1">
        <v>0.20630000000000001</v>
      </c>
      <c r="H1885" s="1">
        <v>7.9399999999999998E-2</v>
      </c>
      <c r="I1885" s="1">
        <v>0.60319999999999996</v>
      </c>
      <c r="M1885" s="1">
        <v>6.3500000000000001E-2</v>
      </c>
      <c r="O1885" s="1">
        <v>9.5200000000000007E-2</v>
      </c>
      <c r="P1885" s="1">
        <v>6.3500000000000001E-2</v>
      </c>
      <c r="R1885" s="1">
        <v>0.36509999999999998</v>
      </c>
      <c r="S1885" s="1">
        <v>0.28570000000000001</v>
      </c>
      <c r="U1885" s="1">
        <v>0.49209999999999998</v>
      </c>
    </row>
    <row r="1886" spans="1:21">
      <c r="A1886" t="s">
        <v>236</v>
      </c>
      <c r="B1886" t="s">
        <v>204</v>
      </c>
      <c r="C1886">
        <v>32</v>
      </c>
      <c r="D1886" t="s">
        <v>205</v>
      </c>
      <c r="E1886">
        <v>967</v>
      </c>
      <c r="F1886" s="1">
        <v>6.13E-2</v>
      </c>
      <c r="H1886" s="1">
        <v>7.4899999999999994E-2</v>
      </c>
      <c r="I1886" s="1">
        <v>0.6069</v>
      </c>
      <c r="K1886" s="1">
        <v>6.13E-2</v>
      </c>
      <c r="M1886" s="1">
        <v>8.9200000000000002E-2</v>
      </c>
      <c r="R1886" s="1">
        <v>0.2177</v>
      </c>
      <c r="S1886" s="1">
        <v>0.23730000000000001</v>
      </c>
      <c r="U1886" s="1">
        <v>0.5212</v>
      </c>
    </row>
    <row r="1887" spans="1:21">
      <c r="A1887" t="s">
        <v>235</v>
      </c>
      <c r="B1887" t="s">
        <v>204</v>
      </c>
      <c r="C1887">
        <v>58</v>
      </c>
      <c r="D1887" t="s">
        <v>205</v>
      </c>
      <c r="E1887">
        <v>967</v>
      </c>
      <c r="F1887" s="1">
        <v>0.20810000000000001</v>
      </c>
      <c r="H1887" s="1">
        <v>8.9700000000000002E-2</v>
      </c>
      <c r="I1887" s="1">
        <v>0.53149999999999997</v>
      </c>
      <c r="K1887" s="1">
        <v>1.6400000000000001E-2</v>
      </c>
      <c r="M1887" s="1">
        <v>0.1225</v>
      </c>
      <c r="O1887" s="1">
        <v>1.6400000000000001E-2</v>
      </c>
      <c r="R1887" s="1">
        <v>0.23769999999999999</v>
      </c>
      <c r="S1887" s="1">
        <v>0.3589</v>
      </c>
      <c r="U1887" s="1">
        <v>0.59599999999999997</v>
      </c>
    </row>
    <row r="1888" spans="1:21" s="26" customFormat="1">
      <c r="A1888" s="26" t="s">
        <v>236</v>
      </c>
      <c r="B1888" s="26" t="s">
        <v>204</v>
      </c>
      <c r="C1888" s="26">
        <v>20</v>
      </c>
      <c r="D1888" s="26" t="s">
        <v>206</v>
      </c>
      <c r="E1888" s="26">
        <v>967</v>
      </c>
      <c r="H1888" s="27">
        <v>0.13650000000000001</v>
      </c>
      <c r="I1888" s="27">
        <v>0.67290000000000005</v>
      </c>
      <c r="M1888" s="27">
        <v>4.5499999999999999E-2</v>
      </c>
      <c r="O1888" s="27">
        <v>4.5499999999999999E-2</v>
      </c>
      <c r="R1888" s="27">
        <v>0.35449999999999998</v>
      </c>
      <c r="S1888" s="27">
        <v>0.26350000000000001</v>
      </c>
      <c r="U1888" s="27">
        <v>0.54510000000000003</v>
      </c>
    </row>
    <row r="1889" spans="1:21">
      <c r="A1889" t="s">
        <v>235</v>
      </c>
      <c r="B1889" t="s">
        <v>204</v>
      </c>
      <c r="C1889">
        <v>47</v>
      </c>
      <c r="D1889" t="s">
        <v>206</v>
      </c>
      <c r="E1889">
        <v>967</v>
      </c>
      <c r="F1889" s="1">
        <v>0.16139999999999999</v>
      </c>
      <c r="H1889" s="1">
        <v>4.8099999999999997E-2</v>
      </c>
      <c r="I1889" s="1">
        <v>0.52580000000000005</v>
      </c>
      <c r="J1889" s="1">
        <v>2.4E-2</v>
      </c>
      <c r="K1889" s="1">
        <v>1.72E-2</v>
      </c>
      <c r="M1889" s="1">
        <v>4.1200000000000001E-2</v>
      </c>
      <c r="N1889" s="1">
        <v>2.4E-2</v>
      </c>
      <c r="O1889" s="1">
        <v>2.4E-2</v>
      </c>
      <c r="P1889" s="1">
        <v>4.8099999999999997E-2</v>
      </c>
      <c r="R1889" s="1">
        <v>0.31280000000000002</v>
      </c>
      <c r="S1889" s="1">
        <v>0.1341</v>
      </c>
      <c r="U1889" s="1">
        <v>0.5635</v>
      </c>
    </row>
    <row r="1890" spans="1:21">
      <c r="A1890" t="s">
        <v>236</v>
      </c>
      <c r="B1890" t="s">
        <v>204</v>
      </c>
      <c r="C1890">
        <v>81</v>
      </c>
      <c r="D1890" t="s">
        <v>207</v>
      </c>
      <c r="E1890">
        <v>967</v>
      </c>
      <c r="F1890" s="1">
        <v>0.26600000000000001</v>
      </c>
      <c r="H1890" s="1">
        <v>4.1599999999999998E-2</v>
      </c>
      <c r="I1890" s="1">
        <v>0.26650000000000001</v>
      </c>
      <c r="J1890" s="1">
        <v>0.11210000000000001</v>
      </c>
      <c r="K1890" s="1">
        <v>0.11210000000000001</v>
      </c>
      <c r="L1890" s="1">
        <v>3.7000000000000002E-3</v>
      </c>
      <c r="M1890" s="1">
        <v>3.32E-2</v>
      </c>
      <c r="O1890" s="1">
        <v>7.4000000000000003E-3</v>
      </c>
      <c r="P1890" s="1">
        <v>1.0200000000000001E-2</v>
      </c>
      <c r="R1890" s="1">
        <v>0.32390000000000002</v>
      </c>
      <c r="S1890" s="1">
        <v>0.41880000000000001</v>
      </c>
      <c r="U1890" s="1">
        <v>0.32269999999999999</v>
      </c>
    </row>
    <row r="1891" spans="1:21">
      <c r="A1891" t="s">
        <v>235</v>
      </c>
      <c r="B1891" t="s">
        <v>204</v>
      </c>
      <c r="C1891">
        <v>45</v>
      </c>
      <c r="D1891" t="s">
        <v>207</v>
      </c>
      <c r="E1891">
        <v>967</v>
      </c>
      <c r="F1891" s="1">
        <v>0.49399999999999999</v>
      </c>
      <c r="H1891" s="1">
        <v>4.3E-3</v>
      </c>
      <c r="I1891" s="1">
        <v>0.62050000000000005</v>
      </c>
      <c r="J1891" s="1">
        <v>1.2800000000000001E-2</v>
      </c>
      <c r="K1891" s="1">
        <v>1.6000000000000001E-3</v>
      </c>
      <c r="L1891" s="1">
        <v>7.8299999999999995E-2</v>
      </c>
      <c r="M1891" s="1">
        <v>0.10539999999999999</v>
      </c>
      <c r="N1891" s="1">
        <v>4.3E-3</v>
      </c>
      <c r="O1891" s="1">
        <v>8.6599999999999996E-2</v>
      </c>
      <c r="Q1891" s="1">
        <v>1.6000000000000001E-3</v>
      </c>
      <c r="R1891" s="1">
        <v>0.27600000000000002</v>
      </c>
      <c r="S1891" s="1">
        <v>0.35699999999999998</v>
      </c>
      <c r="U1891" s="1">
        <v>0.38269999999999998</v>
      </c>
    </row>
    <row r="1892" spans="1:21" s="26" customFormat="1">
      <c r="A1892" s="26" t="s">
        <v>236</v>
      </c>
      <c r="B1892" s="26" t="s">
        <v>204</v>
      </c>
      <c r="C1892" s="26">
        <v>11</v>
      </c>
      <c r="D1892" s="26" t="s">
        <v>208</v>
      </c>
      <c r="E1892" s="26">
        <v>967</v>
      </c>
      <c r="F1892" s="27">
        <v>0.18179999999999999</v>
      </c>
      <c r="H1892" s="27">
        <v>0.18179999999999999</v>
      </c>
      <c r="I1892" s="27">
        <v>0.81820000000000004</v>
      </c>
      <c r="K1892" s="27">
        <v>9.0899999999999995E-2</v>
      </c>
      <c r="R1892" s="27">
        <v>0.54549999999999998</v>
      </c>
      <c r="S1892" s="27">
        <v>0.45450000000000002</v>
      </c>
      <c r="U1892" s="27">
        <v>9.0899999999999995E-2</v>
      </c>
    </row>
    <row r="1893" spans="1:21">
      <c r="A1893" t="s">
        <v>235</v>
      </c>
      <c r="B1893" t="s">
        <v>199</v>
      </c>
      <c r="C1893">
        <v>44</v>
      </c>
      <c r="D1893" t="s">
        <v>203</v>
      </c>
      <c r="E1893">
        <v>967</v>
      </c>
      <c r="F1893" s="1">
        <v>0.1396</v>
      </c>
      <c r="G1893" s="1">
        <v>1.18E-2</v>
      </c>
      <c r="I1893" s="1">
        <v>0.41789999999999999</v>
      </c>
      <c r="J1893" s="1">
        <v>5.6000000000000001E-2</v>
      </c>
      <c r="M1893" s="1">
        <v>0.1106</v>
      </c>
      <c r="O1893" s="1">
        <v>4.2799999999999998E-2</v>
      </c>
      <c r="R1893" s="1">
        <v>0.27910000000000001</v>
      </c>
      <c r="S1893" s="1">
        <v>0.24679999999999999</v>
      </c>
      <c r="T1893" s="1">
        <v>1.5100000000000001E-2</v>
      </c>
      <c r="U1893" s="1">
        <v>0.56620000000000004</v>
      </c>
    </row>
    <row r="1894" spans="1:21">
      <c r="A1894" t="s">
        <v>236</v>
      </c>
      <c r="B1894" t="s">
        <v>199</v>
      </c>
      <c r="C1894">
        <v>32</v>
      </c>
      <c r="D1894" t="s">
        <v>203</v>
      </c>
      <c r="E1894">
        <v>967</v>
      </c>
      <c r="F1894" s="1">
        <v>5.6099999999999997E-2</v>
      </c>
      <c r="I1894" s="1">
        <v>0.49930000000000002</v>
      </c>
      <c r="K1894" s="1">
        <v>7.7700000000000005E-2</v>
      </c>
      <c r="L1894" s="1">
        <v>8.3999999999999995E-3</v>
      </c>
      <c r="M1894" s="1">
        <v>0.1111</v>
      </c>
      <c r="Q1894" s="1">
        <v>5.5E-2</v>
      </c>
      <c r="R1894" s="1">
        <v>0.32019999999999998</v>
      </c>
      <c r="S1894" s="1">
        <v>0.39429999999999998</v>
      </c>
      <c r="U1894" s="1">
        <v>0.47310000000000002</v>
      </c>
    </row>
    <row r="1895" spans="1:21">
      <c r="A1895" t="s">
        <v>235</v>
      </c>
      <c r="B1895" t="s">
        <v>199</v>
      </c>
      <c r="C1895">
        <v>60</v>
      </c>
      <c r="D1895" t="s">
        <v>202</v>
      </c>
      <c r="E1895">
        <v>967</v>
      </c>
      <c r="F1895" s="1">
        <v>0.14960000000000001</v>
      </c>
      <c r="H1895" s="1">
        <v>2.86E-2</v>
      </c>
      <c r="I1895" s="1">
        <v>0.49840000000000001</v>
      </c>
      <c r="J1895" s="1">
        <v>5.4199999999999998E-2</v>
      </c>
      <c r="K1895" s="1">
        <v>3.1E-2</v>
      </c>
      <c r="M1895" s="1">
        <v>6.4699999999999994E-2</v>
      </c>
      <c r="N1895" s="1">
        <v>2.1299999999999999E-2</v>
      </c>
      <c r="O1895" s="1">
        <v>2.86E-2</v>
      </c>
      <c r="Q1895" s="1">
        <v>2.3599999999999999E-2</v>
      </c>
      <c r="R1895" s="1">
        <v>0.1416</v>
      </c>
      <c r="S1895" s="1">
        <v>0.44729999999999998</v>
      </c>
      <c r="U1895" s="1">
        <v>0.69899999999999995</v>
      </c>
    </row>
    <row r="1896" spans="1:21" s="26" customFormat="1">
      <c r="A1896" s="26" t="s">
        <v>236</v>
      </c>
      <c r="B1896" s="26" t="s">
        <v>199</v>
      </c>
      <c r="C1896" s="26">
        <v>24</v>
      </c>
      <c r="D1896" s="26" t="s">
        <v>200</v>
      </c>
      <c r="E1896" s="26">
        <v>967</v>
      </c>
      <c r="F1896" s="27">
        <v>0.33050000000000002</v>
      </c>
      <c r="I1896" s="27">
        <v>0.4955</v>
      </c>
      <c r="K1896" s="27">
        <v>6.8500000000000005E-2</v>
      </c>
      <c r="M1896" s="27">
        <v>0.1782</v>
      </c>
      <c r="O1896" s="27">
        <v>3.3999999999999998E-3</v>
      </c>
      <c r="R1896" s="27">
        <v>0.37309999999999999</v>
      </c>
      <c r="S1896" s="27">
        <v>0.55500000000000005</v>
      </c>
      <c r="U1896" s="27">
        <v>4.5999999999999999E-2</v>
      </c>
    </row>
    <row r="1897" spans="1:21">
      <c r="A1897" t="s">
        <v>235</v>
      </c>
      <c r="B1897" t="s">
        <v>199</v>
      </c>
      <c r="C1897">
        <v>46</v>
      </c>
      <c r="D1897" t="s">
        <v>200</v>
      </c>
      <c r="E1897">
        <v>967</v>
      </c>
      <c r="F1897" s="1">
        <v>0.27979999999999999</v>
      </c>
      <c r="H1897" s="1">
        <v>2.9100000000000001E-2</v>
      </c>
      <c r="I1897" s="1">
        <v>0.58489999999999998</v>
      </c>
      <c r="K1897" s="1">
        <v>3.0000000000000001E-3</v>
      </c>
      <c r="M1897" s="1">
        <v>0.2243</v>
      </c>
      <c r="R1897" s="1">
        <v>0.1182</v>
      </c>
      <c r="S1897" s="1">
        <v>0.1691</v>
      </c>
      <c r="U1897" s="1">
        <v>0.51539999999999997</v>
      </c>
    </row>
    <row r="1898" spans="1:21">
      <c r="A1898" t="s">
        <v>236</v>
      </c>
      <c r="B1898" t="s">
        <v>199</v>
      </c>
      <c r="C1898">
        <v>37</v>
      </c>
      <c r="D1898" t="s">
        <v>202</v>
      </c>
      <c r="E1898">
        <v>967</v>
      </c>
      <c r="F1898" s="1">
        <v>0.1178</v>
      </c>
      <c r="I1898" s="1">
        <v>0.47089999999999999</v>
      </c>
      <c r="J1898" s="1">
        <v>9.9099999999999994E-2</v>
      </c>
      <c r="M1898" s="1">
        <v>0.1595</v>
      </c>
      <c r="P1898" s="1">
        <v>3.2800000000000003E-2</v>
      </c>
      <c r="Q1898" s="1">
        <v>3.2800000000000003E-2</v>
      </c>
      <c r="R1898" s="1">
        <v>0.2054</v>
      </c>
      <c r="S1898" s="1">
        <v>0.4698</v>
      </c>
      <c r="U1898" s="1">
        <v>0.69010000000000005</v>
      </c>
    </row>
    <row r="1899" spans="1:21">
      <c r="A1899" t="s">
        <v>235</v>
      </c>
      <c r="B1899" t="s">
        <v>199</v>
      </c>
      <c r="C1899">
        <v>96</v>
      </c>
      <c r="D1899" t="s">
        <v>201</v>
      </c>
      <c r="E1899">
        <v>967</v>
      </c>
      <c r="F1899" s="1">
        <v>9.3799999999999994E-2</v>
      </c>
      <c r="I1899" s="1">
        <v>0.40620000000000001</v>
      </c>
      <c r="J1899" s="1">
        <v>6.25E-2</v>
      </c>
      <c r="M1899" s="1">
        <v>9.3799999999999994E-2</v>
      </c>
      <c r="O1899" s="1">
        <v>4.1700000000000001E-2</v>
      </c>
      <c r="Q1899" s="1">
        <v>1.04E-2</v>
      </c>
      <c r="R1899" s="1">
        <v>0.19789999999999999</v>
      </c>
      <c r="S1899" s="1">
        <v>0.20830000000000001</v>
      </c>
      <c r="T1899" s="1">
        <v>1.04E-2</v>
      </c>
      <c r="U1899" s="1">
        <v>0.76039999999999996</v>
      </c>
    </row>
    <row r="1900" spans="1:21">
      <c r="A1900" t="s">
        <v>236</v>
      </c>
      <c r="B1900" t="s">
        <v>209</v>
      </c>
      <c r="C1900">
        <v>39</v>
      </c>
      <c r="D1900" t="s">
        <v>211</v>
      </c>
      <c r="E1900">
        <v>967</v>
      </c>
      <c r="F1900" s="1">
        <v>0.23419999999999999</v>
      </c>
      <c r="H1900" s="1">
        <v>0.1027</v>
      </c>
      <c r="I1900" s="1">
        <v>0.48309999999999997</v>
      </c>
      <c r="K1900" s="1">
        <v>5.7299999999999997E-2</v>
      </c>
      <c r="M1900" s="1">
        <v>6.9099999999999995E-2</v>
      </c>
      <c r="P1900" s="1">
        <v>3.3599999999999998E-2</v>
      </c>
      <c r="R1900" s="1">
        <v>0.26379999999999998</v>
      </c>
      <c r="S1900" s="1">
        <v>0.40910000000000002</v>
      </c>
      <c r="U1900" s="1">
        <v>0.44779999999999998</v>
      </c>
    </row>
    <row r="1901" spans="1:21">
      <c r="A1901" t="s">
        <v>235</v>
      </c>
      <c r="B1901" t="s">
        <v>209</v>
      </c>
      <c r="C1901">
        <v>56</v>
      </c>
      <c r="D1901" t="s">
        <v>211</v>
      </c>
      <c r="E1901">
        <v>967</v>
      </c>
      <c r="F1901" s="1">
        <v>0.22639999999999999</v>
      </c>
      <c r="H1901" s="1">
        <v>1.38E-2</v>
      </c>
      <c r="I1901" s="1">
        <v>0.64700000000000002</v>
      </c>
      <c r="J1901" s="1">
        <v>3.3500000000000002E-2</v>
      </c>
      <c r="K1901" s="1">
        <v>1.9599999999999999E-2</v>
      </c>
      <c r="M1901" s="1">
        <v>9.0700000000000003E-2</v>
      </c>
      <c r="R1901" s="1">
        <v>0.19980000000000001</v>
      </c>
      <c r="S1901" s="1">
        <v>0.26219999999999999</v>
      </c>
      <c r="U1901" s="1">
        <v>0.57950000000000002</v>
      </c>
    </row>
    <row r="1902" spans="1:21">
      <c r="A1902" t="s">
        <v>235</v>
      </c>
      <c r="B1902" t="s">
        <v>209</v>
      </c>
      <c r="C1902">
        <v>67</v>
      </c>
      <c r="D1902" t="s">
        <v>212</v>
      </c>
      <c r="E1902">
        <v>967</v>
      </c>
      <c r="F1902" s="1">
        <v>0.12909999999999999</v>
      </c>
      <c r="H1902" s="1">
        <v>3.2399999999999998E-2</v>
      </c>
      <c r="I1902" s="1">
        <v>0.45029999999999998</v>
      </c>
      <c r="J1902" s="1">
        <v>2.4799999999999999E-2</v>
      </c>
      <c r="M1902" s="1">
        <v>9.7299999999999998E-2</v>
      </c>
      <c r="N1902" s="1">
        <v>1.6199999999999999E-2</v>
      </c>
      <c r="O1902" s="1">
        <v>7.8299999999999995E-2</v>
      </c>
      <c r="R1902" s="1">
        <v>0.34279999999999999</v>
      </c>
      <c r="S1902" s="1">
        <v>0.25869999999999999</v>
      </c>
      <c r="U1902" s="1">
        <v>0.61660000000000004</v>
      </c>
    </row>
    <row r="1903" spans="1:21" s="26" customFormat="1">
      <c r="A1903" s="26" t="s">
        <v>236</v>
      </c>
      <c r="B1903" s="26" t="s">
        <v>209</v>
      </c>
      <c r="C1903" s="26">
        <v>18</v>
      </c>
      <c r="D1903" s="26" t="s">
        <v>212</v>
      </c>
      <c r="E1903" s="26">
        <v>967</v>
      </c>
      <c r="F1903" s="27">
        <v>0.2341</v>
      </c>
      <c r="I1903" s="27">
        <v>0.19620000000000001</v>
      </c>
      <c r="J1903" s="27">
        <v>0.1017</v>
      </c>
      <c r="M1903" s="27">
        <v>0.17150000000000001</v>
      </c>
      <c r="R1903" s="27">
        <v>5.3199999999999997E-2</v>
      </c>
      <c r="S1903" s="27">
        <v>0.46439999999999998</v>
      </c>
      <c r="U1903" s="27">
        <v>0.6472</v>
      </c>
    </row>
    <row r="1904" spans="1:21">
      <c r="A1904" t="s">
        <v>236</v>
      </c>
      <c r="B1904" t="s">
        <v>209</v>
      </c>
      <c r="C1904">
        <v>38</v>
      </c>
      <c r="D1904" t="s">
        <v>210</v>
      </c>
      <c r="E1904">
        <v>967</v>
      </c>
      <c r="F1904" s="1">
        <v>0.1699</v>
      </c>
      <c r="G1904" s="1">
        <v>2.0299999999999999E-2</v>
      </c>
      <c r="H1904" s="1">
        <v>0.1244</v>
      </c>
      <c r="I1904" s="1">
        <v>0.49519999999999997</v>
      </c>
      <c r="J1904" s="1">
        <v>2.0299999999999999E-2</v>
      </c>
      <c r="M1904" s="1">
        <v>8.3699999999999997E-2</v>
      </c>
      <c r="Q1904" s="1">
        <v>2.0299999999999999E-2</v>
      </c>
      <c r="R1904" s="1">
        <v>0.23089999999999999</v>
      </c>
      <c r="S1904" s="1">
        <v>0.35289999999999999</v>
      </c>
      <c r="U1904" s="1">
        <v>0.39589999999999997</v>
      </c>
    </row>
    <row r="1905" spans="1:54">
      <c r="A1905" t="s">
        <v>235</v>
      </c>
      <c r="B1905" t="s">
        <v>209</v>
      </c>
      <c r="C1905">
        <v>32</v>
      </c>
      <c r="D1905" t="s">
        <v>210</v>
      </c>
      <c r="E1905">
        <v>967</v>
      </c>
      <c r="F1905" s="1">
        <v>0.16159999999999999</v>
      </c>
      <c r="H1905" s="1">
        <v>0.1293</v>
      </c>
      <c r="I1905" s="1">
        <v>0.33839999999999998</v>
      </c>
      <c r="M1905" s="1">
        <v>6.4600000000000005E-2</v>
      </c>
      <c r="N1905" s="1">
        <v>3.2300000000000002E-2</v>
      </c>
      <c r="Q1905" s="1">
        <v>3.2300000000000002E-2</v>
      </c>
      <c r="R1905" s="1">
        <v>0.19389999999999999</v>
      </c>
      <c r="S1905" s="1">
        <v>0.30609999999999998</v>
      </c>
      <c r="U1905" s="1">
        <v>0.5323</v>
      </c>
    </row>
    <row r="1907" spans="1:54">
      <c r="A1907" t="s">
        <v>564</v>
      </c>
    </row>
    <row r="1908" spans="1:54">
      <c r="A1908" t="s">
        <v>190</v>
      </c>
      <c r="B1908" t="s">
        <v>565</v>
      </c>
      <c r="C1908" t="s">
        <v>566</v>
      </c>
      <c r="D1908" t="s">
        <v>567</v>
      </c>
      <c r="E1908" t="s">
        <v>568</v>
      </c>
      <c r="F1908" t="s">
        <v>569</v>
      </c>
      <c r="G1908" t="s">
        <v>570</v>
      </c>
      <c r="H1908" t="s">
        <v>571</v>
      </c>
      <c r="I1908" t="s">
        <v>572</v>
      </c>
      <c r="J1908" t="s">
        <v>573</v>
      </c>
      <c r="K1908" t="s">
        <v>574</v>
      </c>
      <c r="L1908" t="s">
        <v>575</v>
      </c>
      <c r="M1908" t="s">
        <v>576</v>
      </c>
      <c r="N1908" t="s">
        <v>577</v>
      </c>
      <c r="O1908" t="s">
        <v>578</v>
      </c>
      <c r="P1908" t="s">
        <v>579</v>
      </c>
      <c r="Q1908" t="s">
        <v>580</v>
      </c>
      <c r="R1908" t="s">
        <v>581</v>
      </c>
      <c r="S1908" t="s">
        <v>582</v>
      </c>
      <c r="T1908" t="s">
        <v>583</v>
      </c>
      <c r="U1908" t="s">
        <v>584</v>
      </c>
      <c r="V1908" t="s">
        <v>585</v>
      </c>
      <c r="W1908" t="s">
        <v>586</v>
      </c>
      <c r="X1908" t="s">
        <v>587</v>
      </c>
      <c r="Y1908" t="s">
        <v>588</v>
      </c>
      <c r="Z1908" t="s">
        <v>589</v>
      </c>
      <c r="AA1908" t="s">
        <v>590</v>
      </c>
      <c r="AB1908" t="s">
        <v>591</v>
      </c>
      <c r="AC1908" t="s">
        <v>592</v>
      </c>
      <c r="AD1908" t="s">
        <v>593</v>
      </c>
      <c r="AE1908" t="s">
        <v>594</v>
      </c>
      <c r="AF1908" t="s">
        <v>595</v>
      </c>
      <c r="AG1908" t="s">
        <v>596</v>
      </c>
      <c r="AH1908" t="s">
        <v>597</v>
      </c>
      <c r="AI1908" t="s">
        <v>598</v>
      </c>
      <c r="AJ1908" t="s">
        <v>599</v>
      </c>
      <c r="AK1908" t="s">
        <v>600</v>
      </c>
      <c r="AL1908" t="s">
        <v>601</v>
      </c>
      <c r="AM1908" t="s">
        <v>602</v>
      </c>
      <c r="AN1908" t="s">
        <v>603</v>
      </c>
      <c r="AO1908" t="s">
        <v>604</v>
      </c>
      <c r="AP1908" t="s">
        <v>605</v>
      </c>
      <c r="AQ1908" t="s">
        <v>606</v>
      </c>
      <c r="AR1908" t="s">
        <v>607</v>
      </c>
      <c r="AS1908" t="s">
        <v>608</v>
      </c>
      <c r="AT1908" t="s">
        <v>609</v>
      </c>
      <c r="AU1908" t="s">
        <v>610</v>
      </c>
      <c r="AV1908" t="s">
        <v>611</v>
      </c>
      <c r="AW1908" t="s">
        <v>612</v>
      </c>
      <c r="AX1908" t="s">
        <v>613</v>
      </c>
      <c r="AY1908" t="s">
        <v>614</v>
      </c>
      <c r="AZ1908" t="s">
        <v>615</v>
      </c>
      <c r="BA1908" t="s">
        <v>616</v>
      </c>
      <c r="BB1908" t="s">
        <v>196</v>
      </c>
    </row>
    <row r="1909" spans="1:54">
      <c r="A1909" t="s">
        <v>198</v>
      </c>
      <c r="B1909">
        <v>24263.638427180718</v>
      </c>
      <c r="C1909">
        <v>20000</v>
      </c>
      <c r="D1909">
        <v>1600</v>
      </c>
      <c r="E1909">
        <v>100000</v>
      </c>
      <c r="F1909">
        <v>9902.2560316566141</v>
      </c>
      <c r="G1909">
        <v>8000</v>
      </c>
      <c r="H1909">
        <v>200</v>
      </c>
      <c r="I1909">
        <v>45000</v>
      </c>
      <c r="J1909">
        <v>26412.979412110129</v>
      </c>
      <c r="K1909">
        <v>30000</v>
      </c>
      <c r="L1909">
        <v>3000</v>
      </c>
      <c r="M1909">
        <v>60000</v>
      </c>
      <c r="N1909">
        <v>4643.1050977331197</v>
      </c>
      <c r="O1909">
        <v>4000</v>
      </c>
      <c r="P1909">
        <v>500</v>
      </c>
      <c r="Q1909">
        <v>15000</v>
      </c>
      <c r="R1909">
        <v>5403.0080811551561</v>
      </c>
      <c r="S1909">
        <v>5000</v>
      </c>
      <c r="T1909">
        <v>2000</v>
      </c>
      <c r="U1909">
        <v>19000</v>
      </c>
      <c r="V1909">
        <v>6642.9516393334679</v>
      </c>
      <c r="W1909">
        <v>5800</v>
      </c>
      <c r="X1909">
        <v>2300</v>
      </c>
      <c r="Y1909">
        <v>30000</v>
      </c>
      <c r="Z1909">
        <v>5050.5842056033707</v>
      </c>
      <c r="AA1909">
        <v>2600</v>
      </c>
      <c r="AB1909">
        <v>500</v>
      </c>
      <c r="AC1909">
        <v>340000</v>
      </c>
      <c r="AD1909">
        <v>536.99871313655649</v>
      </c>
      <c r="AE1909">
        <v>1500</v>
      </c>
      <c r="AF1909">
        <v>375</v>
      </c>
      <c r="AG1909">
        <v>5000</v>
      </c>
      <c r="AH1909">
        <v>7988.3961580915011</v>
      </c>
      <c r="AI1909">
        <v>5000</v>
      </c>
      <c r="AJ1909">
        <v>1000</v>
      </c>
      <c r="AK1909">
        <v>40000</v>
      </c>
      <c r="AL1909">
        <v>5526.2649480677683</v>
      </c>
      <c r="AM1909">
        <v>2500</v>
      </c>
      <c r="AN1909">
        <v>300</v>
      </c>
      <c r="AO1909">
        <v>73000</v>
      </c>
      <c r="AP1909">
        <v>7784.8340353124104</v>
      </c>
      <c r="AQ1909">
        <v>6000</v>
      </c>
      <c r="AR1909">
        <v>700</v>
      </c>
      <c r="AS1909">
        <v>50000</v>
      </c>
      <c r="AT1909">
        <v>2561.0904031529121</v>
      </c>
      <c r="AU1909">
        <v>3000</v>
      </c>
      <c r="AV1909">
        <v>1500</v>
      </c>
      <c r="AW1909">
        <v>6600</v>
      </c>
      <c r="AX1909">
        <v>23015.664130015772</v>
      </c>
      <c r="AY1909">
        <v>10000</v>
      </c>
      <c r="AZ1909">
        <v>1400</v>
      </c>
      <c r="BA1909">
        <v>50000</v>
      </c>
      <c r="BB1909">
        <v>426</v>
      </c>
    </row>
    <row r="1910" spans="1:54">
      <c r="A1910" t="s">
        <v>200</v>
      </c>
      <c r="B1910">
        <v>25281.199225818949</v>
      </c>
      <c r="C1910">
        <v>26000</v>
      </c>
      <c r="D1910">
        <v>1600</v>
      </c>
      <c r="E1910">
        <v>50000</v>
      </c>
      <c r="F1910">
        <v>5827.5349705220106</v>
      </c>
      <c r="G1910">
        <v>8000</v>
      </c>
      <c r="H1910">
        <v>200</v>
      </c>
      <c r="I1910">
        <v>10000</v>
      </c>
      <c r="N1910">
        <v>2686.8717970278808</v>
      </c>
      <c r="O1910">
        <v>3000</v>
      </c>
      <c r="P1910">
        <v>2000</v>
      </c>
      <c r="Q1910">
        <v>7000</v>
      </c>
      <c r="R1910">
        <v>7050.3258715767852</v>
      </c>
      <c r="S1910">
        <v>5000</v>
      </c>
      <c r="T1910">
        <v>2000</v>
      </c>
      <c r="U1910">
        <v>19000</v>
      </c>
      <c r="V1910">
        <v>7372.8966896579277</v>
      </c>
      <c r="W1910">
        <v>6900</v>
      </c>
      <c r="X1910">
        <v>2650</v>
      </c>
      <c r="Y1910">
        <v>12000</v>
      </c>
      <c r="Z1910">
        <v>4107.0363069452378</v>
      </c>
      <c r="AA1910">
        <v>6000</v>
      </c>
      <c r="AB1910">
        <v>860</v>
      </c>
      <c r="AC1910">
        <v>12600</v>
      </c>
      <c r="AH1910">
        <v>2500</v>
      </c>
      <c r="AI1910">
        <v>2500</v>
      </c>
      <c r="AJ1910">
        <v>2500</v>
      </c>
      <c r="AK1910">
        <v>2500</v>
      </c>
      <c r="AL1910">
        <v>10600</v>
      </c>
      <c r="AM1910">
        <v>10600</v>
      </c>
      <c r="AN1910">
        <v>10600</v>
      </c>
      <c r="AO1910">
        <v>10600</v>
      </c>
      <c r="AP1910">
        <v>3009.8808047453081</v>
      </c>
      <c r="AQ1910">
        <v>4000</v>
      </c>
      <c r="AR1910">
        <v>700</v>
      </c>
      <c r="AS1910">
        <v>10000</v>
      </c>
      <c r="BB1910">
        <v>426</v>
      </c>
    </row>
    <row r="1911" spans="1:54">
      <c r="A1911" t="s">
        <v>201</v>
      </c>
      <c r="B1911">
        <v>28520.689655172409</v>
      </c>
      <c r="C1911">
        <v>25000</v>
      </c>
      <c r="D1911">
        <v>3500</v>
      </c>
      <c r="E1911">
        <v>100000</v>
      </c>
      <c r="F1911">
        <v>11171.428571428571</v>
      </c>
      <c r="G1911">
        <v>15000</v>
      </c>
      <c r="H1911">
        <v>5000</v>
      </c>
      <c r="I1911">
        <v>20000</v>
      </c>
      <c r="J1911">
        <v>40750</v>
      </c>
      <c r="K1911">
        <v>33000</v>
      </c>
      <c r="L1911">
        <v>30000</v>
      </c>
      <c r="M1911">
        <v>50000</v>
      </c>
      <c r="R1911">
        <v>4846.1538461538466</v>
      </c>
      <c r="S1911">
        <v>4000</v>
      </c>
      <c r="T1911">
        <v>2000</v>
      </c>
      <c r="U1911">
        <v>14000</v>
      </c>
      <c r="V1911">
        <v>6866.21052631579</v>
      </c>
      <c r="W1911">
        <v>8000</v>
      </c>
      <c r="X1911">
        <v>2300</v>
      </c>
      <c r="Y1911">
        <v>15000</v>
      </c>
      <c r="Z1911">
        <v>2826.666666666667</v>
      </c>
      <c r="AA1911">
        <v>2560</v>
      </c>
      <c r="AB1911">
        <v>850</v>
      </c>
      <c r="AC1911">
        <v>8000</v>
      </c>
      <c r="AH1911">
        <v>17333.333333333328</v>
      </c>
      <c r="AI1911">
        <v>40000</v>
      </c>
      <c r="AJ1911">
        <v>2000</v>
      </c>
      <c r="AK1911">
        <v>40000</v>
      </c>
      <c r="AP1911">
        <v>10700</v>
      </c>
      <c r="AQ1911">
        <v>12000</v>
      </c>
      <c r="AR1911">
        <v>3000</v>
      </c>
      <c r="AS1911">
        <v>30000</v>
      </c>
      <c r="BB1911">
        <v>426</v>
      </c>
    </row>
    <row r="1912" spans="1:54">
      <c r="A1912" t="s">
        <v>202</v>
      </c>
      <c r="B1912">
        <v>28968.313076111532</v>
      </c>
      <c r="C1912">
        <v>26000</v>
      </c>
      <c r="D1912">
        <v>4000</v>
      </c>
      <c r="E1912">
        <v>97000</v>
      </c>
      <c r="F1912">
        <v>11755.17579310435</v>
      </c>
      <c r="G1912">
        <v>11000</v>
      </c>
      <c r="H1912">
        <v>1000</v>
      </c>
      <c r="I1912">
        <v>28000</v>
      </c>
      <c r="J1912">
        <v>40364.384473181854</v>
      </c>
      <c r="K1912">
        <v>50000</v>
      </c>
      <c r="L1912">
        <v>28000</v>
      </c>
      <c r="M1912">
        <v>60000</v>
      </c>
      <c r="N1912">
        <v>13336.829050108339</v>
      </c>
      <c r="O1912">
        <v>15000</v>
      </c>
      <c r="P1912">
        <v>8000</v>
      </c>
      <c r="Q1912">
        <v>15000</v>
      </c>
      <c r="R1912">
        <v>5015.0282295052948</v>
      </c>
      <c r="S1912">
        <v>4000</v>
      </c>
      <c r="T1912">
        <v>2000</v>
      </c>
      <c r="U1912">
        <v>14000</v>
      </c>
      <c r="V1912">
        <v>6754.6909712889392</v>
      </c>
      <c r="W1912">
        <v>5000</v>
      </c>
      <c r="X1912">
        <v>2300</v>
      </c>
      <c r="Y1912">
        <v>24000</v>
      </c>
      <c r="Z1912">
        <v>2330.569088055478</v>
      </c>
      <c r="AA1912">
        <v>2400</v>
      </c>
      <c r="AB1912">
        <v>860</v>
      </c>
      <c r="AC1912">
        <v>7000</v>
      </c>
      <c r="AH1912">
        <v>10000</v>
      </c>
      <c r="AI1912">
        <v>10000</v>
      </c>
      <c r="AJ1912">
        <v>10000</v>
      </c>
      <c r="AK1912">
        <v>10000</v>
      </c>
      <c r="AL1912">
        <v>10800</v>
      </c>
      <c r="AM1912">
        <v>10800</v>
      </c>
      <c r="AN1912">
        <v>10800</v>
      </c>
      <c r="AO1912">
        <v>10800</v>
      </c>
      <c r="AP1912">
        <v>16810.322608406681</v>
      </c>
      <c r="AQ1912">
        <v>10000</v>
      </c>
      <c r="AR1912">
        <v>1000</v>
      </c>
      <c r="AS1912">
        <v>50000</v>
      </c>
      <c r="AT1912">
        <v>2000</v>
      </c>
      <c r="AU1912">
        <v>2000</v>
      </c>
      <c r="AV1912">
        <v>2000</v>
      </c>
      <c r="AW1912">
        <v>2000</v>
      </c>
      <c r="AX1912">
        <v>50000</v>
      </c>
      <c r="AY1912">
        <v>50000</v>
      </c>
      <c r="AZ1912">
        <v>50000</v>
      </c>
      <c r="BA1912">
        <v>50000</v>
      </c>
      <c r="BB1912">
        <v>426</v>
      </c>
    </row>
    <row r="1913" spans="1:54">
      <c r="A1913" t="s">
        <v>203</v>
      </c>
      <c r="B1913">
        <v>12406.13693769478</v>
      </c>
      <c r="C1913">
        <v>10000</v>
      </c>
      <c r="D1913">
        <v>3000</v>
      </c>
      <c r="E1913">
        <v>84000</v>
      </c>
      <c r="F1913">
        <v>6581.8596718967237</v>
      </c>
      <c r="G1913">
        <v>9000</v>
      </c>
      <c r="H1913">
        <v>1500</v>
      </c>
      <c r="I1913">
        <v>10000</v>
      </c>
      <c r="J1913">
        <v>16242.220499566411</v>
      </c>
      <c r="K1913">
        <v>20000</v>
      </c>
      <c r="L1913">
        <v>4000</v>
      </c>
      <c r="M1913">
        <v>20000</v>
      </c>
      <c r="N1913">
        <v>3000</v>
      </c>
      <c r="O1913">
        <v>3000</v>
      </c>
      <c r="P1913">
        <v>3000</v>
      </c>
      <c r="Q1913">
        <v>3000</v>
      </c>
      <c r="R1913">
        <v>6359.4059601939289</v>
      </c>
      <c r="S1913">
        <v>5000</v>
      </c>
      <c r="T1913">
        <v>2000</v>
      </c>
      <c r="U1913">
        <v>15000</v>
      </c>
      <c r="V1913">
        <v>5809.9910368714463</v>
      </c>
      <c r="W1913">
        <v>3800</v>
      </c>
      <c r="X1913">
        <v>2500</v>
      </c>
      <c r="Y1913">
        <v>30000</v>
      </c>
      <c r="Z1913">
        <v>4796.4104277929764</v>
      </c>
      <c r="AA1913">
        <v>4327</v>
      </c>
      <c r="AB1913">
        <v>860</v>
      </c>
      <c r="AC1913">
        <v>11100</v>
      </c>
      <c r="AD1913">
        <v>1500</v>
      </c>
      <c r="AE1913">
        <v>1500</v>
      </c>
      <c r="AF1913">
        <v>1500</v>
      </c>
      <c r="AG1913">
        <v>1500</v>
      </c>
      <c r="AH1913">
        <v>4000</v>
      </c>
      <c r="AI1913">
        <v>4000</v>
      </c>
      <c r="AJ1913">
        <v>4000</v>
      </c>
      <c r="AK1913">
        <v>4000</v>
      </c>
      <c r="AP1913">
        <v>10071.91074232055</v>
      </c>
      <c r="AQ1913">
        <v>8000</v>
      </c>
      <c r="AR1913">
        <v>1000</v>
      </c>
      <c r="AS1913">
        <v>20000</v>
      </c>
      <c r="AX1913">
        <v>2000</v>
      </c>
      <c r="AY1913">
        <v>2000</v>
      </c>
      <c r="AZ1913">
        <v>2000</v>
      </c>
      <c r="BA1913">
        <v>2000</v>
      </c>
      <c r="BB1913">
        <v>426</v>
      </c>
    </row>
    <row r="1914" spans="1:54">
      <c r="A1914" t="s">
        <v>205</v>
      </c>
      <c r="B1914">
        <v>24630.434969579739</v>
      </c>
      <c r="C1914">
        <v>25000</v>
      </c>
      <c r="D1914">
        <v>2000</v>
      </c>
      <c r="E1914">
        <v>54000</v>
      </c>
      <c r="F1914">
        <v>14811.221846253289</v>
      </c>
      <c r="G1914">
        <v>15000</v>
      </c>
      <c r="H1914">
        <v>4000</v>
      </c>
      <c r="I1914">
        <v>25000</v>
      </c>
      <c r="N1914">
        <v>5998.5140394055124</v>
      </c>
      <c r="O1914">
        <v>15000</v>
      </c>
      <c r="P1914">
        <v>5000</v>
      </c>
      <c r="Q1914">
        <v>15000</v>
      </c>
      <c r="R1914">
        <v>4797.1761821586351</v>
      </c>
      <c r="S1914">
        <v>5000</v>
      </c>
      <c r="T1914">
        <v>2000</v>
      </c>
      <c r="U1914">
        <v>15000</v>
      </c>
      <c r="V1914">
        <v>7978.8193675470638</v>
      </c>
      <c r="W1914">
        <v>8000</v>
      </c>
      <c r="X1914">
        <v>2900</v>
      </c>
      <c r="Y1914">
        <v>21500</v>
      </c>
      <c r="Z1914">
        <v>3201.0994264861301</v>
      </c>
      <c r="AA1914">
        <v>3000</v>
      </c>
      <c r="AB1914">
        <v>850</v>
      </c>
      <c r="AC1914">
        <v>7000</v>
      </c>
      <c r="AH1914">
        <v>8000</v>
      </c>
      <c r="AI1914">
        <v>8000</v>
      </c>
      <c r="AJ1914">
        <v>8000</v>
      </c>
      <c r="AK1914">
        <v>8000</v>
      </c>
      <c r="AL1914">
        <v>2178.4307718277619</v>
      </c>
      <c r="AM1914">
        <v>2200</v>
      </c>
      <c r="AN1914">
        <v>300</v>
      </c>
      <c r="AO1914">
        <v>8800</v>
      </c>
      <c r="AP1914">
        <v>3906.6490232141091</v>
      </c>
      <c r="AQ1914">
        <v>6000</v>
      </c>
      <c r="AR1914">
        <v>2000</v>
      </c>
      <c r="AS1914">
        <v>6000</v>
      </c>
      <c r="BB1914">
        <v>426</v>
      </c>
    </row>
    <row r="1915" spans="1:54">
      <c r="A1915" t="s">
        <v>206</v>
      </c>
      <c r="B1915">
        <v>16161.38839096775</v>
      </c>
      <c r="C1915">
        <v>10000</v>
      </c>
      <c r="D1915">
        <v>1600</v>
      </c>
      <c r="E1915">
        <v>100000</v>
      </c>
      <c r="F1915">
        <v>11380.55002535436</v>
      </c>
      <c r="G1915">
        <v>8000</v>
      </c>
      <c r="H1915">
        <v>2000</v>
      </c>
      <c r="I1915">
        <v>37000</v>
      </c>
      <c r="J1915">
        <v>22000</v>
      </c>
      <c r="K1915">
        <v>22000</v>
      </c>
      <c r="L1915">
        <v>22000</v>
      </c>
      <c r="M1915">
        <v>22000</v>
      </c>
      <c r="N1915">
        <v>13000</v>
      </c>
      <c r="O1915">
        <v>13000</v>
      </c>
      <c r="P1915">
        <v>13000</v>
      </c>
      <c r="Q1915">
        <v>13000</v>
      </c>
      <c r="R1915">
        <v>6378.6587437936132</v>
      </c>
      <c r="S1915">
        <v>6000</v>
      </c>
      <c r="T1915">
        <v>2000</v>
      </c>
      <c r="U1915">
        <v>16000</v>
      </c>
      <c r="V1915">
        <v>5577.0899183433448</v>
      </c>
      <c r="W1915">
        <v>5000</v>
      </c>
      <c r="X1915">
        <v>2500</v>
      </c>
      <c r="Y1915">
        <v>12000</v>
      </c>
      <c r="Z1915">
        <v>7110.8622765633954</v>
      </c>
      <c r="AA1915">
        <v>4800</v>
      </c>
      <c r="AB1915">
        <v>860</v>
      </c>
      <c r="AC1915">
        <v>23000</v>
      </c>
      <c r="AH1915">
        <v>5086.2879997422961</v>
      </c>
      <c r="AI1915">
        <v>3000</v>
      </c>
      <c r="AJ1915">
        <v>3000</v>
      </c>
      <c r="AK1915">
        <v>8000</v>
      </c>
      <c r="AL1915">
        <v>30020.013861648771</v>
      </c>
      <c r="AM1915">
        <v>73000</v>
      </c>
      <c r="AN1915">
        <v>10000</v>
      </c>
      <c r="AO1915">
        <v>73000</v>
      </c>
      <c r="AP1915">
        <v>12406.17259748049</v>
      </c>
      <c r="AQ1915">
        <v>18000</v>
      </c>
      <c r="AR1915">
        <v>2000</v>
      </c>
      <c r="AS1915">
        <v>18000</v>
      </c>
      <c r="AT1915">
        <v>6600</v>
      </c>
      <c r="AU1915">
        <v>6600</v>
      </c>
      <c r="AV1915">
        <v>6600</v>
      </c>
      <c r="AW1915">
        <v>6600</v>
      </c>
      <c r="AX1915">
        <v>5539.5821331054494</v>
      </c>
      <c r="AY1915">
        <v>9900</v>
      </c>
      <c r="AZ1915">
        <v>1600</v>
      </c>
      <c r="BA1915">
        <v>9900</v>
      </c>
      <c r="BB1915">
        <v>426</v>
      </c>
    </row>
    <row r="1916" spans="1:54">
      <c r="A1916" t="s">
        <v>207</v>
      </c>
      <c r="B1916">
        <v>18322.30612046213</v>
      </c>
      <c r="C1916">
        <v>15000</v>
      </c>
      <c r="D1916">
        <v>2600</v>
      </c>
      <c r="E1916">
        <v>70000</v>
      </c>
      <c r="F1916">
        <v>8028.8582485588877</v>
      </c>
      <c r="G1916">
        <v>6500</v>
      </c>
      <c r="H1916">
        <v>200</v>
      </c>
      <c r="I1916">
        <v>25000</v>
      </c>
      <c r="J1916">
        <v>9189.5220432778933</v>
      </c>
      <c r="K1916">
        <v>15000</v>
      </c>
      <c r="L1916">
        <v>8000</v>
      </c>
      <c r="M1916">
        <v>15000</v>
      </c>
      <c r="N1916">
        <v>500</v>
      </c>
      <c r="O1916">
        <v>500</v>
      </c>
      <c r="P1916">
        <v>500</v>
      </c>
      <c r="Q1916">
        <v>500</v>
      </c>
      <c r="R1916">
        <v>6775.6716968453993</v>
      </c>
      <c r="S1916">
        <v>7000</v>
      </c>
      <c r="T1916">
        <v>2000</v>
      </c>
      <c r="U1916">
        <v>17000</v>
      </c>
      <c r="V1916">
        <v>6436.3553839823899</v>
      </c>
      <c r="W1916">
        <v>7680</v>
      </c>
      <c r="X1916">
        <v>2300</v>
      </c>
      <c r="Y1916">
        <v>15000</v>
      </c>
      <c r="Z1916">
        <v>3908.4952436389358</v>
      </c>
      <c r="AA1916">
        <v>2200</v>
      </c>
      <c r="AB1916">
        <v>500</v>
      </c>
      <c r="AC1916">
        <v>20000</v>
      </c>
      <c r="AD1916">
        <v>522.8387406751641</v>
      </c>
      <c r="AE1916">
        <v>375</v>
      </c>
      <c r="AF1916">
        <v>375</v>
      </c>
      <c r="AG1916">
        <v>5000</v>
      </c>
      <c r="AH1916">
        <v>3108.526186512448</v>
      </c>
      <c r="AI1916">
        <v>5000</v>
      </c>
      <c r="AJ1916">
        <v>1000</v>
      </c>
      <c r="AK1916">
        <v>8000</v>
      </c>
      <c r="AL1916">
        <v>9939.7912266325493</v>
      </c>
      <c r="AM1916">
        <v>13000</v>
      </c>
      <c r="AN1916">
        <v>3000</v>
      </c>
      <c r="AO1916">
        <v>21600</v>
      </c>
      <c r="AP1916">
        <v>8174.8205949897183</v>
      </c>
      <c r="AQ1916">
        <v>10000</v>
      </c>
      <c r="AR1916">
        <v>2500</v>
      </c>
      <c r="AS1916">
        <v>10000</v>
      </c>
      <c r="AT1916">
        <v>1500</v>
      </c>
      <c r="AU1916">
        <v>1500</v>
      </c>
      <c r="AV1916">
        <v>1500</v>
      </c>
      <c r="AW1916">
        <v>1500</v>
      </c>
      <c r="AX1916">
        <v>9464.9139877990074</v>
      </c>
      <c r="AY1916">
        <v>30000</v>
      </c>
      <c r="AZ1916">
        <v>1400</v>
      </c>
      <c r="BA1916">
        <v>30000</v>
      </c>
      <c r="BB1916">
        <v>426</v>
      </c>
    </row>
    <row r="1917" spans="1:54">
      <c r="A1917" t="s">
        <v>208</v>
      </c>
      <c r="B1917">
        <v>16676.28571428571</v>
      </c>
      <c r="C1917">
        <v>13000</v>
      </c>
      <c r="D1917">
        <v>6000</v>
      </c>
      <c r="E1917">
        <v>50000</v>
      </c>
      <c r="F1917">
        <v>6593.3333333333312</v>
      </c>
      <c r="G1917">
        <v>7000</v>
      </c>
      <c r="H1917">
        <v>500</v>
      </c>
      <c r="I1917">
        <v>15000</v>
      </c>
      <c r="N1917">
        <v>7500</v>
      </c>
      <c r="O1917">
        <v>7500</v>
      </c>
      <c r="P1917">
        <v>7500</v>
      </c>
      <c r="Q1917">
        <v>7500</v>
      </c>
      <c r="R1917">
        <v>5399.9999999999982</v>
      </c>
      <c r="S1917">
        <v>5000</v>
      </c>
      <c r="T1917">
        <v>2000</v>
      </c>
      <c r="U1917">
        <v>15000</v>
      </c>
      <c r="V1917">
        <v>4988.8636363636351</v>
      </c>
      <c r="W1917">
        <v>4000</v>
      </c>
      <c r="X1917">
        <v>2300</v>
      </c>
      <c r="Y1917">
        <v>12980</v>
      </c>
      <c r="Z1917">
        <v>18012.53571428571</v>
      </c>
      <c r="AA1917">
        <v>2300</v>
      </c>
      <c r="AB1917">
        <v>860</v>
      </c>
      <c r="AC1917">
        <v>340000</v>
      </c>
      <c r="AH1917">
        <v>3800</v>
      </c>
      <c r="AI1917">
        <v>5000</v>
      </c>
      <c r="AJ1917">
        <v>2000</v>
      </c>
      <c r="AK1917">
        <v>7000</v>
      </c>
      <c r="AL1917">
        <v>10816.66666666667</v>
      </c>
      <c r="AM1917">
        <v>4400</v>
      </c>
      <c r="AN1917">
        <v>1000</v>
      </c>
      <c r="AO1917">
        <v>42000</v>
      </c>
      <c r="AP1917">
        <v>5000</v>
      </c>
      <c r="AQ1917">
        <v>5000</v>
      </c>
      <c r="AR1917">
        <v>5000</v>
      </c>
      <c r="AS1917">
        <v>5000</v>
      </c>
      <c r="AX1917">
        <v>9000</v>
      </c>
      <c r="AY1917">
        <v>9000</v>
      </c>
      <c r="AZ1917">
        <v>9000</v>
      </c>
      <c r="BA1917">
        <v>9000</v>
      </c>
      <c r="BB1917">
        <v>426</v>
      </c>
    </row>
    <row r="1918" spans="1:54">
      <c r="A1918" t="s">
        <v>210</v>
      </c>
      <c r="B1918">
        <v>13598.045532855611</v>
      </c>
      <c r="C1918">
        <v>10000</v>
      </c>
      <c r="D1918">
        <v>3000</v>
      </c>
      <c r="E1918">
        <v>30000</v>
      </c>
      <c r="F1918">
        <v>6869.5230478476533</v>
      </c>
      <c r="G1918">
        <v>10000</v>
      </c>
      <c r="H1918">
        <v>2000</v>
      </c>
      <c r="I1918">
        <v>15000</v>
      </c>
      <c r="J1918">
        <v>3000</v>
      </c>
      <c r="K1918">
        <v>3000</v>
      </c>
      <c r="L1918">
        <v>3000</v>
      </c>
      <c r="M1918">
        <v>3000</v>
      </c>
      <c r="R1918">
        <v>6212.3487960713692</v>
      </c>
      <c r="S1918">
        <v>5000</v>
      </c>
      <c r="T1918">
        <v>2000</v>
      </c>
      <c r="U1918">
        <v>15000</v>
      </c>
      <c r="V1918">
        <v>5090.6838712813233</v>
      </c>
      <c r="W1918">
        <v>4350</v>
      </c>
      <c r="X1918">
        <v>2700</v>
      </c>
      <c r="Y1918">
        <v>8000</v>
      </c>
      <c r="Z1918">
        <v>3408.5235663628382</v>
      </c>
      <c r="AA1918">
        <v>3000</v>
      </c>
      <c r="AB1918">
        <v>860</v>
      </c>
      <c r="AC1918">
        <v>8000</v>
      </c>
      <c r="AL1918">
        <v>14160.381231123691</v>
      </c>
      <c r="AM1918">
        <v>12000</v>
      </c>
      <c r="AN1918">
        <v>6400</v>
      </c>
      <c r="AO1918">
        <v>21600</v>
      </c>
      <c r="AP1918">
        <v>25773.724320452759</v>
      </c>
      <c r="AQ1918">
        <v>20000</v>
      </c>
      <c r="AR1918">
        <v>20000</v>
      </c>
      <c r="AS1918">
        <v>38000</v>
      </c>
      <c r="BB1918">
        <v>426</v>
      </c>
    </row>
    <row r="1919" spans="1:54">
      <c r="A1919" t="s">
        <v>211</v>
      </c>
      <c r="B1919">
        <v>15680.205925492</v>
      </c>
      <c r="C1919">
        <v>14000</v>
      </c>
      <c r="D1919">
        <v>2000</v>
      </c>
      <c r="E1919">
        <v>40000</v>
      </c>
      <c r="F1919">
        <v>8684.188692183805</v>
      </c>
      <c r="G1919">
        <v>7000</v>
      </c>
      <c r="H1919">
        <v>1300</v>
      </c>
      <c r="I1919">
        <v>30000</v>
      </c>
      <c r="J1919">
        <v>20000</v>
      </c>
      <c r="K1919">
        <v>20000</v>
      </c>
      <c r="L1919">
        <v>20000</v>
      </c>
      <c r="M1919">
        <v>20000</v>
      </c>
      <c r="N1919">
        <v>3738.9451033948758</v>
      </c>
      <c r="O1919">
        <v>4000</v>
      </c>
      <c r="P1919">
        <v>2500</v>
      </c>
      <c r="Q1919">
        <v>7000</v>
      </c>
      <c r="R1919">
        <v>6407.3317963925929</v>
      </c>
      <c r="S1919">
        <v>6000</v>
      </c>
      <c r="T1919">
        <v>2000</v>
      </c>
      <c r="U1919">
        <v>16000</v>
      </c>
      <c r="V1919">
        <v>4921.6435588330478</v>
      </c>
      <c r="W1919">
        <v>4983</v>
      </c>
      <c r="X1919">
        <v>2300</v>
      </c>
      <c r="Y1919">
        <v>12000</v>
      </c>
      <c r="Z1919">
        <v>4773.6773464391053</v>
      </c>
      <c r="AA1919">
        <v>3800</v>
      </c>
      <c r="AB1919">
        <v>800</v>
      </c>
      <c r="AC1919">
        <v>20000</v>
      </c>
      <c r="AL1919">
        <v>6885.6821318827269</v>
      </c>
      <c r="AM1919">
        <v>10800</v>
      </c>
      <c r="AN1919">
        <v>600</v>
      </c>
      <c r="AO1919">
        <v>15000</v>
      </c>
      <c r="AP1919">
        <v>5566.2918091680667</v>
      </c>
      <c r="AQ1919">
        <v>5000</v>
      </c>
      <c r="AR1919">
        <v>2000</v>
      </c>
      <c r="AS1919">
        <v>10000</v>
      </c>
      <c r="BB1919">
        <v>426</v>
      </c>
    </row>
    <row r="1920" spans="1:54">
      <c r="A1920" t="s">
        <v>212</v>
      </c>
      <c r="B1920">
        <v>23247.054866963688</v>
      </c>
      <c r="C1920">
        <v>20000</v>
      </c>
      <c r="D1920">
        <v>6000</v>
      </c>
      <c r="E1920">
        <v>66000</v>
      </c>
      <c r="F1920">
        <v>10477.886558357</v>
      </c>
      <c r="G1920">
        <v>6000</v>
      </c>
      <c r="H1920">
        <v>500</v>
      </c>
      <c r="I1920">
        <v>45000</v>
      </c>
      <c r="J1920">
        <v>11042.372778481011</v>
      </c>
      <c r="K1920">
        <v>15000</v>
      </c>
      <c r="L1920">
        <v>10000</v>
      </c>
      <c r="M1920">
        <v>15000</v>
      </c>
      <c r="R1920">
        <v>4689.6377888334337</v>
      </c>
      <c r="S1920">
        <v>5000</v>
      </c>
      <c r="T1920">
        <v>2000</v>
      </c>
      <c r="U1920">
        <v>12000</v>
      </c>
      <c r="V1920">
        <v>5570.8886504942448</v>
      </c>
      <c r="W1920">
        <v>5200</v>
      </c>
      <c r="X1920">
        <v>2300</v>
      </c>
      <c r="Y1920">
        <v>14000</v>
      </c>
      <c r="Z1920">
        <v>3610.9535895641079</v>
      </c>
      <c r="AA1920">
        <v>2500</v>
      </c>
      <c r="AB1920">
        <v>860</v>
      </c>
      <c r="AC1920">
        <v>10800</v>
      </c>
      <c r="AH1920">
        <v>8591.393856474182</v>
      </c>
      <c r="AI1920">
        <v>10000</v>
      </c>
      <c r="AJ1920">
        <v>2000</v>
      </c>
      <c r="AK1920">
        <v>17000</v>
      </c>
      <c r="AL1920">
        <v>1500</v>
      </c>
      <c r="AM1920">
        <v>500</v>
      </c>
      <c r="AN1920">
        <v>500</v>
      </c>
      <c r="AO1920">
        <v>2500</v>
      </c>
      <c r="AP1920">
        <v>6674.9691878142276</v>
      </c>
      <c r="AQ1920">
        <v>6000</v>
      </c>
      <c r="AR1920">
        <v>1500</v>
      </c>
      <c r="AS1920">
        <v>20000</v>
      </c>
      <c r="AT1920">
        <v>3000</v>
      </c>
      <c r="AU1920">
        <v>3000</v>
      </c>
      <c r="AV1920">
        <v>3000</v>
      </c>
      <c r="AW1920">
        <v>3000</v>
      </c>
      <c r="BB1920">
        <v>426</v>
      </c>
    </row>
    <row r="1922" spans="1:55">
      <c r="A1922" t="s">
        <v>617</v>
      </c>
    </row>
    <row r="1923" spans="1:55">
      <c r="A1923" t="s">
        <v>190</v>
      </c>
      <c r="B1923" t="s">
        <v>214</v>
      </c>
      <c r="C1923" t="s">
        <v>565</v>
      </c>
      <c r="D1923" t="s">
        <v>566</v>
      </c>
      <c r="E1923" t="s">
        <v>567</v>
      </c>
      <c r="F1923" t="s">
        <v>568</v>
      </c>
      <c r="G1923" t="s">
        <v>569</v>
      </c>
      <c r="H1923" t="s">
        <v>570</v>
      </c>
      <c r="I1923" t="s">
        <v>571</v>
      </c>
      <c r="J1923" t="s">
        <v>572</v>
      </c>
      <c r="K1923" t="s">
        <v>573</v>
      </c>
      <c r="L1923" t="s">
        <v>574</v>
      </c>
      <c r="M1923" t="s">
        <v>575</v>
      </c>
      <c r="N1923" t="s">
        <v>576</v>
      </c>
      <c r="O1923" t="s">
        <v>577</v>
      </c>
      <c r="P1923" t="s">
        <v>578</v>
      </c>
      <c r="Q1923" t="s">
        <v>579</v>
      </c>
      <c r="R1923" t="s">
        <v>580</v>
      </c>
      <c r="S1923" t="s">
        <v>581</v>
      </c>
      <c r="T1923" t="s">
        <v>582</v>
      </c>
      <c r="U1923" t="s">
        <v>583</v>
      </c>
      <c r="V1923" t="s">
        <v>584</v>
      </c>
      <c r="W1923" t="s">
        <v>585</v>
      </c>
      <c r="X1923" t="s">
        <v>586</v>
      </c>
      <c r="Y1923" t="s">
        <v>587</v>
      </c>
      <c r="Z1923" t="s">
        <v>588</v>
      </c>
      <c r="AA1923" t="s">
        <v>589</v>
      </c>
      <c r="AB1923" t="s">
        <v>590</v>
      </c>
      <c r="AC1923" t="s">
        <v>591</v>
      </c>
      <c r="AD1923" t="s">
        <v>592</v>
      </c>
      <c r="AE1923" t="s">
        <v>593</v>
      </c>
      <c r="AF1923" t="s">
        <v>594</v>
      </c>
      <c r="AG1923" t="s">
        <v>595</v>
      </c>
      <c r="AH1923" t="s">
        <v>596</v>
      </c>
      <c r="AI1923" t="s">
        <v>597</v>
      </c>
      <c r="AJ1923" t="s">
        <v>598</v>
      </c>
      <c r="AK1923" t="s">
        <v>599</v>
      </c>
      <c r="AL1923" t="s">
        <v>600</v>
      </c>
      <c r="AM1923" t="s">
        <v>601</v>
      </c>
      <c r="AN1923" t="s">
        <v>602</v>
      </c>
      <c r="AO1923" t="s">
        <v>603</v>
      </c>
      <c r="AP1923" t="s">
        <v>604</v>
      </c>
      <c r="AQ1923" t="s">
        <v>605</v>
      </c>
      <c r="AR1923" t="s">
        <v>606</v>
      </c>
      <c r="AS1923" t="s">
        <v>607</v>
      </c>
      <c r="AT1923" t="s">
        <v>608</v>
      </c>
      <c r="AU1923" t="s">
        <v>609</v>
      </c>
      <c r="AV1923" t="s">
        <v>610</v>
      </c>
      <c r="AW1923" t="s">
        <v>611</v>
      </c>
      <c r="AX1923" t="s">
        <v>612</v>
      </c>
      <c r="AY1923" t="s">
        <v>613</v>
      </c>
      <c r="AZ1923" t="s">
        <v>614</v>
      </c>
      <c r="BA1923" t="s">
        <v>615</v>
      </c>
      <c r="BB1923" t="s">
        <v>616</v>
      </c>
      <c r="BC1923" t="s">
        <v>196</v>
      </c>
    </row>
    <row r="1924" spans="1:55">
      <c r="A1924" t="s">
        <v>198</v>
      </c>
      <c r="B1924" t="s">
        <v>198</v>
      </c>
      <c r="C1924">
        <v>24263.638427180718</v>
      </c>
      <c r="D1924">
        <v>20000</v>
      </c>
      <c r="E1924">
        <v>1600</v>
      </c>
      <c r="F1924">
        <v>100000</v>
      </c>
      <c r="G1924">
        <v>9902.2560316566141</v>
      </c>
      <c r="H1924">
        <v>8000</v>
      </c>
      <c r="I1924">
        <v>200</v>
      </c>
      <c r="J1924">
        <v>45000</v>
      </c>
      <c r="K1924">
        <v>26412.979412110129</v>
      </c>
      <c r="L1924">
        <v>30000</v>
      </c>
      <c r="M1924">
        <v>3000</v>
      </c>
      <c r="N1924">
        <v>60000</v>
      </c>
      <c r="O1924">
        <v>4643.1050977331197</v>
      </c>
      <c r="P1924">
        <v>4000</v>
      </c>
      <c r="Q1924">
        <v>500</v>
      </c>
      <c r="R1924">
        <v>15000</v>
      </c>
      <c r="S1924">
        <v>5403.0080811551561</v>
      </c>
      <c r="T1924">
        <v>5000</v>
      </c>
      <c r="U1924">
        <v>2000</v>
      </c>
      <c r="V1924">
        <v>19000</v>
      </c>
      <c r="W1924">
        <v>6642.9516393334679</v>
      </c>
      <c r="X1924">
        <v>5800</v>
      </c>
      <c r="Y1924">
        <v>2300</v>
      </c>
      <c r="Z1924">
        <v>30000</v>
      </c>
      <c r="AA1924">
        <v>5050.5842056033707</v>
      </c>
      <c r="AB1924">
        <v>2600</v>
      </c>
      <c r="AC1924">
        <v>500</v>
      </c>
      <c r="AD1924">
        <v>340000</v>
      </c>
      <c r="AE1924">
        <v>536.99871313655649</v>
      </c>
      <c r="AF1924">
        <v>1500</v>
      </c>
      <c r="AG1924">
        <v>375</v>
      </c>
      <c r="AH1924">
        <v>5000</v>
      </c>
      <c r="AI1924">
        <v>7988.3961580915011</v>
      </c>
      <c r="AJ1924">
        <v>5000</v>
      </c>
      <c r="AK1924">
        <v>1000</v>
      </c>
      <c r="AL1924">
        <v>40000</v>
      </c>
      <c r="AM1924">
        <v>5526.2649480677683</v>
      </c>
      <c r="AN1924">
        <v>2500</v>
      </c>
      <c r="AO1924">
        <v>300</v>
      </c>
      <c r="AP1924">
        <v>73000</v>
      </c>
      <c r="AQ1924">
        <v>7784.8340353124104</v>
      </c>
      <c r="AR1924">
        <v>6000</v>
      </c>
      <c r="AS1924">
        <v>700</v>
      </c>
      <c r="AT1924">
        <v>50000</v>
      </c>
      <c r="AU1924">
        <v>2561.0904031529121</v>
      </c>
      <c r="AV1924">
        <v>3000</v>
      </c>
      <c r="AW1924">
        <v>1500</v>
      </c>
      <c r="AX1924">
        <v>6600</v>
      </c>
      <c r="AY1924">
        <v>23015.664130015772</v>
      </c>
      <c r="AZ1924">
        <v>10000</v>
      </c>
      <c r="BA1924">
        <v>1400</v>
      </c>
      <c r="BB1924">
        <v>50000</v>
      </c>
      <c r="BC1924">
        <v>426</v>
      </c>
    </row>
    <row r="1925" spans="1:55">
      <c r="A1925" t="s">
        <v>200</v>
      </c>
      <c r="B1925" t="s">
        <v>236</v>
      </c>
      <c r="C1925">
        <v>5375.9352708518409</v>
      </c>
      <c r="D1925">
        <v>6000</v>
      </c>
      <c r="E1925">
        <v>1600</v>
      </c>
      <c r="F1925">
        <v>10000</v>
      </c>
      <c r="G1925">
        <v>3956.955338700629</v>
      </c>
      <c r="H1925">
        <v>3000</v>
      </c>
      <c r="I1925">
        <v>200</v>
      </c>
      <c r="J1925">
        <v>8000</v>
      </c>
      <c r="O1925">
        <v>2475.496260933186</v>
      </c>
      <c r="P1925">
        <v>3000</v>
      </c>
      <c r="Q1925">
        <v>2000</v>
      </c>
      <c r="R1925">
        <v>3000</v>
      </c>
      <c r="S1925">
        <v>8736.2264097829648</v>
      </c>
      <c r="T1925">
        <v>5000</v>
      </c>
      <c r="U1925">
        <v>2000</v>
      </c>
      <c r="V1925">
        <v>19000</v>
      </c>
      <c r="W1925">
        <v>7980.4943077187127</v>
      </c>
      <c r="X1925">
        <v>11000</v>
      </c>
      <c r="Y1925">
        <v>2900</v>
      </c>
      <c r="Z1925">
        <v>12000</v>
      </c>
      <c r="AA1925">
        <v>4992.5508653402812</v>
      </c>
      <c r="AB1925">
        <v>6000</v>
      </c>
      <c r="AC1925">
        <v>1500</v>
      </c>
      <c r="AD1925">
        <v>12600</v>
      </c>
      <c r="AI1925">
        <v>2500</v>
      </c>
      <c r="AJ1925">
        <v>2500</v>
      </c>
      <c r="AK1925">
        <v>2500</v>
      </c>
      <c r="AL1925">
        <v>2500</v>
      </c>
      <c r="AQ1925">
        <v>3463.3885394519898</v>
      </c>
      <c r="AR1925">
        <v>2000</v>
      </c>
      <c r="AS1925">
        <v>2000</v>
      </c>
      <c r="AT1925">
        <v>10000</v>
      </c>
      <c r="BC1925">
        <v>426</v>
      </c>
    </row>
    <row r="1926" spans="1:55">
      <c r="A1926" t="s">
        <v>200</v>
      </c>
      <c r="B1926" t="s">
        <v>235</v>
      </c>
      <c r="C1926">
        <v>26989.289657148911</v>
      </c>
      <c r="D1926">
        <v>37000</v>
      </c>
      <c r="E1926">
        <v>3000</v>
      </c>
      <c r="F1926">
        <v>50000</v>
      </c>
      <c r="G1926">
        <v>7822.238446003832</v>
      </c>
      <c r="H1926">
        <v>10000</v>
      </c>
      <c r="I1926">
        <v>800</v>
      </c>
      <c r="J1926">
        <v>10000</v>
      </c>
      <c r="O1926">
        <v>7000</v>
      </c>
      <c r="P1926">
        <v>7000</v>
      </c>
      <c r="Q1926">
        <v>7000</v>
      </c>
      <c r="R1926">
        <v>7000</v>
      </c>
      <c r="S1926">
        <v>5927.2001568444066</v>
      </c>
      <c r="T1926">
        <v>5000</v>
      </c>
      <c r="U1926">
        <v>2000</v>
      </c>
      <c r="V1926">
        <v>12000</v>
      </c>
      <c r="W1926">
        <v>5627.4652516753686</v>
      </c>
      <c r="X1926">
        <v>6000</v>
      </c>
      <c r="Y1926">
        <v>2650</v>
      </c>
      <c r="Z1926">
        <v>11000</v>
      </c>
      <c r="AA1926">
        <v>1578.1514412401109</v>
      </c>
      <c r="AB1926">
        <v>1370</v>
      </c>
      <c r="AC1926">
        <v>860</v>
      </c>
      <c r="AD1926">
        <v>8200</v>
      </c>
      <c r="AM1926">
        <v>10600</v>
      </c>
      <c r="AN1926">
        <v>10600</v>
      </c>
      <c r="AO1926">
        <v>10600</v>
      </c>
      <c r="AP1926">
        <v>10600</v>
      </c>
      <c r="AQ1926">
        <v>2683.7524769372271</v>
      </c>
      <c r="AR1926">
        <v>4000</v>
      </c>
      <c r="AS1926">
        <v>700</v>
      </c>
      <c r="AT1926">
        <v>4000</v>
      </c>
      <c r="BC1926">
        <v>426</v>
      </c>
    </row>
    <row r="1927" spans="1:55">
      <c r="A1927" t="s">
        <v>201</v>
      </c>
      <c r="B1927" t="s">
        <v>235</v>
      </c>
      <c r="C1927">
        <v>28520.689655172409</v>
      </c>
      <c r="D1927">
        <v>25000</v>
      </c>
      <c r="E1927">
        <v>3500</v>
      </c>
      <c r="F1927">
        <v>100000</v>
      </c>
      <c r="G1927">
        <v>11171.428571428571</v>
      </c>
      <c r="H1927">
        <v>15000</v>
      </c>
      <c r="I1927">
        <v>5000</v>
      </c>
      <c r="J1927">
        <v>20000</v>
      </c>
      <c r="K1927">
        <v>40750</v>
      </c>
      <c r="L1927">
        <v>33000</v>
      </c>
      <c r="M1927">
        <v>30000</v>
      </c>
      <c r="N1927">
        <v>50000</v>
      </c>
      <c r="S1927">
        <v>4846.1538461538466</v>
      </c>
      <c r="T1927">
        <v>4000</v>
      </c>
      <c r="U1927">
        <v>2000</v>
      </c>
      <c r="V1927">
        <v>14000</v>
      </c>
      <c r="W1927">
        <v>6866.21052631579</v>
      </c>
      <c r="X1927">
        <v>8000</v>
      </c>
      <c r="Y1927">
        <v>2300</v>
      </c>
      <c r="Z1927">
        <v>15000</v>
      </c>
      <c r="AA1927">
        <v>2826.666666666667</v>
      </c>
      <c r="AB1927">
        <v>2560</v>
      </c>
      <c r="AC1927">
        <v>850</v>
      </c>
      <c r="AD1927">
        <v>8000</v>
      </c>
      <c r="AI1927">
        <v>17333.333333333328</v>
      </c>
      <c r="AJ1927">
        <v>40000</v>
      </c>
      <c r="AK1927">
        <v>2000</v>
      </c>
      <c r="AL1927">
        <v>40000</v>
      </c>
      <c r="AQ1927">
        <v>10700</v>
      </c>
      <c r="AR1927">
        <v>12000</v>
      </c>
      <c r="AS1927">
        <v>3000</v>
      </c>
      <c r="AT1927">
        <v>30000</v>
      </c>
      <c r="BC1927">
        <v>426</v>
      </c>
    </row>
    <row r="1928" spans="1:55">
      <c r="A1928" t="s">
        <v>202</v>
      </c>
      <c r="B1928" t="s">
        <v>236</v>
      </c>
      <c r="C1928">
        <v>30423.544117092919</v>
      </c>
      <c r="D1928">
        <v>27800</v>
      </c>
      <c r="E1928">
        <v>4000</v>
      </c>
      <c r="F1928">
        <v>97000</v>
      </c>
      <c r="G1928">
        <v>13412.36955361334</v>
      </c>
      <c r="H1928">
        <v>20000</v>
      </c>
      <c r="I1928">
        <v>5000</v>
      </c>
      <c r="J1928">
        <v>23400</v>
      </c>
      <c r="K1928">
        <v>45248.08300030954</v>
      </c>
      <c r="L1928">
        <v>50000</v>
      </c>
      <c r="M1928">
        <v>30000</v>
      </c>
      <c r="N1928">
        <v>50000</v>
      </c>
      <c r="S1928">
        <v>5313.9601492205302</v>
      </c>
      <c r="T1928">
        <v>5000</v>
      </c>
      <c r="U1928">
        <v>2000</v>
      </c>
      <c r="V1928">
        <v>14000</v>
      </c>
      <c r="W1928">
        <v>6617.8388043079194</v>
      </c>
      <c r="X1928">
        <v>5400</v>
      </c>
      <c r="Y1928">
        <v>2300</v>
      </c>
      <c r="Z1928">
        <v>16000</v>
      </c>
      <c r="AA1928">
        <v>2054.1062948463959</v>
      </c>
      <c r="AB1928">
        <v>2500</v>
      </c>
      <c r="AC1928">
        <v>860</v>
      </c>
      <c r="AD1928">
        <v>3600</v>
      </c>
      <c r="AQ1928">
        <v>4000</v>
      </c>
      <c r="AR1928">
        <v>1000</v>
      </c>
      <c r="AS1928">
        <v>1000</v>
      </c>
      <c r="AT1928">
        <v>7000</v>
      </c>
      <c r="BC1928">
        <v>426</v>
      </c>
    </row>
    <row r="1929" spans="1:55">
      <c r="A1929" t="s">
        <v>202</v>
      </c>
      <c r="B1929" t="s">
        <v>235</v>
      </c>
      <c r="C1929">
        <v>27984.010508063759</v>
      </c>
      <c r="D1929">
        <v>25000</v>
      </c>
      <c r="E1929">
        <v>6000</v>
      </c>
      <c r="F1929">
        <v>85000</v>
      </c>
      <c r="G1929">
        <v>10673.54931362456</v>
      </c>
      <c r="H1929">
        <v>15000</v>
      </c>
      <c r="I1929">
        <v>1000</v>
      </c>
      <c r="J1929">
        <v>28000</v>
      </c>
      <c r="K1929">
        <v>37573.434238109017</v>
      </c>
      <c r="L1929">
        <v>60000</v>
      </c>
      <c r="M1929">
        <v>28000</v>
      </c>
      <c r="N1929">
        <v>60000</v>
      </c>
      <c r="O1929">
        <v>13336.829050108339</v>
      </c>
      <c r="P1929">
        <v>15000</v>
      </c>
      <c r="Q1929">
        <v>8000</v>
      </c>
      <c r="R1929">
        <v>15000</v>
      </c>
      <c r="S1929">
        <v>4805.6283642571634</v>
      </c>
      <c r="T1929">
        <v>4000</v>
      </c>
      <c r="U1929">
        <v>2000</v>
      </c>
      <c r="V1929">
        <v>12000</v>
      </c>
      <c r="W1929">
        <v>6857.6071939008989</v>
      </c>
      <c r="X1929">
        <v>5800</v>
      </c>
      <c r="Y1929">
        <v>2300</v>
      </c>
      <c r="Z1929">
        <v>24000</v>
      </c>
      <c r="AA1929">
        <v>2620.7603988495321</v>
      </c>
      <c r="AB1929">
        <v>2400</v>
      </c>
      <c r="AC1929">
        <v>860</v>
      </c>
      <c r="AD1929">
        <v>7000</v>
      </c>
      <c r="AI1929">
        <v>10000</v>
      </c>
      <c r="AJ1929">
        <v>10000</v>
      </c>
      <c r="AK1929">
        <v>10000</v>
      </c>
      <c r="AL1929">
        <v>10000</v>
      </c>
      <c r="AM1929">
        <v>10800</v>
      </c>
      <c r="AN1929">
        <v>10800</v>
      </c>
      <c r="AO1929">
        <v>10800</v>
      </c>
      <c r="AP1929">
        <v>10800</v>
      </c>
      <c r="AQ1929">
        <v>33570.739347401643</v>
      </c>
      <c r="AR1929">
        <v>50000</v>
      </c>
      <c r="AS1929">
        <v>10000</v>
      </c>
      <c r="AT1929">
        <v>50000</v>
      </c>
      <c r="AU1929">
        <v>2000</v>
      </c>
      <c r="AV1929">
        <v>2000</v>
      </c>
      <c r="AW1929">
        <v>2000</v>
      </c>
      <c r="AX1929">
        <v>2000</v>
      </c>
      <c r="AY1929">
        <v>50000</v>
      </c>
      <c r="AZ1929">
        <v>50000</v>
      </c>
      <c r="BA1929">
        <v>50000</v>
      </c>
      <c r="BB1929">
        <v>50000</v>
      </c>
      <c r="BC1929">
        <v>426</v>
      </c>
    </row>
    <row r="1930" spans="1:55">
      <c r="A1930" t="s">
        <v>203</v>
      </c>
      <c r="B1930" t="s">
        <v>236</v>
      </c>
      <c r="C1930">
        <v>12880.275229545459</v>
      </c>
      <c r="D1930">
        <v>8900</v>
      </c>
      <c r="E1930">
        <v>3000</v>
      </c>
      <c r="F1930">
        <v>84000</v>
      </c>
      <c r="G1930">
        <v>5342.6037995316619</v>
      </c>
      <c r="H1930">
        <v>9000</v>
      </c>
      <c r="I1930">
        <v>3000</v>
      </c>
      <c r="J1930">
        <v>9000</v>
      </c>
      <c r="O1930">
        <v>3000</v>
      </c>
      <c r="P1930">
        <v>3000</v>
      </c>
      <c r="Q1930">
        <v>3000</v>
      </c>
      <c r="R1930">
        <v>3000</v>
      </c>
      <c r="S1930">
        <v>5890.8020523100031</v>
      </c>
      <c r="T1930">
        <v>4000</v>
      </c>
      <c r="U1930">
        <v>2000</v>
      </c>
      <c r="V1930">
        <v>14000</v>
      </c>
      <c r="W1930">
        <v>5642.247140842569</v>
      </c>
      <c r="X1930">
        <v>6000</v>
      </c>
      <c r="Y1930">
        <v>2500</v>
      </c>
      <c r="Z1930">
        <v>15000</v>
      </c>
      <c r="AA1930">
        <v>5956.3279005808481</v>
      </c>
      <c r="AB1930">
        <v>4860</v>
      </c>
      <c r="AC1930">
        <v>1350</v>
      </c>
      <c r="AD1930">
        <v>11100</v>
      </c>
      <c r="AE1930">
        <v>1500</v>
      </c>
      <c r="AF1930">
        <v>1500</v>
      </c>
      <c r="AG1930">
        <v>1500</v>
      </c>
      <c r="AH1930">
        <v>1500</v>
      </c>
      <c r="AQ1930">
        <v>3568.9622472719961</v>
      </c>
      <c r="AR1930">
        <v>5000</v>
      </c>
      <c r="AS1930">
        <v>1000</v>
      </c>
      <c r="AT1930">
        <v>7000</v>
      </c>
      <c r="BC1930">
        <v>426</v>
      </c>
    </row>
    <row r="1931" spans="1:55">
      <c r="A1931" t="s">
        <v>203</v>
      </c>
      <c r="B1931" t="s">
        <v>235</v>
      </c>
      <c r="C1931">
        <v>12161.705789598611</v>
      </c>
      <c r="D1931">
        <v>12000</v>
      </c>
      <c r="E1931">
        <v>6000</v>
      </c>
      <c r="F1931">
        <v>20000</v>
      </c>
      <c r="G1931">
        <v>6977.6496760603313</v>
      </c>
      <c r="H1931">
        <v>10000</v>
      </c>
      <c r="I1931">
        <v>1500</v>
      </c>
      <c r="J1931">
        <v>10000</v>
      </c>
      <c r="K1931">
        <v>16242.220499566411</v>
      </c>
      <c r="L1931">
        <v>20000</v>
      </c>
      <c r="M1931">
        <v>4000</v>
      </c>
      <c r="N1931">
        <v>20000</v>
      </c>
      <c r="S1931">
        <v>6665.6341826232911</v>
      </c>
      <c r="T1931">
        <v>5000</v>
      </c>
      <c r="U1931">
        <v>2000</v>
      </c>
      <c r="V1931">
        <v>15000</v>
      </c>
      <c r="W1931">
        <v>5957.6321022767497</v>
      </c>
      <c r="X1931">
        <v>3200</v>
      </c>
      <c r="Y1931">
        <v>2700</v>
      </c>
      <c r="Z1931">
        <v>30000</v>
      </c>
      <c r="AA1931">
        <v>4112.4431761457499</v>
      </c>
      <c r="AB1931">
        <v>5000</v>
      </c>
      <c r="AC1931">
        <v>860</v>
      </c>
      <c r="AD1931">
        <v>10000</v>
      </c>
      <c r="AI1931">
        <v>4000</v>
      </c>
      <c r="AJ1931">
        <v>4000</v>
      </c>
      <c r="AK1931">
        <v>4000</v>
      </c>
      <c r="AL1931">
        <v>4000</v>
      </c>
      <c r="AQ1931">
        <v>17181.665374674809</v>
      </c>
      <c r="AR1931">
        <v>20000</v>
      </c>
      <c r="AS1931">
        <v>8000</v>
      </c>
      <c r="AT1931">
        <v>20000</v>
      </c>
      <c r="AY1931">
        <v>2000</v>
      </c>
      <c r="AZ1931">
        <v>2000</v>
      </c>
      <c r="BA1931">
        <v>2000</v>
      </c>
      <c r="BB1931">
        <v>2000</v>
      </c>
      <c r="BC1931">
        <v>426</v>
      </c>
    </row>
    <row r="1932" spans="1:55">
      <c r="A1932" t="s">
        <v>205</v>
      </c>
      <c r="B1932" t="s">
        <v>236</v>
      </c>
      <c r="C1932">
        <v>29638.081686400761</v>
      </c>
      <c r="D1932">
        <v>28000</v>
      </c>
      <c r="E1932">
        <v>2500</v>
      </c>
      <c r="F1932">
        <v>54000</v>
      </c>
      <c r="G1932">
        <v>5000</v>
      </c>
      <c r="H1932">
        <v>5000</v>
      </c>
      <c r="I1932">
        <v>5000</v>
      </c>
      <c r="J1932">
        <v>5000</v>
      </c>
      <c r="O1932">
        <v>7230.6700772582699</v>
      </c>
      <c r="P1932">
        <v>5000</v>
      </c>
      <c r="Q1932">
        <v>5000</v>
      </c>
      <c r="R1932">
        <v>15000</v>
      </c>
      <c r="S1932">
        <v>5248.548777138255</v>
      </c>
      <c r="T1932">
        <v>5000</v>
      </c>
      <c r="U1932">
        <v>2000</v>
      </c>
      <c r="V1932">
        <v>13000</v>
      </c>
      <c r="W1932">
        <v>8687.0347930262378</v>
      </c>
      <c r="X1932">
        <v>13000</v>
      </c>
      <c r="Y1932">
        <v>3500</v>
      </c>
      <c r="Z1932">
        <v>21500</v>
      </c>
      <c r="AA1932">
        <v>2806.3122757999081</v>
      </c>
      <c r="AB1932">
        <v>1720</v>
      </c>
      <c r="AC1932">
        <v>860</v>
      </c>
      <c r="AD1932">
        <v>7000</v>
      </c>
      <c r="AM1932">
        <v>7126.4250368335124</v>
      </c>
      <c r="AN1932">
        <v>8800</v>
      </c>
      <c r="AO1932">
        <v>4500</v>
      </c>
      <c r="AP1932">
        <v>8800</v>
      </c>
      <c r="AQ1932">
        <v>2000</v>
      </c>
      <c r="AR1932">
        <v>2000</v>
      </c>
      <c r="AS1932">
        <v>2000</v>
      </c>
      <c r="AT1932">
        <v>2000</v>
      </c>
      <c r="BC1932">
        <v>426</v>
      </c>
    </row>
    <row r="1933" spans="1:55">
      <c r="A1933" t="s">
        <v>205</v>
      </c>
      <c r="B1933" t="s">
        <v>235</v>
      </c>
      <c r="C1933">
        <v>23578.71495948343</v>
      </c>
      <c r="D1933">
        <v>25000</v>
      </c>
      <c r="E1933">
        <v>2000</v>
      </c>
      <c r="F1933">
        <v>50000</v>
      </c>
      <c r="G1933">
        <v>15399.437414340049</v>
      </c>
      <c r="H1933">
        <v>15400</v>
      </c>
      <c r="I1933">
        <v>4000</v>
      </c>
      <c r="J1933">
        <v>25000</v>
      </c>
      <c r="O1933">
        <v>5000</v>
      </c>
      <c r="P1933">
        <v>5000</v>
      </c>
      <c r="Q1933">
        <v>5000</v>
      </c>
      <c r="R1933">
        <v>5000</v>
      </c>
      <c r="S1933">
        <v>4687.821594328263</v>
      </c>
      <c r="T1933">
        <v>5000</v>
      </c>
      <c r="U1933">
        <v>2000</v>
      </c>
      <c r="V1933">
        <v>15000</v>
      </c>
      <c r="W1933">
        <v>7880.1604297897766</v>
      </c>
      <c r="X1933">
        <v>8000</v>
      </c>
      <c r="Y1933">
        <v>2900</v>
      </c>
      <c r="Z1933">
        <v>20000</v>
      </c>
      <c r="AA1933">
        <v>3289.00614582351</v>
      </c>
      <c r="AB1933">
        <v>3000</v>
      </c>
      <c r="AC1933">
        <v>850</v>
      </c>
      <c r="AD1933">
        <v>6500</v>
      </c>
      <c r="AI1933">
        <v>8000</v>
      </c>
      <c r="AJ1933">
        <v>8000</v>
      </c>
      <c r="AK1933">
        <v>8000</v>
      </c>
      <c r="AL1933">
        <v>8000</v>
      </c>
      <c r="AM1933">
        <v>925.18762498823287</v>
      </c>
      <c r="AN1933">
        <v>2200</v>
      </c>
      <c r="AO1933">
        <v>300</v>
      </c>
      <c r="AP1933">
        <v>2200</v>
      </c>
      <c r="AQ1933">
        <v>4309.5385962453529</v>
      </c>
      <c r="AR1933">
        <v>6000</v>
      </c>
      <c r="AS1933">
        <v>2000</v>
      </c>
      <c r="AT1933">
        <v>6000</v>
      </c>
      <c r="BC1933">
        <v>426</v>
      </c>
    </row>
    <row r="1934" spans="1:55">
      <c r="A1934" t="s">
        <v>206</v>
      </c>
      <c r="B1934" t="s">
        <v>236</v>
      </c>
      <c r="C1934">
        <v>22056.887601398052</v>
      </c>
      <c r="D1934">
        <v>8000</v>
      </c>
      <c r="E1934">
        <v>5000</v>
      </c>
      <c r="F1934">
        <v>100000</v>
      </c>
      <c r="S1934">
        <v>7833.3333333333348</v>
      </c>
      <c r="T1934">
        <v>8000</v>
      </c>
      <c r="U1934">
        <v>2000</v>
      </c>
      <c r="V1934">
        <v>14000</v>
      </c>
      <c r="W1934">
        <v>5235.8633719616073</v>
      </c>
      <c r="X1934">
        <v>5000</v>
      </c>
      <c r="Y1934">
        <v>2800</v>
      </c>
      <c r="Z1934">
        <v>10000</v>
      </c>
      <c r="AA1934">
        <v>1950</v>
      </c>
      <c r="AB1934">
        <v>1300</v>
      </c>
      <c r="AC1934">
        <v>1300</v>
      </c>
      <c r="AD1934">
        <v>2600</v>
      </c>
      <c r="AI1934">
        <v>8000</v>
      </c>
      <c r="AJ1934">
        <v>8000</v>
      </c>
      <c r="AK1934">
        <v>8000</v>
      </c>
      <c r="AL1934">
        <v>8000</v>
      </c>
      <c r="AM1934">
        <v>44000</v>
      </c>
      <c r="AN1934">
        <v>15000</v>
      </c>
      <c r="AO1934">
        <v>15000</v>
      </c>
      <c r="AP1934">
        <v>73000</v>
      </c>
      <c r="AQ1934">
        <v>2000</v>
      </c>
      <c r="AR1934">
        <v>2000</v>
      </c>
      <c r="AS1934">
        <v>2000</v>
      </c>
      <c r="AT1934">
        <v>2000</v>
      </c>
      <c r="AY1934">
        <v>5539.5821331054494</v>
      </c>
      <c r="AZ1934">
        <v>9900</v>
      </c>
      <c r="BA1934">
        <v>1600</v>
      </c>
      <c r="BB1934">
        <v>9900</v>
      </c>
      <c r="BC1934">
        <v>426</v>
      </c>
    </row>
    <row r="1935" spans="1:55">
      <c r="A1935" t="s">
        <v>206</v>
      </c>
      <c r="B1935" t="s">
        <v>235</v>
      </c>
      <c r="C1935">
        <v>14453.248076229669</v>
      </c>
      <c r="D1935">
        <v>12000</v>
      </c>
      <c r="E1935">
        <v>1600</v>
      </c>
      <c r="F1935">
        <v>80000</v>
      </c>
      <c r="G1935">
        <v>11380.55002535436</v>
      </c>
      <c r="H1935">
        <v>8000</v>
      </c>
      <c r="I1935">
        <v>2000</v>
      </c>
      <c r="J1935">
        <v>37000</v>
      </c>
      <c r="K1935">
        <v>22000</v>
      </c>
      <c r="L1935">
        <v>22000</v>
      </c>
      <c r="M1935">
        <v>22000</v>
      </c>
      <c r="N1935">
        <v>22000</v>
      </c>
      <c r="O1935">
        <v>13000</v>
      </c>
      <c r="P1935">
        <v>13000</v>
      </c>
      <c r="Q1935">
        <v>13000</v>
      </c>
      <c r="R1935">
        <v>13000</v>
      </c>
      <c r="S1935">
        <v>5941.1679837576476</v>
      </c>
      <c r="T1935">
        <v>5000</v>
      </c>
      <c r="U1935">
        <v>2000</v>
      </c>
      <c r="V1935">
        <v>16000</v>
      </c>
      <c r="W1935">
        <v>5074.5546798178893</v>
      </c>
      <c r="X1935">
        <v>6000</v>
      </c>
      <c r="Y1935">
        <v>2700</v>
      </c>
      <c r="Z1935">
        <v>9500</v>
      </c>
      <c r="AA1935">
        <v>8257.0608886468162</v>
      </c>
      <c r="AB1935">
        <v>8100</v>
      </c>
      <c r="AC1935">
        <v>860</v>
      </c>
      <c r="AD1935">
        <v>23000</v>
      </c>
      <c r="AI1935">
        <v>3000</v>
      </c>
      <c r="AJ1935">
        <v>3000</v>
      </c>
      <c r="AK1935">
        <v>3000</v>
      </c>
      <c r="AL1935">
        <v>3000</v>
      </c>
      <c r="AM1935">
        <v>10000</v>
      </c>
      <c r="AN1935">
        <v>10000</v>
      </c>
      <c r="AO1935">
        <v>10000</v>
      </c>
      <c r="AP1935">
        <v>10000</v>
      </c>
      <c r="AQ1935">
        <v>16748.227200154619</v>
      </c>
      <c r="AR1935">
        <v>18000</v>
      </c>
      <c r="AS1935">
        <v>15000</v>
      </c>
      <c r="AT1935">
        <v>18000</v>
      </c>
      <c r="AU1935">
        <v>6600</v>
      </c>
      <c r="AV1935">
        <v>6600</v>
      </c>
      <c r="AW1935">
        <v>6600</v>
      </c>
      <c r="AX1935">
        <v>6600</v>
      </c>
      <c r="BC1935">
        <v>426</v>
      </c>
    </row>
    <row r="1936" spans="1:55">
      <c r="A1936" t="s">
        <v>207</v>
      </c>
      <c r="B1936" t="s">
        <v>236</v>
      </c>
      <c r="C1936">
        <v>13014.887752358331</v>
      </c>
      <c r="D1936">
        <v>12000</v>
      </c>
      <c r="E1936">
        <v>2600</v>
      </c>
      <c r="F1936">
        <v>40000</v>
      </c>
      <c r="G1936">
        <v>9086.6990527594953</v>
      </c>
      <c r="H1936">
        <v>8000</v>
      </c>
      <c r="I1936">
        <v>200</v>
      </c>
      <c r="J1936">
        <v>11000</v>
      </c>
      <c r="K1936">
        <v>9000</v>
      </c>
      <c r="L1936">
        <v>9000</v>
      </c>
      <c r="M1936">
        <v>9000</v>
      </c>
      <c r="N1936">
        <v>9000</v>
      </c>
      <c r="O1936">
        <v>500</v>
      </c>
      <c r="P1936">
        <v>500</v>
      </c>
      <c r="Q1936">
        <v>500</v>
      </c>
      <c r="R1936">
        <v>500</v>
      </c>
      <c r="S1936">
        <v>5996.1182405523323</v>
      </c>
      <c r="T1936">
        <v>5000</v>
      </c>
      <c r="U1936">
        <v>2000</v>
      </c>
      <c r="V1936">
        <v>15000</v>
      </c>
      <c r="W1936">
        <v>4400.3154855618677</v>
      </c>
      <c r="X1936">
        <v>4000</v>
      </c>
      <c r="Y1936">
        <v>2500</v>
      </c>
      <c r="Z1936">
        <v>15000</v>
      </c>
      <c r="AA1936">
        <v>2891.5776944850581</v>
      </c>
      <c r="AB1936">
        <v>2000</v>
      </c>
      <c r="AC1936">
        <v>500</v>
      </c>
      <c r="AD1936">
        <v>20000</v>
      </c>
      <c r="AE1936">
        <v>5000</v>
      </c>
      <c r="AF1936">
        <v>5000</v>
      </c>
      <c r="AG1936">
        <v>5000</v>
      </c>
      <c r="AH1936">
        <v>5000</v>
      </c>
      <c r="AI1936">
        <v>6500</v>
      </c>
      <c r="AJ1936">
        <v>5000</v>
      </c>
      <c r="AK1936">
        <v>5000</v>
      </c>
      <c r="AL1936">
        <v>8000</v>
      </c>
      <c r="AM1936">
        <v>9939.7912266325493</v>
      </c>
      <c r="AN1936">
        <v>13000</v>
      </c>
      <c r="AO1936">
        <v>3000</v>
      </c>
      <c r="AP1936">
        <v>21600</v>
      </c>
      <c r="AQ1936">
        <v>7131.5973662556444</v>
      </c>
      <c r="AR1936">
        <v>10000</v>
      </c>
      <c r="AS1936">
        <v>3000</v>
      </c>
      <c r="AT1936">
        <v>10000</v>
      </c>
      <c r="AY1936">
        <v>10000</v>
      </c>
      <c r="AZ1936">
        <v>10000</v>
      </c>
      <c r="BA1936">
        <v>10000</v>
      </c>
      <c r="BB1936">
        <v>10000</v>
      </c>
      <c r="BC1936">
        <v>426</v>
      </c>
    </row>
    <row r="1937" spans="1:55">
      <c r="A1937" t="s">
        <v>207</v>
      </c>
      <c r="B1937" t="s">
        <v>235</v>
      </c>
      <c r="C1937">
        <v>20402.89123275529</v>
      </c>
      <c r="D1937">
        <v>20000</v>
      </c>
      <c r="E1937">
        <v>5000</v>
      </c>
      <c r="F1937">
        <v>70000</v>
      </c>
      <c r="G1937">
        <v>7628.41696600251</v>
      </c>
      <c r="H1937">
        <v>6000</v>
      </c>
      <c r="I1937">
        <v>800</v>
      </c>
      <c r="J1937">
        <v>25000</v>
      </c>
      <c r="K1937">
        <v>10353.033795635611</v>
      </c>
      <c r="L1937">
        <v>8000</v>
      </c>
      <c r="M1937">
        <v>8000</v>
      </c>
      <c r="N1937">
        <v>15000</v>
      </c>
      <c r="S1937">
        <v>7003.7327768066407</v>
      </c>
      <c r="T1937">
        <v>7000</v>
      </c>
      <c r="U1937">
        <v>2000</v>
      </c>
      <c r="V1937">
        <v>17000</v>
      </c>
      <c r="W1937">
        <v>8059.5066470793799</v>
      </c>
      <c r="X1937">
        <v>8000</v>
      </c>
      <c r="Y1937">
        <v>2300</v>
      </c>
      <c r="Z1937">
        <v>12970</v>
      </c>
      <c r="AA1937">
        <v>4760.2219378221389</v>
      </c>
      <c r="AB1937">
        <v>2500</v>
      </c>
      <c r="AC1937">
        <v>860</v>
      </c>
      <c r="AD1937">
        <v>12000</v>
      </c>
      <c r="AE1937">
        <v>375</v>
      </c>
      <c r="AF1937">
        <v>375</v>
      </c>
      <c r="AG1937">
        <v>375</v>
      </c>
      <c r="AH1937">
        <v>375</v>
      </c>
      <c r="AI1937">
        <v>2896.1760070310402</v>
      </c>
      <c r="AJ1937">
        <v>3000</v>
      </c>
      <c r="AK1937">
        <v>1000</v>
      </c>
      <c r="AL1937">
        <v>3000</v>
      </c>
      <c r="AQ1937">
        <v>8374.3970110831197</v>
      </c>
      <c r="AR1937">
        <v>10000</v>
      </c>
      <c r="AS1937">
        <v>2500</v>
      </c>
      <c r="AT1937">
        <v>10000</v>
      </c>
      <c r="AU1937">
        <v>1500</v>
      </c>
      <c r="AV1937">
        <v>1500</v>
      </c>
      <c r="AW1937">
        <v>1500</v>
      </c>
      <c r="AX1937">
        <v>1500</v>
      </c>
      <c r="AY1937">
        <v>9073.391772934925</v>
      </c>
      <c r="AZ1937">
        <v>1400</v>
      </c>
      <c r="BA1937">
        <v>1400</v>
      </c>
      <c r="BB1937">
        <v>30000</v>
      </c>
      <c r="BC1937">
        <v>426</v>
      </c>
    </row>
    <row r="1938" spans="1:55">
      <c r="A1938" t="s">
        <v>208</v>
      </c>
      <c r="B1938" t="s">
        <v>236</v>
      </c>
      <c r="C1938">
        <v>7300.0000000000009</v>
      </c>
      <c r="D1938">
        <v>7300</v>
      </c>
      <c r="E1938">
        <v>7300</v>
      </c>
      <c r="F1938">
        <v>7300</v>
      </c>
      <c r="G1938">
        <v>3950</v>
      </c>
      <c r="H1938">
        <v>500</v>
      </c>
      <c r="I1938">
        <v>500</v>
      </c>
      <c r="J1938">
        <v>7400</v>
      </c>
      <c r="O1938">
        <v>7500</v>
      </c>
      <c r="P1938">
        <v>7500</v>
      </c>
      <c r="Q1938">
        <v>7500</v>
      </c>
      <c r="R1938">
        <v>7500</v>
      </c>
      <c r="S1938">
        <v>6888.8888888888887</v>
      </c>
      <c r="T1938">
        <v>8000</v>
      </c>
      <c r="U1938">
        <v>2000</v>
      </c>
      <c r="V1938">
        <v>15000</v>
      </c>
      <c r="W1938">
        <v>6270</v>
      </c>
      <c r="X1938">
        <v>3800</v>
      </c>
      <c r="Y1938">
        <v>2300</v>
      </c>
      <c r="Z1938">
        <v>12980</v>
      </c>
      <c r="AA1938">
        <v>82250</v>
      </c>
      <c r="AB1938">
        <v>57000</v>
      </c>
      <c r="AC1938">
        <v>1250</v>
      </c>
      <c r="AD1938">
        <v>340000</v>
      </c>
      <c r="AM1938">
        <v>10000</v>
      </c>
      <c r="AN1938">
        <v>10000</v>
      </c>
      <c r="AO1938">
        <v>10000</v>
      </c>
      <c r="AP1938">
        <v>10000</v>
      </c>
      <c r="BC1938">
        <v>426</v>
      </c>
    </row>
    <row r="1939" spans="1:55">
      <c r="A1939" t="s">
        <v>208</v>
      </c>
      <c r="B1939" t="s">
        <v>235</v>
      </c>
      <c r="C1939">
        <v>17023.555555555551</v>
      </c>
      <c r="D1939">
        <v>15000</v>
      </c>
      <c r="E1939">
        <v>6000</v>
      </c>
      <c r="F1939">
        <v>50000</v>
      </c>
      <c r="G1939">
        <v>6999.9999999999991</v>
      </c>
      <c r="H1939">
        <v>7000</v>
      </c>
      <c r="I1939">
        <v>1000</v>
      </c>
      <c r="J1939">
        <v>15000</v>
      </c>
      <c r="S1939">
        <v>5027.7777777777756</v>
      </c>
      <c r="T1939">
        <v>5000</v>
      </c>
      <c r="U1939">
        <v>2000</v>
      </c>
      <c r="V1939">
        <v>10000</v>
      </c>
      <c r="W1939">
        <v>4704.1666666666661</v>
      </c>
      <c r="X1939">
        <v>4000</v>
      </c>
      <c r="Y1939">
        <v>2700</v>
      </c>
      <c r="Z1939">
        <v>10500</v>
      </c>
      <c r="AA1939">
        <v>4047.8695652173901</v>
      </c>
      <c r="AB1939">
        <v>2300</v>
      </c>
      <c r="AC1939">
        <v>860</v>
      </c>
      <c r="AD1939">
        <v>22000</v>
      </c>
      <c r="AI1939">
        <v>3800</v>
      </c>
      <c r="AJ1939">
        <v>5000</v>
      </c>
      <c r="AK1939">
        <v>2000</v>
      </c>
      <c r="AL1939">
        <v>7000</v>
      </c>
      <c r="AM1939">
        <v>10980</v>
      </c>
      <c r="AN1939">
        <v>4500</v>
      </c>
      <c r="AO1939">
        <v>1000</v>
      </c>
      <c r="AP1939">
        <v>42000</v>
      </c>
      <c r="AQ1939">
        <v>5000</v>
      </c>
      <c r="AR1939">
        <v>5000</v>
      </c>
      <c r="AS1939">
        <v>5000</v>
      </c>
      <c r="AT1939">
        <v>5000</v>
      </c>
      <c r="AY1939">
        <v>9000</v>
      </c>
      <c r="AZ1939">
        <v>9000</v>
      </c>
      <c r="BA1939">
        <v>9000</v>
      </c>
      <c r="BB1939">
        <v>9000</v>
      </c>
      <c r="BC1939">
        <v>426</v>
      </c>
    </row>
    <row r="1940" spans="1:55">
      <c r="A1940" t="s">
        <v>210</v>
      </c>
      <c r="B1940" t="s">
        <v>236</v>
      </c>
      <c r="C1940">
        <v>10250</v>
      </c>
      <c r="D1940">
        <v>10000</v>
      </c>
      <c r="E1940">
        <v>4000</v>
      </c>
      <c r="F1940">
        <v>24000</v>
      </c>
      <c r="G1940">
        <v>2724.8110001348241</v>
      </c>
      <c r="H1940">
        <v>3000</v>
      </c>
      <c r="I1940">
        <v>2000</v>
      </c>
      <c r="J1940">
        <v>5000</v>
      </c>
      <c r="K1940">
        <v>3000</v>
      </c>
      <c r="L1940">
        <v>3000</v>
      </c>
      <c r="M1940">
        <v>3000</v>
      </c>
      <c r="N1940">
        <v>3000</v>
      </c>
      <c r="S1940">
        <v>7868.3894128051052</v>
      </c>
      <c r="T1940">
        <v>7000</v>
      </c>
      <c r="U1940">
        <v>2000</v>
      </c>
      <c r="V1940">
        <v>15000</v>
      </c>
      <c r="W1940">
        <v>5644.1094007676738</v>
      </c>
      <c r="X1940">
        <v>6200</v>
      </c>
      <c r="Y1940">
        <v>2700</v>
      </c>
      <c r="Z1940">
        <v>8000</v>
      </c>
      <c r="AA1940">
        <v>4451.4144418252499</v>
      </c>
      <c r="AB1940">
        <v>5300</v>
      </c>
      <c r="AC1940">
        <v>1500</v>
      </c>
      <c r="AD1940">
        <v>8000</v>
      </c>
      <c r="AM1940">
        <v>14500</v>
      </c>
      <c r="AN1940">
        <v>12000</v>
      </c>
      <c r="AO1940">
        <v>12000</v>
      </c>
      <c r="AP1940">
        <v>17000</v>
      </c>
      <c r="AQ1940">
        <v>38000</v>
      </c>
      <c r="AR1940">
        <v>38000</v>
      </c>
      <c r="AS1940">
        <v>38000</v>
      </c>
      <c r="AT1940">
        <v>38000</v>
      </c>
      <c r="BC1940">
        <v>426</v>
      </c>
    </row>
    <row r="1941" spans="1:55">
      <c r="A1941" t="s">
        <v>210</v>
      </c>
      <c r="B1941" t="s">
        <v>235</v>
      </c>
      <c r="C1941">
        <v>16300</v>
      </c>
      <c r="D1941">
        <v>20000</v>
      </c>
      <c r="E1941">
        <v>4000</v>
      </c>
      <c r="F1941">
        <v>30000</v>
      </c>
      <c r="G1941">
        <v>11666.66666666667</v>
      </c>
      <c r="H1941">
        <v>15000</v>
      </c>
      <c r="I1941">
        <v>10000</v>
      </c>
      <c r="J1941">
        <v>15000</v>
      </c>
      <c r="S1941">
        <v>4291.7735144834196</v>
      </c>
      <c r="T1941">
        <v>5000</v>
      </c>
      <c r="U1941">
        <v>2000</v>
      </c>
      <c r="V1941">
        <v>10000</v>
      </c>
      <c r="W1941">
        <v>4566.5700375811566</v>
      </c>
      <c r="X1941">
        <v>4100</v>
      </c>
      <c r="Y1941">
        <v>3000</v>
      </c>
      <c r="Z1941">
        <v>8000</v>
      </c>
      <c r="AA1941">
        <v>2476.666666666667</v>
      </c>
      <c r="AB1941">
        <v>2700</v>
      </c>
      <c r="AC1941">
        <v>860</v>
      </c>
      <c r="AD1941">
        <v>3600</v>
      </c>
      <c r="AM1941">
        <v>14000</v>
      </c>
      <c r="AN1941">
        <v>6400</v>
      </c>
      <c r="AO1941">
        <v>6400</v>
      </c>
      <c r="AP1941">
        <v>21600</v>
      </c>
      <c r="AQ1941">
        <v>20000</v>
      </c>
      <c r="AR1941">
        <v>20000</v>
      </c>
      <c r="AS1941">
        <v>20000</v>
      </c>
      <c r="AT1941">
        <v>20000</v>
      </c>
      <c r="BC1941">
        <v>426</v>
      </c>
    </row>
    <row r="1942" spans="1:55">
      <c r="A1942" t="s">
        <v>211</v>
      </c>
      <c r="B1942" t="s">
        <v>236</v>
      </c>
      <c r="C1942">
        <v>16253.70138221215</v>
      </c>
      <c r="D1942">
        <v>20000</v>
      </c>
      <c r="E1942">
        <v>2000</v>
      </c>
      <c r="F1942">
        <v>40000</v>
      </c>
      <c r="G1942">
        <v>6646.5590062067031</v>
      </c>
      <c r="H1942">
        <v>6000</v>
      </c>
      <c r="I1942">
        <v>1300</v>
      </c>
      <c r="J1942">
        <v>20000</v>
      </c>
      <c r="O1942">
        <v>3738.9451033948758</v>
      </c>
      <c r="P1942">
        <v>4000</v>
      </c>
      <c r="Q1942">
        <v>2500</v>
      </c>
      <c r="R1942">
        <v>7000</v>
      </c>
      <c r="S1942">
        <v>4224.193040442663</v>
      </c>
      <c r="T1942">
        <v>4000</v>
      </c>
      <c r="U1942">
        <v>2000</v>
      </c>
      <c r="V1942">
        <v>16000</v>
      </c>
      <c r="W1942">
        <v>4811.1175011328496</v>
      </c>
      <c r="X1942">
        <v>5000</v>
      </c>
      <c r="Y1942">
        <v>2300</v>
      </c>
      <c r="Z1942">
        <v>12000</v>
      </c>
      <c r="AA1942">
        <v>5008.3147057939377</v>
      </c>
      <c r="AB1942">
        <v>2900</v>
      </c>
      <c r="AC1942">
        <v>800</v>
      </c>
      <c r="AD1942">
        <v>20000</v>
      </c>
      <c r="AM1942">
        <v>7105.7597976260877</v>
      </c>
      <c r="AN1942">
        <v>15000</v>
      </c>
      <c r="AO1942">
        <v>600</v>
      </c>
      <c r="AP1942">
        <v>15000</v>
      </c>
      <c r="AQ1942">
        <v>5500</v>
      </c>
      <c r="AR1942">
        <v>5000</v>
      </c>
      <c r="AS1942">
        <v>5000</v>
      </c>
      <c r="AT1942">
        <v>6000</v>
      </c>
      <c r="BC1942">
        <v>426</v>
      </c>
    </row>
    <row r="1943" spans="1:55">
      <c r="A1943" t="s">
        <v>211</v>
      </c>
      <c r="B1943" t="s">
        <v>235</v>
      </c>
      <c r="C1943">
        <v>15955.878245972021</v>
      </c>
      <c r="D1943">
        <v>15000</v>
      </c>
      <c r="E1943">
        <v>3500</v>
      </c>
      <c r="F1943">
        <v>30000</v>
      </c>
      <c r="G1943">
        <v>10023.65707110179</v>
      </c>
      <c r="H1943">
        <v>8000</v>
      </c>
      <c r="I1943">
        <v>2000</v>
      </c>
      <c r="J1943">
        <v>30000</v>
      </c>
      <c r="K1943">
        <v>20000</v>
      </c>
      <c r="L1943">
        <v>20000</v>
      </c>
      <c r="M1943">
        <v>20000</v>
      </c>
      <c r="N1943">
        <v>20000</v>
      </c>
      <c r="S1943">
        <v>7356.7972349807351</v>
      </c>
      <c r="T1943">
        <v>7000</v>
      </c>
      <c r="U1943">
        <v>2000</v>
      </c>
      <c r="V1943">
        <v>16000</v>
      </c>
      <c r="W1943">
        <v>5005.8494389177968</v>
      </c>
      <c r="X1943">
        <v>5000</v>
      </c>
      <c r="Y1943">
        <v>2300</v>
      </c>
      <c r="Z1943">
        <v>10000</v>
      </c>
      <c r="AA1943">
        <v>4552.9648350862199</v>
      </c>
      <c r="AB1943">
        <v>3800</v>
      </c>
      <c r="AC1943">
        <v>2730</v>
      </c>
      <c r="AD1943">
        <v>11000</v>
      </c>
      <c r="AM1943">
        <v>6150</v>
      </c>
      <c r="AN1943">
        <v>1500</v>
      </c>
      <c r="AO1943">
        <v>1500</v>
      </c>
      <c r="AP1943">
        <v>10800</v>
      </c>
      <c r="AQ1943">
        <v>5580.2062526622967</v>
      </c>
      <c r="AR1943">
        <v>10000</v>
      </c>
      <c r="AS1943">
        <v>2000</v>
      </c>
      <c r="AT1943">
        <v>10000</v>
      </c>
      <c r="BC1943">
        <v>426</v>
      </c>
    </row>
    <row r="1944" spans="1:55">
      <c r="A1944" t="s">
        <v>212</v>
      </c>
      <c r="B1944" t="s">
        <v>236</v>
      </c>
      <c r="C1944">
        <v>22299.002604510511</v>
      </c>
      <c r="D1944">
        <v>15000</v>
      </c>
      <c r="E1944">
        <v>6000</v>
      </c>
      <c r="F1944">
        <v>55000</v>
      </c>
      <c r="G1944">
        <v>11903.825836096979</v>
      </c>
      <c r="H1944">
        <v>20000</v>
      </c>
      <c r="I1944">
        <v>4000</v>
      </c>
      <c r="J1944">
        <v>20000</v>
      </c>
      <c r="K1944">
        <v>10000</v>
      </c>
      <c r="L1944">
        <v>10000</v>
      </c>
      <c r="M1944">
        <v>10000</v>
      </c>
      <c r="N1944">
        <v>10000</v>
      </c>
      <c r="S1944">
        <v>7464.8054517384489</v>
      </c>
      <c r="T1944">
        <v>10000</v>
      </c>
      <c r="U1944">
        <v>3000</v>
      </c>
      <c r="V1944">
        <v>10000</v>
      </c>
      <c r="W1944">
        <v>5630.3667513772489</v>
      </c>
      <c r="X1944">
        <v>3500</v>
      </c>
      <c r="Y1944">
        <v>2300</v>
      </c>
      <c r="Z1944">
        <v>14000</v>
      </c>
      <c r="AA1944">
        <v>1173.333333333333</v>
      </c>
      <c r="AB1944">
        <v>1800</v>
      </c>
      <c r="AC1944">
        <v>860</v>
      </c>
      <c r="AD1944">
        <v>1800</v>
      </c>
      <c r="AQ1944">
        <v>5228.3710671462622</v>
      </c>
      <c r="AR1944">
        <v>6000</v>
      </c>
      <c r="AS1944">
        <v>1500</v>
      </c>
      <c r="AT1944">
        <v>6000</v>
      </c>
      <c r="BC1944">
        <v>426</v>
      </c>
    </row>
    <row r="1945" spans="1:55">
      <c r="A1945" t="s">
        <v>212</v>
      </c>
      <c r="B1945" t="s">
        <v>235</v>
      </c>
      <c r="C1945">
        <v>23441.74519459379</v>
      </c>
      <c r="D1945">
        <v>20000</v>
      </c>
      <c r="E1945">
        <v>6000</v>
      </c>
      <c r="F1945">
        <v>66000</v>
      </c>
      <c r="G1945">
        <v>10063.803565984739</v>
      </c>
      <c r="H1945">
        <v>4000</v>
      </c>
      <c r="I1945">
        <v>500</v>
      </c>
      <c r="J1945">
        <v>45000</v>
      </c>
      <c r="K1945">
        <v>11727.390489240001</v>
      </c>
      <c r="L1945">
        <v>10000</v>
      </c>
      <c r="M1945">
        <v>10000</v>
      </c>
      <c r="N1945">
        <v>15000</v>
      </c>
      <c r="S1945">
        <v>4496.0631718479954</v>
      </c>
      <c r="T1945">
        <v>5000</v>
      </c>
      <c r="U1945">
        <v>2000</v>
      </c>
      <c r="V1945">
        <v>12000</v>
      </c>
      <c r="W1945">
        <v>5552.697902373814</v>
      </c>
      <c r="X1945">
        <v>6000</v>
      </c>
      <c r="Y1945">
        <v>2300</v>
      </c>
      <c r="Z1945">
        <v>10000</v>
      </c>
      <c r="AA1945">
        <v>3685.5150196891659</v>
      </c>
      <c r="AB1945">
        <v>2800</v>
      </c>
      <c r="AC1945">
        <v>860</v>
      </c>
      <c r="AD1945">
        <v>10800</v>
      </c>
      <c r="AI1945">
        <v>8591.393856474182</v>
      </c>
      <c r="AJ1945">
        <v>10000</v>
      </c>
      <c r="AK1945">
        <v>2000</v>
      </c>
      <c r="AL1945">
        <v>17000</v>
      </c>
      <c r="AM1945">
        <v>1500</v>
      </c>
      <c r="AN1945">
        <v>500</v>
      </c>
      <c r="AO1945">
        <v>500</v>
      </c>
      <c r="AP1945">
        <v>2500</v>
      </c>
      <c r="AQ1945">
        <v>7083.3333333333348</v>
      </c>
      <c r="AR1945">
        <v>6000</v>
      </c>
      <c r="AS1945">
        <v>2000</v>
      </c>
      <c r="AT1945">
        <v>20000</v>
      </c>
      <c r="AU1945">
        <v>3000</v>
      </c>
      <c r="AV1945">
        <v>3000</v>
      </c>
      <c r="AW1945">
        <v>3000</v>
      </c>
      <c r="AX1945">
        <v>3000</v>
      </c>
      <c r="BC1945">
        <v>426</v>
      </c>
    </row>
    <row r="1947" spans="1:55">
      <c r="A1947" t="s">
        <v>618</v>
      </c>
    </row>
    <row r="1948" spans="1:55">
      <c r="A1948" t="s">
        <v>189</v>
      </c>
      <c r="B1948" t="s">
        <v>190</v>
      </c>
      <c r="C1948" t="s">
        <v>191</v>
      </c>
      <c r="D1948" t="s">
        <v>192</v>
      </c>
      <c r="E1948" t="s">
        <v>193</v>
      </c>
      <c r="F1948" t="s">
        <v>194</v>
      </c>
      <c r="G1948" t="s">
        <v>195</v>
      </c>
      <c r="H1948" t="s">
        <v>196</v>
      </c>
    </row>
    <row r="1949" spans="1:55">
      <c r="A1949" t="s">
        <v>197</v>
      </c>
      <c r="B1949" t="s">
        <v>198</v>
      </c>
      <c r="C1949">
        <v>8868.0291384491175</v>
      </c>
      <c r="D1949">
        <v>6750</v>
      </c>
      <c r="E1949">
        <v>250</v>
      </c>
      <c r="F1949">
        <v>113333.33333333299</v>
      </c>
      <c r="G1949">
        <v>882</v>
      </c>
      <c r="H1949">
        <v>882</v>
      </c>
    </row>
    <row r="1950" spans="1:55">
      <c r="A1950" t="s">
        <v>199</v>
      </c>
      <c r="B1950" t="s">
        <v>200</v>
      </c>
      <c r="C1950">
        <v>6701.1583330675267</v>
      </c>
      <c r="D1950">
        <v>5450</v>
      </c>
      <c r="E1950">
        <v>700</v>
      </c>
      <c r="F1950">
        <v>30000</v>
      </c>
      <c r="G1950">
        <v>72</v>
      </c>
      <c r="H1950">
        <v>882</v>
      </c>
    </row>
    <row r="1951" spans="1:55">
      <c r="A1951" t="s">
        <v>199</v>
      </c>
      <c r="B1951" t="s">
        <v>201</v>
      </c>
      <c r="C1951">
        <v>11052.51274509804</v>
      </c>
      <c r="D1951">
        <v>8750</v>
      </c>
      <c r="E1951">
        <v>666.66666666666697</v>
      </c>
      <c r="F1951">
        <v>75000</v>
      </c>
      <c r="G1951">
        <v>85</v>
      </c>
      <c r="H1951">
        <v>882</v>
      </c>
    </row>
    <row r="1952" spans="1:55">
      <c r="A1952" t="s">
        <v>199</v>
      </c>
      <c r="B1952" t="s">
        <v>202</v>
      </c>
      <c r="C1952">
        <v>11004.9123424305</v>
      </c>
      <c r="D1952">
        <v>8465</v>
      </c>
      <c r="E1952">
        <v>666.66666666666697</v>
      </c>
      <c r="F1952">
        <v>52000</v>
      </c>
      <c r="G1952">
        <v>91</v>
      </c>
      <c r="H1952">
        <v>882</v>
      </c>
    </row>
    <row r="1953" spans="1:9">
      <c r="A1953" t="s">
        <v>199</v>
      </c>
      <c r="B1953" t="s">
        <v>203</v>
      </c>
      <c r="C1953">
        <v>5299.4507692940251</v>
      </c>
      <c r="D1953">
        <v>4980</v>
      </c>
      <c r="E1953">
        <v>600</v>
      </c>
      <c r="F1953">
        <v>28000</v>
      </c>
      <c r="G1953">
        <v>70</v>
      </c>
      <c r="H1953">
        <v>882</v>
      </c>
    </row>
    <row r="1954" spans="1:9">
      <c r="A1954" t="s">
        <v>204</v>
      </c>
      <c r="B1954" t="s">
        <v>205</v>
      </c>
      <c r="C1954">
        <v>9262.5264307314865</v>
      </c>
      <c r="D1954">
        <v>8333.3333333333303</v>
      </c>
      <c r="E1954">
        <v>425</v>
      </c>
      <c r="F1954">
        <v>28000</v>
      </c>
      <c r="G1954">
        <v>86</v>
      </c>
      <c r="H1954">
        <v>882</v>
      </c>
    </row>
    <row r="1955" spans="1:9">
      <c r="A1955" t="s">
        <v>204</v>
      </c>
      <c r="B1955" t="s">
        <v>206</v>
      </c>
      <c r="C1955">
        <v>6816.0956041571872</v>
      </c>
      <c r="D1955">
        <v>4500</v>
      </c>
      <c r="E1955">
        <v>1250</v>
      </c>
      <c r="F1955">
        <v>37000</v>
      </c>
      <c r="G1955">
        <v>63</v>
      </c>
      <c r="H1955">
        <v>882</v>
      </c>
    </row>
    <row r="1956" spans="1:9">
      <c r="A1956" t="s">
        <v>204</v>
      </c>
      <c r="B1956" t="s">
        <v>207</v>
      </c>
      <c r="C1956">
        <v>6910.275395051849</v>
      </c>
      <c r="D1956">
        <v>5850</v>
      </c>
      <c r="E1956">
        <v>500</v>
      </c>
      <c r="F1956">
        <v>30000</v>
      </c>
      <c r="G1956">
        <v>120</v>
      </c>
      <c r="H1956">
        <v>882</v>
      </c>
    </row>
    <row r="1957" spans="1:9">
      <c r="A1957" t="s">
        <v>204</v>
      </c>
      <c r="B1957" t="s">
        <v>208</v>
      </c>
      <c r="C1957">
        <v>8414.8892339544436</v>
      </c>
      <c r="D1957">
        <v>6000</v>
      </c>
      <c r="E1957">
        <v>286.66666666666703</v>
      </c>
      <c r="F1957">
        <v>113333.33333333299</v>
      </c>
      <c r="G1957">
        <v>69</v>
      </c>
      <c r="H1957">
        <v>882</v>
      </c>
    </row>
    <row r="1958" spans="1:9">
      <c r="A1958" t="s">
        <v>209</v>
      </c>
      <c r="B1958" t="s">
        <v>210</v>
      </c>
      <c r="C1958">
        <v>5966.4167018480593</v>
      </c>
      <c r="D1958">
        <v>4400</v>
      </c>
      <c r="E1958">
        <v>666.66666666666697</v>
      </c>
      <c r="F1958">
        <v>25750</v>
      </c>
      <c r="G1958">
        <v>62</v>
      </c>
      <c r="H1958">
        <v>882</v>
      </c>
    </row>
    <row r="1959" spans="1:9">
      <c r="A1959" t="s">
        <v>209</v>
      </c>
      <c r="B1959" t="s">
        <v>211</v>
      </c>
      <c r="C1959">
        <v>6685.6796621622098</v>
      </c>
      <c r="D1959">
        <v>6000</v>
      </c>
      <c r="E1959">
        <v>500</v>
      </c>
      <c r="F1959">
        <v>25000</v>
      </c>
      <c r="G1959">
        <v>86</v>
      </c>
      <c r="H1959">
        <v>882</v>
      </c>
    </row>
    <row r="1960" spans="1:9">
      <c r="A1960" t="s">
        <v>209</v>
      </c>
      <c r="B1960" t="s">
        <v>212</v>
      </c>
      <c r="C1960">
        <v>7683.8887905579177</v>
      </c>
      <c r="D1960">
        <v>6180.5</v>
      </c>
      <c r="E1960">
        <v>250</v>
      </c>
      <c r="F1960">
        <v>33000</v>
      </c>
      <c r="G1960">
        <v>78</v>
      </c>
      <c r="H1960">
        <v>882</v>
      </c>
    </row>
    <row r="1962" spans="1:9">
      <c r="A1962" t="s">
        <v>619</v>
      </c>
    </row>
    <row r="1963" spans="1:9">
      <c r="A1963" t="s">
        <v>189</v>
      </c>
      <c r="B1963" t="s">
        <v>190</v>
      </c>
      <c r="C1963" t="s">
        <v>214</v>
      </c>
      <c r="D1963" t="s">
        <v>191</v>
      </c>
      <c r="E1963" t="s">
        <v>192</v>
      </c>
      <c r="F1963" t="s">
        <v>193</v>
      </c>
      <c r="G1963" t="s">
        <v>194</v>
      </c>
      <c r="H1963" t="s">
        <v>195</v>
      </c>
      <c r="I1963" t="s">
        <v>196</v>
      </c>
    </row>
    <row r="1964" spans="1:9">
      <c r="A1964" t="s">
        <v>197</v>
      </c>
      <c r="B1964" t="s">
        <v>198</v>
      </c>
      <c r="C1964" t="s">
        <v>198</v>
      </c>
      <c r="D1964">
        <v>8868.0291384491175</v>
      </c>
      <c r="E1964">
        <v>6750</v>
      </c>
      <c r="F1964">
        <v>250</v>
      </c>
      <c r="G1964">
        <v>113333.33333333299</v>
      </c>
      <c r="H1964">
        <v>882</v>
      </c>
      <c r="I1964">
        <v>882</v>
      </c>
    </row>
    <row r="1965" spans="1:9" s="26" customFormat="1">
      <c r="A1965" s="26" t="s">
        <v>199</v>
      </c>
      <c r="B1965" s="26" t="s">
        <v>200</v>
      </c>
      <c r="C1965" s="26" t="s">
        <v>236</v>
      </c>
      <c r="D1965" s="26">
        <v>4822.3931524706413</v>
      </c>
      <c r="E1965" s="26">
        <v>5250</v>
      </c>
      <c r="F1965" s="26">
        <v>700</v>
      </c>
      <c r="G1965" s="26">
        <v>7000</v>
      </c>
      <c r="H1965" s="26">
        <v>24</v>
      </c>
      <c r="I1965" s="26">
        <v>882</v>
      </c>
    </row>
    <row r="1966" spans="1:9">
      <c r="A1966" t="s">
        <v>199</v>
      </c>
      <c r="B1966" t="s">
        <v>200</v>
      </c>
      <c r="C1966" t="s">
        <v>235</v>
      </c>
      <c r="D1966">
        <v>8408.5142813475122</v>
      </c>
      <c r="E1966">
        <v>6000</v>
      </c>
      <c r="F1966">
        <v>1000</v>
      </c>
      <c r="G1966">
        <v>30000</v>
      </c>
      <c r="H1966">
        <v>45</v>
      </c>
      <c r="I1966">
        <v>882</v>
      </c>
    </row>
    <row r="1967" spans="1:9">
      <c r="A1967" t="s">
        <v>199</v>
      </c>
      <c r="B1967" t="s">
        <v>201</v>
      </c>
      <c r="C1967" t="s">
        <v>235</v>
      </c>
      <c r="D1967">
        <v>11052.51274509804</v>
      </c>
      <c r="E1967">
        <v>8750</v>
      </c>
      <c r="F1967">
        <v>666.66666666666697</v>
      </c>
      <c r="G1967">
        <v>75000</v>
      </c>
      <c r="H1967">
        <v>85</v>
      </c>
      <c r="I1967">
        <v>882</v>
      </c>
    </row>
    <row r="1968" spans="1:9">
      <c r="A1968" t="s">
        <v>199</v>
      </c>
      <c r="B1968" t="s">
        <v>202</v>
      </c>
      <c r="C1968" t="s">
        <v>236</v>
      </c>
      <c r="D1968">
        <v>10775.95027074883</v>
      </c>
      <c r="E1968">
        <v>7125</v>
      </c>
      <c r="F1968">
        <v>745</v>
      </c>
      <c r="G1968">
        <v>52000</v>
      </c>
      <c r="H1968">
        <v>34</v>
      </c>
      <c r="I1968">
        <v>882</v>
      </c>
    </row>
    <row r="1969" spans="1:9">
      <c r="A1969" t="s">
        <v>199</v>
      </c>
      <c r="B1969" t="s">
        <v>202</v>
      </c>
      <c r="C1969" t="s">
        <v>235</v>
      </c>
      <c r="D1969">
        <v>11113.058156672651</v>
      </c>
      <c r="E1969">
        <v>9333.3333333333303</v>
      </c>
      <c r="F1969">
        <v>666.66666666666697</v>
      </c>
      <c r="G1969">
        <v>37500</v>
      </c>
      <c r="H1969">
        <v>56</v>
      </c>
      <c r="I1969">
        <v>882</v>
      </c>
    </row>
    <row r="1970" spans="1:9" s="26" customFormat="1">
      <c r="A1970" s="26" t="s">
        <v>199</v>
      </c>
      <c r="B1970" s="26" t="s">
        <v>203</v>
      </c>
      <c r="C1970" s="26" t="s">
        <v>236</v>
      </c>
      <c r="D1970" s="26">
        <v>4857.8330396779229</v>
      </c>
      <c r="E1970" s="26">
        <v>4000</v>
      </c>
      <c r="F1970" s="26">
        <v>600</v>
      </c>
      <c r="G1970" s="26">
        <v>28000</v>
      </c>
      <c r="H1970" s="26">
        <v>29</v>
      </c>
      <c r="I1970" s="26">
        <v>882</v>
      </c>
    </row>
    <row r="1971" spans="1:9">
      <c r="A1971" t="s">
        <v>199</v>
      </c>
      <c r="B1971" t="s">
        <v>203</v>
      </c>
      <c r="C1971" t="s">
        <v>235</v>
      </c>
      <c r="D1971">
        <v>5533.1816061799327</v>
      </c>
      <c r="E1971">
        <v>5000</v>
      </c>
      <c r="F1971">
        <v>800</v>
      </c>
      <c r="G1971">
        <v>20000</v>
      </c>
      <c r="H1971">
        <v>41</v>
      </c>
      <c r="I1971">
        <v>882</v>
      </c>
    </row>
    <row r="1972" spans="1:9">
      <c r="A1972" t="s">
        <v>204</v>
      </c>
      <c r="B1972" t="s">
        <v>205</v>
      </c>
      <c r="C1972" t="s">
        <v>236</v>
      </c>
      <c r="D1972">
        <v>9416.8572067324603</v>
      </c>
      <c r="E1972">
        <v>5000</v>
      </c>
      <c r="F1972">
        <v>1750</v>
      </c>
      <c r="G1972">
        <v>28000</v>
      </c>
      <c r="H1972">
        <v>31</v>
      </c>
      <c r="I1972">
        <v>882</v>
      </c>
    </row>
    <row r="1973" spans="1:9">
      <c r="A1973" t="s">
        <v>204</v>
      </c>
      <c r="B1973" t="s">
        <v>205</v>
      </c>
      <c r="C1973" t="s">
        <v>235</v>
      </c>
      <c r="D1973">
        <v>9228.9356340853046</v>
      </c>
      <c r="E1973">
        <v>8833.3333333333303</v>
      </c>
      <c r="F1973">
        <v>425</v>
      </c>
      <c r="G1973">
        <v>27500</v>
      </c>
      <c r="H1973">
        <v>55</v>
      </c>
      <c r="I1973">
        <v>882</v>
      </c>
    </row>
    <row r="1974" spans="1:9" s="26" customFormat="1">
      <c r="A1974" s="26" t="s">
        <v>204</v>
      </c>
      <c r="B1974" s="26" t="s">
        <v>206</v>
      </c>
      <c r="C1974" s="26" t="s">
        <v>236</v>
      </c>
      <c r="D1974" s="26">
        <v>6345.1026455838819</v>
      </c>
      <c r="E1974" s="26">
        <v>4000</v>
      </c>
      <c r="F1974" s="26">
        <v>2000</v>
      </c>
      <c r="G1974" s="26">
        <v>25000</v>
      </c>
      <c r="H1974" s="26">
        <v>19</v>
      </c>
      <c r="I1974" s="26">
        <v>882</v>
      </c>
    </row>
    <row r="1975" spans="1:9">
      <c r="A1975" t="s">
        <v>204</v>
      </c>
      <c r="B1975" t="s">
        <v>206</v>
      </c>
      <c r="C1975" t="s">
        <v>235</v>
      </c>
      <c r="D1975">
        <v>7236.2963224123623</v>
      </c>
      <c r="E1975">
        <v>5286.6666666666697</v>
      </c>
      <c r="F1975">
        <v>1250</v>
      </c>
      <c r="G1975">
        <v>37000</v>
      </c>
      <c r="H1975">
        <v>40</v>
      </c>
      <c r="I1975">
        <v>882</v>
      </c>
    </row>
    <row r="1976" spans="1:9">
      <c r="A1976" t="s">
        <v>204</v>
      </c>
      <c r="B1976" t="s">
        <v>207</v>
      </c>
      <c r="C1976" t="s">
        <v>236</v>
      </c>
      <c r="D1976">
        <v>4989.5439304993179</v>
      </c>
      <c r="E1976">
        <v>5011</v>
      </c>
      <c r="F1976">
        <v>500</v>
      </c>
      <c r="G1976">
        <v>25000</v>
      </c>
      <c r="H1976">
        <v>74</v>
      </c>
      <c r="I1976">
        <v>882</v>
      </c>
    </row>
    <row r="1977" spans="1:9">
      <c r="A1977" t="s">
        <v>204</v>
      </c>
      <c r="B1977" t="s">
        <v>207</v>
      </c>
      <c r="C1977" t="s">
        <v>235</v>
      </c>
      <c r="D1977">
        <v>8270.0732013570687</v>
      </c>
      <c r="E1977">
        <v>8333.3333333333303</v>
      </c>
      <c r="F1977">
        <v>1953.3333333333301</v>
      </c>
      <c r="G1977">
        <v>30000</v>
      </c>
      <c r="H1977">
        <v>43</v>
      </c>
      <c r="I1977">
        <v>882</v>
      </c>
    </row>
    <row r="1978" spans="1:9" s="26" customFormat="1">
      <c r="A1978" s="26" t="s">
        <v>204</v>
      </c>
      <c r="B1978" s="26" t="s">
        <v>208</v>
      </c>
      <c r="C1978" s="26" t="s">
        <v>236</v>
      </c>
      <c r="D1978" s="26">
        <v>15991.893939393911</v>
      </c>
      <c r="E1978" s="26">
        <v>5800</v>
      </c>
      <c r="F1978" s="26">
        <v>2000</v>
      </c>
      <c r="G1978" s="26">
        <v>113333.33333333299</v>
      </c>
      <c r="H1978" s="26">
        <v>11</v>
      </c>
      <c r="I1978" s="26">
        <v>882</v>
      </c>
    </row>
    <row r="1979" spans="1:9">
      <c r="A1979" t="s">
        <v>204</v>
      </c>
      <c r="B1979" t="s">
        <v>208</v>
      </c>
      <c r="C1979" t="s">
        <v>235</v>
      </c>
      <c r="D1979">
        <v>6977.8711001642041</v>
      </c>
      <c r="E1979">
        <v>6000</v>
      </c>
      <c r="F1979">
        <v>286.66666666666703</v>
      </c>
      <c r="G1979">
        <v>24250</v>
      </c>
      <c r="H1979">
        <v>58</v>
      </c>
      <c r="I1979">
        <v>882</v>
      </c>
    </row>
    <row r="1980" spans="1:9">
      <c r="A1980" t="s">
        <v>209</v>
      </c>
      <c r="B1980" t="s">
        <v>210</v>
      </c>
      <c r="C1980" t="s">
        <v>236</v>
      </c>
      <c r="D1980">
        <v>4433.6481547807189</v>
      </c>
      <c r="E1980">
        <v>3666.6666666666702</v>
      </c>
      <c r="F1980">
        <v>666.66666666666697</v>
      </c>
      <c r="G1980">
        <v>25750</v>
      </c>
      <c r="H1980">
        <v>34</v>
      </c>
      <c r="I1980">
        <v>882</v>
      </c>
    </row>
    <row r="1981" spans="1:9" s="26" customFormat="1">
      <c r="A1981" s="26" t="s">
        <v>209</v>
      </c>
      <c r="B1981" s="26" t="s">
        <v>210</v>
      </c>
      <c r="C1981" s="26" t="s">
        <v>235</v>
      </c>
      <c r="D1981" s="26">
        <v>7563.4790299768392</v>
      </c>
      <c r="E1981" s="26">
        <v>6666.6666666666697</v>
      </c>
      <c r="F1981" s="26">
        <v>2050</v>
      </c>
      <c r="G1981" s="26">
        <v>25000</v>
      </c>
      <c r="H1981" s="26">
        <v>24</v>
      </c>
      <c r="I1981" s="26">
        <v>882</v>
      </c>
    </row>
    <row r="1982" spans="1:9">
      <c r="A1982" t="s">
        <v>209</v>
      </c>
      <c r="B1982" t="s">
        <v>211</v>
      </c>
      <c r="C1982" t="s">
        <v>236</v>
      </c>
      <c r="D1982">
        <v>6765.563382225514</v>
      </c>
      <c r="E1982">
        <v>6000</v>
      </c>
      <c r="F1982">
        <v>500</v>
      </c>
      <c r="G1982">
        <v>25000</v>
      </c>
      <c r="H1982">
        <v>36</v>
      </c>
      <c r="I1982">
        <v>882</v>
      </c>
    </row>
    <row r="1983" spans="1:9">
      <c r="A1983" t="s">
        <v>209</v>
      </c>
      <c r="B1983" t="s">
        <v>211</v>
      </c>
      <c r="C1983" t="s">
        <v>235</v>
      </c>
      <c r="D1983">
        <v>6698.2468689274292</v>
      </c>
      <c r="E1983">
        <v>6000</v>
      </c>
      <c r="F1983">
        <v>571.42857142857099</v>
      </c>
      <c r="G1983">
        <v>17500</v>
      </c>
      <c r="H1983">
        <v>48</v>
      </c>
      <c r="I1983">
        <v>882</v>
      </c>
    </row>
    <row r="1984" spans="1:9" s="26" customFormat="1">
      <c r="A1984" s="26" t="s">
        <v>209</v>
      </c>
      <c r="B1984" s="26" t="s">
        <v>212</v>
      </c>
      <c r="C1984" s="26" t="s">
        <v>236</v>
      </c>
      <c r="D1984" s="26">
        <v>7533.9010861449296</v>
      </c>
      <c r="E1984" s="26">
        <v>8666.6666666666697</v>
      </c>
      <c r="F1984" s="26">
        <v>888.88888888888903</v>
      </c>
      <c r="G1984" s="26">
        <v>17500</v>
      </c>
      <c r="H1984" s="26">
        <v>18</v>
      </c>
      <c r="I1984" s="26">
        <v>882</v>
      </c>
    </row>
    <row r="1985" spans="1:54">
      <c r="A1985" t="s">
        <v>209</v>
      </c>
      <c r="B1985" t="s">
        <v>212</v>
      </c>
      <c r="C1985" t="s">
        <v>235</v>
      </c>
      <c r="D1985">
        <v>7710.9191959739783</v>
      </c>
      <c r="E1985">
        <v>6180.5</v>
      </c>
      <c r="F1985">
        <v>250</v>
      </c>
      <c r="G1985">
        <v>33000</v>
      </c>
      <c r="H1985">
        <v>60</v>
      </c>
      <c r="I1985">
        <v>882</v>
      </c>
    </row>
    <row r="1987" spans="1:54">
      <c r="A1987" t="s">
        <v>620</v>
      </c>
    </row>
    <row r="1988" spans="1:54">
      <c r="A1988" t="s">
        <v>190</v>
      </c>
      <c r="B1988" t="s">
        <v>621</v>
      </c>
      <c r="C1988" t="s">
        <v>622</v>
      </c>
      <c r="D1988" t="s">
        <v>623</v>
      </c>
      <c r="E1988" t="s">
        <v>624</v>
      </c>
      <c r="F1988" t="s">
        <v>625</v>
      </c>
      <c r="G1988" t="s">
        <v>626</v>
      </c>
      <c r="H1988" t="s">
        <v>627</v>
      </c>
      <c r="I1988" t="s">
        <v>628</v>
      </c>
      <c r="J1988" t="s">
        <v>629</v>
      </c>
      <c r="K1988" t="s">
        <v>630</v>
      </c>
      <c r="L1988" t="s">
        <v>631</v>
      </c>
      <c r="M1988" t="s">
        <v>632</v>
      </c>
      <c r="N1988" t="s">
        <v>633</v>
      </c>
      <c r="O1988" t="s">
        <v>634</v>
      </c>
      <c r="P1988" t="s">
        <v>635</v>
      </c>
      <c r="Q1988" t="s">
        <v>636</v>
      </c>
      <c r="R1988" t="s">
        <v>637</v>
      </c>
      <c r="S1988" t="s">
        <v>638</v>
      </c>
      <c r="T1988" t="s">
        <v>639</v>
      </c>
      <c r="U1988" t="s">
        <v>640</v>
      </c>
      <c r="V1988" t="s">
        <v>641</v>
      </c>
      <c r="W1988" t="s">
        <v>642</v>
      </c>
      <c r="X1988" t="s">
        <v>643</v>
      </c>
      <c r="Y1988" t="s">
        <v>644</v>
      </c>
      <c r="Z1988" t="s">
        <v>645</v>
      </c>
      <c r="AA1988" t="s">
        <v>646</v>
      </c>
      <c r="AB1988" t="s">
        <v>647</v>
      </c>
      <c r="AC1988" t="s">
        <v>648</v>
      </c>
      <c r="AD1988" t="s">
        <v>649</v>
      </c>
      <c r="AE1988" t="s">
        <v>650</v>
      </c>
      <c r="AF1988" t="s">
        <v>651</v>
      </c>
      <c r="AG1988" t="s">
        <v>652</v>
      </c>
      <c r="AH1988" t="s">
        <v>653</v>
      </c>
      <c r="AI1988" t="s">
        <v>654</v>
      </c>
      <c r="AJ1988" t="s">
        <v>655</v>
      </c>
      <c r="AK1988" t="s">
        <v>656</v>
      </c>
      <c r="AL1988" t="s">
        <v>657</v>
      </c>
      <c r="AM1988" t="s">
        <v>658</v>
      </c>
      <c r="AN1988" t="s">
        <v>659</v>
      </c>
      <c r="AO1988" t="s">
        <v>660</v>
      </c>
      <c r="AP1988" t="s">
        <v>661</v>
      </c>
      <c r="AQ1988" t="s">
        <v>662</v>
      </c>
      <c r="AR1988" t="s">
        <v>663</v>
      </c>
      <c r="AS1988" t="s">
        <v>664</v>
      </c>
      <c r="AT1988" t="s">
        <v>665</v>
      </c>
      <c r="AU1988" t="s">
        <v>666</v>
      </c>
      <c r="AV1988" t="s">
        <v>667</v>
      </c>
      <c r="AW1988" t="s">
        <v>668</v>
      </c>
      <c r="AX1988" t="s">
        <v>669</v>
      </c>
      <c r="AY1988" t="s">
        <v>670</v>
      </c>
      <c r="AZ1988" t="s">
        <v>671</v>
      </c>
      <c r="BA1988" t="s">
        <v>672</v>
      </c>
      <c r="BB1988" t="s">
        <v>196</v>
      </c>
    </row>
    <row r="1989" spans="1:54">
      <c r="A1989" t="s">
        <v>198</v>
      </c>
      <c r="B1989">
        <v>9147.8060175155751</v>
      </c>
      <c r="C1989">
        <v>7000</v>
      </c>
      <c r="D1989">
        <v>533.33333333333303</v>
      </c>
      <c r="E1989">
        <v>52000</v>
      </c>
      <c r="F1989">
        <v>4323.893046988188</v>
      </c>
      <c r="G1989">
        <v>4000</v>
      </c>
      <c r="H1989">
        <v>28.571428571428601</v>
      </c>
      <c r="I1989">
        <v>37000</v>
      </c>
      <c r="J1989">
        <v>13453.6938666442</v>
      </c>
      <c r="K1989">
        <v>13333.333333333299</v>
      </c>
      <c r="L1989">
        <v>666.66666666666697</v>
      </c>
      <c r="M1989">
        <v>50000</v>
      </c>
      <c r="N1989">
        <v>1621.503131154398</v>
      </c>
      <c r="O1989">
        <v>1500</v>
      </c>
      <c r="P1989">
        <v>166.666666666667</v>
      </c>
      <c r="Q1989">
        <v>13000</v>
      </c>
      <c r="R1989">
        <v>1843.8550712810929</v>
      </c>
      <c r="S1989">
        <v>2000</v>
      </c>
      <c r="T1989">
        <v>333.33333333333297</v>
      </c>
      <c r="U1989">
        <v>8000</v>
      </c>
      <c r="V1989">
        <v>3042.952196577432</v>
      </c>
      <c r="W1989">
        <v>2725</v>
      </c>
      <c r="X1989">
        <v>287.5</v>
      </c>
      <c r="Y1989">
        <v>10000</v>
      </c>
      <c r="Z1989">
        <v>1785.8448787963059</v>
      </c>
      <c r="AA1989">
        <v>833.33333333333303</v>
      </c>
      <c r="AB1989">
        <v>86</v>
      </c>
      <c r="AC1989">
        <v>113333.33333333299</v>
      </c>
      <c r="AD1989">
        <v>170.91004036054159</v>
      </c>
      <c r="AE1989">
        <v>187.5</v>
      </c>
      <c r="AF1989">
        <v>93.75</v>
      </c>
      <c r="AG1989">
        <v>2500</v>
      </c>
      <c r="AH1989">
        <v>2890.475757300364</v>
      </c>
      <c r="AI1989">
        <v>2000</v>
      </c>
      <c r="AJ1989">
        <v>333.33333333333297</v>
      </c>
      <c r="AK1989">
        <v>10000</v>
      </c>
      <c r="AL1989">
        <v>1895.2505674247809</v>
      </c>
      <c r="AM1989">
        <v>1125</v>
      </c>
      <c r="AN1989">
        <v>83.3333333333333</v>
      </c>
      <c r="AO1989">
        <v>18250</v>
      </c>
      <c r="AP1989">
        <v>3688.671624585777</v>
      </c>
      <c r="AQ1989">
        <v>2666.6666666666702</v>
      </c>
      <c r="AR1989">
        <v>200</v>
      </c>
      <c r="AS1989">
        <v>19000</v>
      </c>
      <c r="AT1989">
        <v>1410.611164331589</v>
      </c>
      <c r="AU1989">
        <v>1320</v>
      </c>
      <c r="AV1989">
        <v>285.71428571428601</v>
      </c>
      <c r="AW1989">
        <v>3000</v>
      </c>
      <c r="AX1989">
        <v>8806.2692635883068</v>
      </c>
      <c r="AY1989">
        <v>15000</v>
      </c>
      <c r="AZ1989">
        <v>466.66666666666703</v>
      </c>
      <c r="BA1989">
        <v>16666.666666666701</v>
      </c>
      <c r="BB1989">
        <v>426</v>
      </c>
    </row>
    <row r="1990" spans="1:54">
      <c r="A1990" t="s">
        <v>200</v>
      </c>
      <c r="B1990">
        <v>9448.9461758496018</v>
      </c>
      <c r="C1990">
        <v>8000</v>
      </c>
      <c r="D1990">
        <v>1000</v>
      </c>
      <c r="E1990">
        <v>25000</v>
      </c>
      <c r="F1990">
        <v>2907.2334773219018</v>
      </c>
      <c r="G1990">
        <v>4000</v>
      </c>
      <c r="H1990">
        <v>28.571428571428601</v>
      </c>
      <c r="I1990">
        <v>5000</v>
      </c>
      <c r="N1990">
        <v>1257.7863248761621</v>
      </c>
      <c r="O1990">
        <v>1500</v>
      </c>
      <c r="P1990">
        <v>333.33333333333297</v>
      </c>
      <c r="Q1990">
        <v>2333.3333333333298</v>
      </c>
      <c r="R1990">
        <v>2336.922863792372</v>
      </c>
      <c r="S1990">
        <v>2500</v>
      </c>
      <c r="T1990">
        <v>666.66666666666697</v>
      </c>
      <c r="U1990">
        <v>3333.3333333333298</v>
      </c>
      <c r="V1990">
        <v>3658.086412808605</v>
      </c>
      <c r="W1990">
        <v>4000</v>
      </c>
      <c r="X1990">
        <v>750</v>
      </c>
      <c r="Y1990">
        <v>6000</v>
      </c>
      <c r="Z1990">
        <v>1126.7794676246619</v>
      </c>
      <c r="AA1990">
        <v>750</v>
      </c>
      <c r="AB1990">
        <v>215</v>
      </c>
      <c r="AC1990">
        <v>5000</v>
      </c>
      <c r="AH1990">
        <v>833.33333333333303</v>
      </c>
      <c r="AI1990">
        <v>833.33333333333303</v>
      </c>
      <c r="AJ1990">
        <v>833.33333333333303</v>
      </c>
      <c r="AK1990">
        <v>833.33333333333303</v>
      </c>
      <c r="AL1990">
        <v>3533.3333333333289</v>
      </c>
      <c r="AM1990">
        <v>3533.3333333333298</v>
      </c>
      <c r="AN1990">
        <v>3533.3333333333298</v>
      </c>
      <c r="AO1990">
        <v>3533.3333333333298</v>
      </c>
      <c r="AP1990">
        <v>1144.292022865118</v>
      </c>
      <c r="AQ1990">
        <v>1333.3333333333301</v>
      </c>
      <c r="AR1990">
        <v>350</v>
      </c>
      <c r="AS1990">
        <v>3333.3333333333298</v>
      </c>
      <c r="BB1990">
        <v>426</v>
      </c>
    </row>
    <row r="1991" spans="1:54">
      <c r="A1991" t="s">
        <v>201</v>
      </c>
      <c r="B1991">
        <v>11041.66666666667</v>
      </c>
      <c r="C1991">
        <v>10000</v>
      </c>
      <c r="D1991">
        <v>1250</v>
      </c>
      <c r="E1991">
        <v>50000</v>
      </c>
      <c r="F1991">
        <v>3704.7619047619041</v>
      </c>
      <c r="G1991">
        <v>5000</v>
      </c>
      <c r="H1991">
        <v>1500</v>
      </c>
      <c r="I1991">
        <v>5000</v>
      </c>
      <c r="J1991">
        <v>22666.666666666672</v>
      </c>
      <c r="K1991">
        <v>16500</v>
      </c>
      <c r="L1991">
        <v>7500</v>
      </c>
      <c r="M1991">
        <v>50000</v>
      </c>
      <c r="R1991">
        <v>1654.700854700855</v>
      </c>
      <c r="S1991">
        <v>2000</v>
      </c>
      <c r="T1991">
        <v>500</v>
      </c>
      <c r="U1991">
        <v>3000</v>
      </c>
      <c r="V1991">
        <v>3307.5131578947371</v>
      </c>
      <c r="W1991">
        <v>2666.6666666666702</v>
      </c>
      <c r="X1991">
        <v>833.33333333333303</v>
      </c>
      <c r="Y1991">
        <v>8500</v>
      </c>
      <c r="Z1991">
        <v>1010.87962962963</v>
      </c>
      <c r="AA1991">
        <v>700</v>
      </c>
      <c r="AB1991">
        <v>212.5</v>
      </c>
      <c r="AC1991">
        <v>3500</v>
      </c>
      <c r="AH1991">
        <v>5333.3333333333339</v>
      </c>
      <c r="AI1991">
        <v>10000</v>
      </c>
      <c r="AJ1991">
        <v>1000</v>
      </c>
      <c r="AK1991">
        <v>10000</v>
      </c>
      <c r="AP1991">
        <v>4175.0000000000009</v>
      </c>
      <c r="AQ1991">
        <v>5000</v>
      </c>
      <c r="AR1991">
        <v>875</v>
      </c>
      <c r="AS1991">
        <v>10000</v>
      </c>
      <c r="BB1991">
        <v>426</v>
      </c>
    </row>
    <row r="1992" spans="1:54">
      <c r="A1992" t="s">
        <v>202</v>
      </c>
      <c r="B1992">
        <v>10311.46903049341</v>
      </c>
      <c r="C1992">
        <v>8000</v>
      </c>
      <c r="D1992">
        <v>1500</v>
      </c>
      <c r="E1992">
        <v>52000</v>
      </c>
      <c r="F1992">
        <v>3943.6613173038909</v>
      </c>
      <c r="G1992">
        <v>3750</v>
      </c>
      <c r="H1992">
        <v>600</v>
      </c>
      <c r="I1992">
        <v>10000</v>
      </c>
      <c r="J1992">
        <v>19192.910352517061</v>
      </c>
      <c r="K1992">
        <v>28000</v>
      </c>
      <c r="L1992">
        <v>7500</v>
      </c>
      <c r="M1992">
        <v>30000</v>
      </c>
      <c r="N1992">
        <v>3492.6044958501011</v>
      </c>
      <c r="O1992">
        <v>3750</v>
      </c>
      <c r="P1992">
        <v>2666.6666666666702</v>
      </c>
      <c r="Q1992">
        <v>3750</v>
      </c>
      <c r="R1992">
        <v>1624.089798667291</v>
      </c>
      <c r="S1992">
        <v>2000</v>
      </c>
      <c r="T1992">
        <v>500</v>
      </c>
      <c r="U1992">
        <v>3000</v>
      </c>
      <c r="V1992">
        <v>2805.265607412146</v>
      </c>
      <c r="W1992">
        <v>2333.3333333333298</v>
      </c>
      <c r="X1992">
        <v>571.42857142857099</v>
      </c>
      <c r="Y1992">
        <v>9000</v>
      </c>
      <c r="Z1992">
        <v>767.22407178800074</v>
      </c>
      <c r="AA1992">
        <v>700</v>
      </c>
      <c r="AB1992">
        <v>86</v>
      </c>
      <c r="AC1992">
        <v>3500</v>
      </c>
      <c r="AH1992">
        <v>10000</v>
      </c>
      <c r="AI1992">
        <v>10000</v>
      </c>
      <c r="AJ1992">
        <v>10000</v>
      </c>
      <c r="AK1992">
        <v>10000</v>
      </c>
      <c r="AL1992">
        <v>10800</v>
      </c>
      <c r="AM1992">
        <v>10800</v>
      </c>
      <c r="AN1992">
        <v>10800</v>
      </c>
      <c r="AO1992">
        <v>10800</v>
      </c>
      <c r="AP1992">
        <v>4651.2948418750811</v>
      </c>
      <c r="AQ1992">
        <v>7142.8571428571404</v>
      </c>
      <c r="AR1992">
        <v>200</v>
      </c>
      <c r="AS1992">
        <v>10000</v>
      </c>
      <c r="AT1992">
        <v>285.71428571428601</v>
      </c>
      <c r="AU1992">
        <v>285.71428571428601</v>
      </c>
      <c r="AV1992">
        <v>285.71428571428601</v>
      </c>
      <c r="AW1992">
        <v>285.71428571428601</v>
      </c>
      <c r="AX1992">
        <v>16666.666666666701</v>
      </c>
      <c r="AY1992">
        <v>16666.666666666701</v>
      </c>
      <c r="AZ1992">
        <v>16666.666666666701</v>
      </c>
      <c r="BA1992">
        <v>16666.666666666701</v>
      </c>
      <c r="BB1992">
        <v>426</v>
      </c>
    </row>
    <row r="1993" spans="1:54">
      <c r="A1993" t="s">
        <v>203</v>
      </c>
      <c r="B1993">
        <v>4139.4130943312348</v>
      </c>
      <c r="C1993">
        <v>3500</v>
      </c>
      <c r="D1993">
        <v>1000</v>
      </c>
      <c r="E1993">
        <v>28000</v>
      </c>
      <c r="F1993">
        <v>2070.2121544561601</v>
      </c>
      <c r="G1993">
        <v>2250</v>
      </c>
      <c r="H1993">
        <v>600</v>
      </c>
      <c r="I1993">
        <v>5000</v>
      </c>
      <c r="J1993">
        <v>15459.349770309411</v>
      </c>
      <c r="K1993">
        <v>20000</v>
      </c>
      <c r="L1993">
        <v>666.66666666666697</v>
      </c>
      <c r="M1993">
        <v>20000</v>
      </c>
      <c r="N1993">
        <v>500</v>
      </c>
      <c r="O1993">
        <v>500</v>
      </c>
      <c r="P1993">
        <v>500</v>
      </c>
      <c r="Q1993">
        <v>500</v>
      </c>
      <c r="R1993">
        <v>2023.373483948307</v>
      </c>
      <c r="S1993">
        <v>2000</v>
      </c>
      <c r="T1993">
        <v>400</v>
      </c>
      <c r="U1993">
        <v>2666.6666666666702</v>
      </c>
      <c r="V1993">
        <v>2573.1474542189521</v>
      </c>
      <c r="W1993">
        <v>1600</v>
      </c>
      <c r="X1993">
        <v>450</v>
      </c>
      <c r="Y1993">
        <v>10000</v>
      </c>
      <c r="Z1993">
        <v>1456.596287328714</v>
      </c>
      <c r="AA1993">
        <v>1500</v>
      </c>
      <c r="AB1993">
        <v>215</v>
      </c>
      <c r="AC1993">
        <v>5000</v>
      </c>
      <c r="AD1993">
        <v>187.5</v>
      </c>
      <c r="AE1993">
        <v>187.5</v>
      </c>
      <c r="AF1993">
        <v>187.5</v>
      </c>
      <c r="AG1993">
        <v>187.5</v>
      </c>
      <c r="AH1993">
        <v>1333.3333333333301</v>
      </c>
      <c r="AI1993">
        <v>1333.3333333333301</v>
      </c>
      <c r="AJ1993">
        <v>1333.3333333333301</v>
      </c>
      <c r="AK1993">
        <v>1333.3333333333301</v>
      </c>
      <c r="AP1993">
        <v>4110.0653457737844</v>
      </c>
      <c r="AQ1993">
        <v>6666.6666666666697</v>
      </c>
      <c r="AR1993">
        <v>500</v>
      </c>
      <c r="AS1993">
        <v>7000</v>
      </c>
      <c r="AX1993">
        <v>666.66666666666697</v>
      </c>
      <c r="AY1993">
        <v>666.66666666666697</v>
      </c>
      <c r="AZ1993">
        <v>666.66666666666697</v>
      </c>
      <c r="BA1993">
        <v>666.66666666666697</v>
      </c>
      <c r="BB1993">
        <v>426</v>
      </c>
    </row>
    <row r="1994" spans="1:54">
      <c r="A1994" t="s">
        <v>205</v>
      </c>
      <c r="B1994">
        <v>10056.301207954089</v>
      </c>
      <c r="C1994">
        <v>8000</v>
      </c>
      <c r="D1994">
        <v>1000</v>
      </c>
      <c r="E1994">
        <v>27000</v>
      </c>
      <c r="F1994">
        <v>7008.4205562593397</v>
      </c>
      <c r="G1994">
        <v>8000</v>
      </c>
      <c r="H1994">
        <v>833.33333333333303</v>
      </c>
      <c r="I1994">
        <v>12500</v>
      </c>
      <c r="N1994">
        <v>2459.8133147177982</v>
      </c>
      <c r="O1994">
        <v>5000</v>
      </c>
      <c r="P1994">
        <v>1666.6666666666699</v>
      </c>
      <c r="Q1994">
        <v>5000</v>
      </c>
      <c r="R1994">
        <v>1794.7919277818321</v>
      </c>
      <c r="S1994">
        <v>2000</v>
      </c>
      <c r="T1994">
        <v>400</v>
      </c>
      <c r="U1994">
        <v>3333.3333333333298</v>
      </c>
      <c r="V1994">
        <v>3770.1945061844322</v>
      </c>
      <c r="W1994">
        <v>3500</v>
      </c>
      <c r="X1994">
        <v>750</v>
      </c>
      <c r="Y1994">
        <v>10000</v>
      </c>
      <c r="Z1994">
        <v>1467.452326023903</v>
      </c>
      <c r="AA1994">
        <v>1233.3333333333301</v>
      </c>
      <c r="AB1994">
        <v>286.66666666666703</v>
      </c>
      <c r="AC1994">
        <v>4200</v>
      </c>
      <c r="AH1994">
        <v>2000</v>
      </c>
      <c r="AI1994">
        <v>2000</v>
      </c>
      <c r="AJ1994">
        <v>2000</v>
      </c>
      <c r="AK1994">
        <v>2000</v>
      </c>
      <c r="AL1994">
        <v>882.26882249801645</v>
      </c>
      <c r="AM1994">
        <v>1100</v>
      </c>
      <c r="AN1994">
        <v>150</v>
      </c>
      <c r="AO1994">
        <v>2200</v>
      </c>
      <c r="AP1994">
        <v>2040.5474689731329</v>
      </c>
      <c r="AQ1994">
        <v>3000</v>
      </c>
      <c r="AR1994">
        <v>500</v>
      </c>
      <c r="AS1994">
        <v>3000</v>
      </c>
      <c r="BB1994">
        <v>426</v>
      </c>
    </row>
    <row r="1995" spans="1:54">
      <c r="A1995" t="s">
        <v>206</v>
      </c>
      <c r="B1995">
        <v>5107.8571555428834</v>
      </c>
      <c r="C1995">
        <v>3333.3333333333298</v>
      </c>
      <c r="D1995">
        <v>533.33333333333303</v>
      </c>
      <c r="E1995">
        <v>26666.666666666701</v>
      </c>
      <c r="F1995">
        <v>7544.0503748305418</v>
      </c>
      <c r="G1995">
        <v>3500</v>
      </c>
      <c r="H1995">
        <v>1000</v>
      </c>
      <c r="I1995">
        <v>37000</v>
      </c>
      <c r="J1995">
        <v>3666.6666666666702</v>
      </c>
      <c r="K1995">
        <v>3666.6666666666702</v>
      </c>
      <c r="L1995">
        <v>3666.6666666666702</v>
      </c>
      <c r="M1995">
        <v>3666.6666666666702</v>
      </c>
      <c r="N1995">
        <v>13000</v>
      </c>
      <c r="O1995">
        <v>13000</v>
      </c>
      <c r="P1995">
        <v>13000</v>
      </c>
      <c r="Q1995">
        <v>13000</v>
      </c>
      <c r="R1995">
        <v>1978.0955728616709</v>
      </c>
      <c r="S1995">
        <v>2000</v>
      </c>
      <c r="T1995">
        <v>625</v>
      </c>
      <c r="U1995">
        <v>3000</v>
      </c>
      <c r="V1995">
        <v>2143.12925291897</v>
      </c>
      <c r="W1995">
        <v>2375</v>
      </c>
      <c r="X1995">
        <v>540</v>
      </c>
      <c r="Y1995">
        <v>6000</v>
      </c>
      <c r="Z1995">
        <v>2007.1325337072681</v>
      </c>
      <c r="AA1995">
        <v>1490</v>
      </c>
      <c r="AB1995">
        <v>172</v>
      </c>
      <c r="AC1995">
        <v>7666.6666666666697</v>
      </c>
      <c r="AH1995">
        <v>3687.7062396185979</v>
      </c>
      <c r="AI1995">
        <v>600</v>
      </c>
      <c r="AJ1995">
        <v>600</v>
      </c>
      <c r="AK1995">
        <v>8000</v>
      </c>
      <c r="AL1995">
        <v>8164.9286619518271</v>
      </c>
      <c r="AM1995">
        <v>18250</v>
      </c>
      <c r="AN1995">
        <v>2500</v>
      </c>
      <c r="AO1995">
        <v>18250</v>
      </c>
      <c r="AP1995">
        <v>5319.8503930792704</v>
      </c>
      <c r="AQ1995">
        <v>9000</v>
      </c>
      <c r="AR1995">
        <v>500</v>
      </c>
      <c r="AS1995">
        <v>9000</v>
      </c>
      <c r="AT1995">
        <v>1320</v>
      </c>
      <c r="AU1995">
        <v>1320</v>
      </c>
      <c r="AV1995">
        <v>1320</v>
      </c>
      <c r="AW1995">
        <v>1320</v>
      </c>
      <c r="AX1995">
        <v>2594.903074662529</v>
      </c>
      <c r="AY1995">
        <v>4000</v>
      </c>
      <c r="AZ1995">
        <v>800</v>
      </c>
      <c r="BA1995">
        <v>4000</v>
      </c>
      <c r="BB1995">
        <v>426</v>
      </c>
    </row>
    <row r="1996" spans="1:54">
      <c r="A1996" t="s">
        <v>207</v>
      </c>
      <c r="B1996">
        <v>6429.3245560876339</v>
      </c>
      <c r="C1996">
        <v>5250</v>
      </c>
      <c r="D1996">
        <v>1250</v>
      </c>
      <c r="E1996">
        <v>30000</v>
      </c>
      <c r="F1996">
        <v>4393.1559285263593</v>
      </c>
      <c r="G1996">
        <v>5500</v>
      </c>
      <c r="H1996">
        <v>66.6666666666667</v>
      </c>
      <c r="I1996">
        <v>8333.3333333333303</v>
      </c>
      <c r="J1996">
        <v>3092.987069179042</v>
      </c>
      <c r="K1996">
        <v>3000</v>
      </c>
      <c r="L1996">
        <v>3000</v>
      </c>
      <c r="M1996">
        <v>4000</v>
      </c>
      <c r="N1996">
        <v>166.666666666667</v>
      </c>
      <c r="O1996">
        <v>166.666666666667</v>
      </c>
      <c r="P1996">
        <v>166.666666666667</v>
      </c>
      <c r="Q1996">
        <v>166.666666666667</v>
      </c>
      <c r="R1996">
        <v>2034.5894174971161</v>
      </c>
      <c r="S1996">
        <v>2200</v>
      </c>
      <c r="T1996">
        <v>333.33333333333297</v>
      </c>
      <c r="U1996">
        <v>7500</v>
      </c>
      <c r="V1996">
        <v>2958.8976445903049</v>
      </c>
      <c r="W1996">
        <v>2800</v>
      </c>
      <c r="X1996">
        <v>500</v>
      </c>
      <c r="Y1996">
        <v>7500</v>
      </c>
      <c r="Z1996">
        <v>1055.472371633409</v>
      </c>
      <c r="AA1996">
        <v>750</v>
      </c>
      <c r="AB1996">
        <v>125</v>
      </c>
      <c r="AC1996">
        <v>6000</v>
      </c>
      <c r="AD1996">
        <v>170.66610156748399</v>
      </c>
      <c r="AE1996">
        <v>93.75</v>
      </c>
      <c r="AF1996">
        <v>93.75</v>
      </c>
      <c r="AG1996">
        <v>2500</v>
      </c>
      <c r="AH1996">
        <v>624.53947738489353</v>
      </c>
      <c r="AI1996">
        <v>2666.6666666666702</v>
      </c>
      <c r="AJ1996">
        <v>333.33333333333297</v>
      </c>
      <c r="AK1996">
        <v>5000</v>
      </c>
      <c r="AL1996">
        <v>2340.8908145278651</v>
      </c>
      <c r="AM1996">
        <v>3600</v>
      </c>
      <c r="AN1996">
        <v>750</v>
      </c>
      <c r="AO1996">
        <v>4333.3333333333303</v>
      </c>
      <c r="AP1996">
        <v>7610.0295955869042</v>
      </c>
      <c r="AQ1996">
        <v>10000</v>
      </c>
      <c r="AR1996">
        <v>1200</v>
      </c>
      <c r="AS1996">
        <v>10000</v>
      </c>
      <c r="AT1996">
        <v>500</v>
      </c>
      <c r="AU1996">
        <v>500</v>
      </c>
      <c r="AV1996">
        <v>500</v>
      </c>
      <c r="AW1996">
        <v>500</v>
      </c>
      <c r="AX1996">
        <v>3577.5344609773629</v>
      </c>
      <c r="AY1996">
        <v>15000</v>
      </c>
      <c r="AZ1996">
        <v>466.66666666666703</v>
      </c>
      <c r="BA1996">
        <v>15000</v>
      </c>
      <c r="BB1996">
        <v>426</v>
      </c>
    </row>
    <row r="1997" spans="1:54">
      <c r="A1997" t="s">
        <v>208</v>
      </c>
      <c r="B1997">
        <v>6562.2465986394554</v>
      </c>
      <c r="C1997">
        <v>5750</v>
      </c>
      <c r="D1997">
        <v>1428.57142857143</v>
      </c>
      <c r="E1997">
        <v>21000</v>
      </c>
      <c r="F1997">
        <v>2505.3968253968251</v>
      </c>
      <c r="G1997">
        <v>2500</v>
      </c>
      <c r="H1997">
        <v>100</v>
      </c>
      <c r="I1997">
        <v>6000</v>
      </c>
      <c r="N1997">
        <v>3750</v>
      </c>
      <c r="O1997">
        <v>3750</v>
      </c>
      <c r="P1997">
        <v>3750</v>
      </c>
      <c r="Q1997">
        <v>3750</v>
      </c>
      <c r="R1997">
        <v>1952.7777777777769</v>
      </c>
      <c r="S1997">
        <v>2000</v>
      </c>
      <c r="T1997">
        <v>333.33333333333297</v>
      </c>
      <c r="U1997">
        <v>3000</v>
      </c>
      <c r="V1997">
        <v>2582.3106060606051</v>
      </c>
      <c r="W1997">
        <v>3250</v>
      </c>
      <c r="X1997">
        <v>287.5</v>
      </c>
      <c r="Y1997">
        <v>6490</v>
      </c>
      <c r="Z1997">
        <v>5989.6190476190341</v>
      </c>
      <c r="AA1997">
        <v>1250</v>
      </c>
      <c r="AB1997">
        <v>250</v>
      </c>
      <c r="AC1997">
        <v>113333.33333333299</v>
      </c>
      <c r="AH1997">
        <v>2800</v>
      </c>
      <c r="AI1997">
        <v>2500</v>
      </c>
      <c r="AJ1997">
        <v>1000</v>
      </c>
      <c r="AK1997">
        <v>7000</v>
      </c>
      <c r="AL1997">
        <v>3081.944444444443</v>
      </c>
      <c r="AM1997">
        <v>1125</v>
      </c>
      <c r="AN1997">
        <v>333.33333333333297</v>
      </c>
      <c r="AO1997">
        <v>10500</v>
      </c>
      <c r="AP1997">
        <v>1666.6666666666699</v>
      </c>
      <c r="AQ1997">
        <v>1666.6666666666699</v>
      </c>
      <c r="AR1997">
        <v>1666.6666666666699</v>
      </c>
      <c r="AS1997">
        <v>1666.6666666666699</v>
      </c>
      <c r="AX1997">
        <v>9000</v>
      </c>
      <c r="AY1997">
        <v>9000</v>
      </c>
      <c r="AZ1997">
        <v>9000</v>
      </c>
      <c r="BA1997">
        <v>9000</v>
      </c>
      <c r="BB1997">
        <v>426</v>
      </c>
    </row>
    <row r="1998" spans="1:54">
      <c r="A1998" t="s">
        <v>210</v>
      </c>
      <c r="B1998">
        <v>5359.1628223424032</v>
      </c>
      <c r="C1998">
        <v>3500</v>
      </c>
      <c r="D1998">
        <v>714.28571428571399</v>
      </c>
      <c r="E1998">
        <v>25000</v>
      </c>
      <c r="F1998">
        <v>2401.0699757409088</v>
      </c>
      <c r="G1998">
        <v>3333.3333333333298</v>
      </c>
      <c r="H1998">
        <v>666.66666666666697</v>
      </c>
      <c r="I1998">
        <v>5000</v>
      </c>
      <c r="J1998">
        <v>1500</v>
      </c>
      <c r="K1998">
        <v>1500</v>
      </c>
      <c r="L1998">
        <v>1500</v>
      </c>
      <c r="M1998">
        <v>1500</v>
      </c>
      <c r="R1998">
        <v>2263.5149398364561</v>
      </c>
      <c r="S1998">
        <v>2500</v>
      </c>
      <c r="T1998">
        <v>1000</v>
      </c>
      <c r="U1998">
        <v>6000</v>
      </c>
      <c r="V1998">
        <v>2707.425958804462</v>
      </c>
      <c r="W1998">
        <v>2050</v>
      </c>
      <c r="X1998">
        <v>642.857142857143</v>
      </c>
      <c r="Y1998">
        <v>8000</v>
      </c>
      <c r="Z1998">
        <v>1532.869610367572</v>
      </c>
      <c r="AA1998">
        <v>1350</v>
      </c>
      <c r="AB1998">
        <v>215</v>
      </c>
      <c r="AC1998">
        <v>3850</v>
      </c>
      <c r="AL1998">
        <v>7080.1906155618444</v>
      </c>
      <c r="AM1998">
        <v>6000</v>
      </c>
      <c r="AN1998">
        <v>3200</v>
      </c>
      <c r="AO1998">
        <v>10800</v>
      </c>
      <c r="AP1998">
        <v>12886.862160226379</v>
      </c>
      <c r="AQ1998">
        <v>10000</v>
      </c>
      <c r="AR1998">
        <v>10000</v>
      </c>
      <c r="AS1998">
        <v>19000</v>
      </c>
      <c r="BB1998">
        <v>426</v>
      </c>
    </row>
    <row r="1999" spans="1:54">
      <c r="A1999" t="s">
        <v>211</v>
      </c>
      <c r="B1999">
        <v>6318.7623682100184</v>
      </c>
      <c r="C1999">
        <v>5000</v>
      </c>
      <c r="D1999">
        <v>1000</v>
      </c>
      <c r="E1999">
        <v>20000</v>
      </c>
      <c r="F1999">
        <v>2755.519246007575</v>
      </c>
      <c r="G1999">
        <v>2000</v>
      </c>
      <c r="H1999">
        <v>216.666666666667</v>
      </c>
      <c r="I1999">
        <v>7500</v>
      </c>
      <c r="J1999">
        <v>4000</v>
      </c>
      <c r="K1999">
        <v>4000</v>
      </c>
      <c r="L1999">
        <v>4000</v>
      </c>
      <c r="M1999">
        <v>4000</v>
      </c>
      <c r="N1999">
        <v>699.60782221361956</v>
      </c>
      <c r="O1999">
        <v>800</v>
      </c>
      <c r="P1999">
        <v>500</v>
      </c>
      <c r="Q1999">
        <v>1166.6666666666699</v>
      </c>
      <c r="R1999">
        <v>2344.9472727021148</v>
      </c>
      <c r="S1999">
        <v>2333.3333333333298</v>
      </c>
      <c r="T1999">
        <v>500</v>
      </c>
      <c r="U1999">
        <v>8000</v>
      </c>
      <c r="V1999">
        <v>2441.8767017053228</v>
      </c>
      <c r="W1999">
        <v>2333.3333333333298</v>
      </c>
      <c r="X1999">
        <v>433.33333333333297</v>
      </c>
      <c r="Y1999">
        <v>6000</v>
      </c>
      <c r="Z1999">
        <v>1746.5942535852971</v>
      </c>
      <c r="AA1999">
        <v>1450</v>
      </c>
      <c r="AB1999">
        <v>122.857142857143</v>
      </c>
      <c r="AC1999">
        <v>10000</v>
      </c>
      <c r="AL1999">
        <v>2083.0581511586461</v>
      </c>
      <c r="AM1999">
        <v>3000</v>
      </c>
      <c r="AN1999">
        <v>200</v>
      </c>
      <c r="AO1999">
        <v>3600</v>
      </c>
      <c r="AP1999">
        <v>2050.5965000399819</v>
      </c>
      <c r="AQ1999">
        <v>2500</v>
      </c>
      <c r="AR1999">
        <v>400</v>
      </c>
      <c r="AS1999">
        <v>3000</v>
      </c>
      <c r="BB1999">
        <v>426</v>
      </c>
    </row>
    <row r="2000" spans="1:54">
      <c r="A2000" t="s">
        <v>212</v>
      </c>
      <c r="B2000">
        <v>7967.8430767304089</v>
      </c>
      <c r="C2000">
        <v>6666.6666666666697</v>
      </c>
      <c r="D2000">
        <v>888.88888888888903</v>
      </c>
      <c r="E2000">
        <v>33000</v>
      </c>
      <c r="F2000">
        <v>3111.7935482337011</v>
      </c>
      <c r="G2000">
        <v>2000</v>
      </c>
      <c r="H2000">
        <v>250</v>
      </c>
      <c r="I2000">
        <v>9000</v>
      </c>
      <c r="J2000">
        <v>5878.2000205950126</v>
      </c>
      <c r="K2000">
        <v>15000</v>
      </c>
      <c r="L2000">
        <v>1666.6666666666699</v>
      </c>
      <c r="M2000">
        <v>15000</v>
      </c>
      <c r="R2000">
        <v>1678.8357568320221</v>
      </c>
      <c r="S2000">
        <v>2000</v>
      </c>
      <c r="T2000">
        <v>333.33333333333297</v>
      </c>
      <c r="U2000">
        <v>3000</v>
      </c>
      <c r="V2000">
        <v>2369.6465603750021</v>
      </c>
      <c r="W2000">
        <v>1850</v>
      </c>
      <c r="X2000">
        <v>516.66666666666697</v>
      </c>
      <c r="Y2000">
        <v>7100</v>
      </c>
      <c r="Z2000">
        <v>1827.3818201705849</v>
      </c>
      <c r="AA2000">
        <v>1180.5</v>
      </c>
      <c r="AB2000">
        <v>143.333333333333</v>
      </c>
      <c r="AC2000">
        <v>10800</v>
      </c>
      <c r="AH2000">
        <v>3294.76839837443</v>
      </c>
      <c r="AI2000">
        <v>5000</v>
      </c>
      <c r="AJ2000">
        <v>1500</v>
      </c>
      <c r="AK2000">
        <v>5666.6666666666697</v>
      </c>
      <c r="AL2000">
        <v>458.33333333333309</v>
      </c>
      <c r="AM2000">
        <v>83.3333333333333</v>
      </c>
      <c r="AN2000">
        <v>83.3333333333333</v>
      </c>
      <c r="AO2000">
        <v>833.33333333333303</v>
      </c>
      <c r="AP2000">
        <v>2817.919794662077</v>
      </c>
      <c r="AQ2000">
        <v>1833.3333333333301</v>
      </c>
      <c r="AR2000">
        <v>500</v>
      </c>
      <c r="AS2000">
        <v>10000</v>
      </c>
      <c r="AT2000">
        <v>3000</v>
      </c>
      <c r="AU2000">
        <v>3000</v>
      </c>
      <c r="AV2000">
        <v>3000</v>
      </c>
      <c r="AW2000">
        <v>3000</v>
      </c>
      <c r="BB2000">
        <v>426</v>
      </c>
    </row>
    <row r="2002" spans="1:55">
      <c r="A2002" t="s">
        <v>673</v>
      </c>
    </row>
    <row r="2003" spans="1:55">
      <c r="A2003" t="s">
        <v>190</v>
      </c>
      <c r="B2003" t="s">
        <v>214</v>
      </c>
      <c r="C2003" t="s">
        <v>621</v>
      </c>
      <c r="D2003" t="s">
        <v>622</v>
      </c>
      <c r="E2003" t="s">
        <v>623</v>
      </c>
      <c r="F2003" t="s">
        <v>624</v>
      </c>
      <c r="G2003" t="s">
        <v>625</v>
      </c>
      <c r="H2003" t="s">
        <v>626</v>
      </c>
      <c r="I2003" t="s">
        <v>627</v>
      </c>
      <c r="J2003" t="s">
        <v>628</v>
      </c>
      <c r="K2003" t="s">
        <v>629</v>
      </c>
      <c r="L2003" t="s">
        <v>630</v>
      </c>
      <c r="M2003" t="s">
        <v>631</v>
      </c>
      <c r="N2003" t="s">
        <v>632</v>
      </c>
      <c r="O2003" t="s">
        <v>633</v>
      </c>
      <c r="P2003" t="s">
        <v>634</v>
      </c>
      <c r="Q2003" t="s">
        <v>635</v>
      </c>
      <c r="R2003" t="s">
        <v>636</v>
      </c>
      <c r="S2003" t="s">
        <v>637</v>
      </c>
      <c r="T2003" t="s">
        <v>638</v>
      </c>
      <c r="U2003" t="s">
        <v>639</v>
      </c>
      <c r="V2003" t="s">
        <v>640</v>
      </c>
      <c r="W2003" t="s">
        <v>641</v>
      </c>
      <c r="X2003" t="s">
        <v>642</v>
      </c>
      <c r="Y2003" t="s">
        <v>643</v>
      </c>
      <c r="Z2003" t="s">
        <v>644</v>
      </c>
      <c r="AA2003" t="s">
        <v>645</v>
      </c>
      <c r="AB2003" t="s">
        <v>646</v>
      </c>
      <c r="AC2003" t="s">
        <v>647</v>
      </c>
      <c r="AD2003" t="s">
        <v>648</v>
      </c>
      <c r="AE2003" t="s">
        <v>649</v>
      </c>
      <c r="AF2003" t="s">
        <v>650</v>
      </c>
      <c r="AG2003" t="s">
        <v>651</v>
      </c>
      <c r="AH2003" t="s">
        <v>652</v>
      </c>
      <c r="AI2003" t="s">
        <v>653</v>
      </c>
      <c r="AJ2003" t="s">
        <v>654</v>
      </c>
      <c r="AK2003" t="s">
        <v>655</v>
      </c>
      <c r="AL2003" t="s">
        <v>656</v>
      </c>
      <c r="AM2003" t="s">
        <v>657</v>
      </c>
      <c r="AN2003" t="s">
        <v>658</v>
      </c>
      <c r="AO2003" t="s">
        <v>659</v>
      </c>
      <c r="AP2003" t="s">
        <v>660</v>
      </c>
      <c r="AQ2003" t="s">
        <v>661</v>
      </c>
      <c r="AR2003" t="s">
        <v>662</v>
      </c>
      <c r="AS2003" t="s">
        <v>663</v>
      </c>
      <c r="AT2003" t="s">
        <v>664</v>
      </c>
      <c r="AU2003" t="s">
        <v>665</v>
      </c>
      <c r="AV2003" t="s">
        <v>666</v>
      </c>
      <c r="AW2003" t="s">
        <v>667</v>
      </c>
      <c r="AX2003" t="s">
        <v>668</v>
      </c>
      <c r="AY2003" t="s">
        <v>669</v>
      </c>
      <c r="AZ2003" t="s">
        <v>670</v>
      </c>
      <c r="BA2003" t="s">
        <v>671</v>
      </c>
      <c r="BB2003" t="s">
        <v>672</v>
      </c>
      <c r="BC2003" t="s">
        <v>196</v>
      </c>
    </row>
    <row r="2004" spans="1:55">
      <c r="A2004" t="s">
        <v>198</v>
      </c>
      <c r="B2004" t="s">
        <v>198</v>
      </c>
      <c r="C2004">
        <v>9147.8060175155751</v>
      </c>
      <c r="D2004">
        <v>7000</v>
      </c>
      <c r="E2004">
        <v>533.33333333333303</v>
      </c>
      <c r="F2004">
        <v>52000</v>
      </c>
      <c r="G2004">
        <v>4323.893046988188</v>
      </c>
      <c r="H2004">
        <v>4000</v>
      </c>
      <c r="I2004">
        <v>28.571428571428601</v>
      </c>
      <c r="J2004">
        <v>37000</v>
      </c>
      <c r="K2004">
        <v>13453.6938666442</v>
      </c>
      <c r="L2004">
        <v>13333.333333333299</v>
      </c>
      <c r="M2004">
        <v>666.66666666666697</v>
      </c>
      <c r="N2004">
        <v>50000</v>
      </c>
      <c r="O2004">
        <v>1621.503131154398</v>
      </c>
      <c r="P2004">
        <v>1500</v>
      </c>
      <c r="Q2004">
        <v>166.666666666667</v>
      </c>
      <c r="R2004">
        <v>13000</v>
      </c>
      <c r="S2004">
        <v>1843.8550712810929</v>
      </c>
      <c r="T2004">
        <v>2000</v>
      </c>
      <c r="U2004">
        <v>333.33333333333297</v>
      </c>
      <c r="V2004">
        <v>8000</v>
      </c>
      <c r="W2004">
        <v>3042.952196577432</v>
      </c>
      <c r="X2004">
        <v>2725</v>
      </c>
      <c r="Y2004">
        <v>287.5</v>
      </c>
      <c r="Z2004">
        <v>10000</v>
      </c>
      <c r="AA2004">
        <v>1785.8448787963059</v>
      </c>
      <c r="AB2004">
        <v>833.33333333333303</v>
      </c>
      <c r="AC2004">
        <v>86</v>
      </c>
      <c r="AD2004">
        <v>113333.33333333299</v>
      </c>
      <c r="AE2004">
        <v>170.91004036054159</v>
      </c>
      <c r="AF2004">
        <v>187.5</v>
      </c>
      <c r="AG2004">
        <v>93.75</v>
      </c>
      <c r="AH2004">
        <v>2500</v>
      </c>
      <c r="AI2004">
        <v>2890.475757300364</v>
      </c>
      <c r="AJ2004">
        <v>2000</v>
      </c>
      <c r="AK2004">
        <v>333.33333333333297</v>
      </c>
      <c r="AL2004">
        <v>10000</v>
      </c>
      <c r="AM2004">
        <v>1895.2505674247809</v>
      </c>
      <c r="AN2004">
        <v>1125</v>
      </c>
      <c r="AO2004">
        <v>83.3333333333333</v>
      </c>
      <c r="AP2004">
        <v>18250</v>
      </c>
      <c r="AQ2004">
        <v>3688.671624585777</v>
      </c>
      <c r="AR2004">
        <v>2666.6666666666702</v>
      </c>
      <c r="AS2004">
        <v>200</v>
      </c>
      <c r="AT2004">
        <v>19000</v>
      </c>
      <c r="AU2004">
        <v>1410.611164331589</v>
      </c>
      <c r="AV2004">
        <v>1320</v>
      </c>
      <c r="AW2004">
        <v>285.71428571428601</v>
      </c>
      <c r="AX2004">
        <v>3000</v>
      </c>
      <c r="AY2004">
        <v>8806.2692635883068</v>
      </c>
      <c r="AZ2004">
        <v>15000</v>
      </c>
      <c r="BA2004">
        <v>466.66666666666703</v>
      </c>
      <c r="BB2004">
        <v>16666.666666666701</v>
      </c>
      <c r="BC2004">
        <v>426</v>
      </c>
    </row>
    <row r="2005" spans="1:55">
      <c r="A2005" t="s">
        <v>200</v>
      </c>
      <c r="B2005" t="s">
        <v>236</v>
      </c>
      <c r="C2005">
        <v>2662.4248970718882</v>
      </c>
      <c r="D2005">
        <v>3000</v>
      </c>
      <c r="E2005">
        <v>1600</v>
      </c>
      <c r="F2005">
        <v>3000</v>
      </c>
      <c r="G2005">
        <v>1939.3881887470311</v>
      </c>
      <c r="H2005">
        <v>4000</v>
      </c>
      <c r="I2005">
        <v>28.571428571428601</v>
      </c>
      <c r="J2005">
        <v>4000</v>
      </c>
      <c r="O2005">
        <v>1205.076478377506</v>
      </c>
      <c r="P2005">
        <v>1500</v>
      </c>
      <c r="Q2005">
        <v>333.33333333333297</v>
      </c>
      <c r="R2005">
        <v>1500</v>
      </c>
      <c r="S2005">
        <v>2375.8533572811202</v>
      </c>
      <c r="T2005">
        <v>2714.2857142857101</v>
      </c>
      <c r="U2005">
        <v>1250</v>
      </c>
      <c r="V2005">
        <v>2714.2857142857101</v>
      </c>
      <c r="W2005">
        <v>3991.860758864394</v>
      </c>
      <c r="X2005">
        <v>4000</v>
      </c>
      <c r="Y2005">
        <v>750</v>
      </c>
      <c r="Z2005">
        <v>6000</v>
      </c>
      <c r="AA2005">
        <v>1326.8932040839979</v>
      </c>
      <c r="AB2005">
        <v>1000</v>
      </c>
      <c r="AC2005">
        <v>366.66666666666703</v>
      </c>
      <c r="AD2005">
        <v>5000</v>
      </c>
      <c r="AI2005">
        <v>833.33333333333303</v>
      </c>
      <c r="AJ2005">
        <v>833.33333333333303</v>
      </c>
      <c r="AK2005">
        <v>833.33333333333303</v>
      </c>
      <c r="AL2005">
        <v>833.33333333333303</v>
      </c>
      <c r="AQ2005">
        <v>1426.821657340163</v>
      </c>
      <c r="AR2005">
        <v>1000</v>
      </c>
      <c r="AS2005">
        <v>1000</v>
      </c>
      <c r="AT2005">
        <v>3333.3333333333298</v>
      </c>
      <c r="BC2005">
        <v>426</v>
      </c>
    </row>
    <row r="2006" spans="1:55">
      <c r="A2006" t="s">
        <v>200</v>
      </c>
      <c r="B2006" t="s">
        <v>235</v>
      </c>
      <c r="C2006">
        <v>10028.695789612189</v>
      </c>
      <c r="D2006">
        <v>9250</v>
      </c>
      <c r="E2006">
        <v>1000</v>
      </c>
      <c r="F2006">
        <v>25000</v>
      </c>
      <c r="G2006">
        <v>3939.3009327817958</v>
      </c>
      <c r="H2006">
        <v>5000</v>
      </c>
      <c r="I2006">
        <v>266.66666666666703</v>
      </c>
      <c r="J2006">
        <v>5000</v>
      </c>
      <c r="O2006">
        <v>2333.3333333333298</v>
      </c>
      <c r="P2006">
        <v>2333.3333333333298</v>
      </c>
      <c r="Q2006">
        <v>2333.3333333333298</v>
      </c>
      <c r="R2006">
        <v>2333.3333333333298</v>
      </c>
      <c r="S2006">
        <v>2308.243747376765</v>
      </c>
      <c r="T2006">
        <v>2500</v>
      </c>
      <c r="U2006">
        <v>666.66666666666697</v>
      </c>
      <c r="V2006">
        <v>3333.3333333333298</v>
      </c>
      <c r="W2006">
        <v>2715.2931283743628</v>
      </c>
      <c r="X2006">
        <v>2900</v>
      </c>
      <c r="Y2006">
        <v>1166.6666666666699</v>
      </c>
      <c r="Z2006">
        <v>5500</v>
      </c>
      <c r="AA2006">
        <v>558.64517758977354</v>
      </c>
      <c r="AB2006">
        <v>675</v>
      </c>
      <c r="AC2006">
        <v>215</v>
      </c>
      <c r="AD2006">
        <v>3000</v>
      </c>
      <c r="AM2006">
        <v>3533.3333333333289</v>
      </c>
      <c r="AN2006">
        <v>3533.3333333333298</v>
      </c>
      <c r="AO2006">
        <v>3533.3333333333298</v>
      </c>
      <c r="AP2006">
        <v>3533.3333333333298</v>
      </c>
      <c r="AQ2006">
        <v>941.11816231967657</v>
      </c>
      <c r="AR2006">
        <v>1333.3333333333301</v>
      </c>
      <c r="AS2006">
        <v>350</v>
      </c>
      <c r="AT2006">
        <v>1333.3333333333301</v>
      </c>
      <c r="BC2006">
        <v>426</v>
      </c>
    </row>
    <row r="2007" spans="1:55">
      <c r="A2007" t="s">
        <v>201</v>
      </c>
      <c r="B2007" t="s">
        <v>235</v>
      </c>
      <c r="C2007">
        <v>11041.66666666667</v>
      </c>
      <c r="D2007">
        <v>10000</v>
      </c>
      <c r="E2007">
        <v>1250</v>
      </c>
      <c r="F2007">
        <v>50000</v>
      </c>
      <c r="G2007">
        <v>3704.7619047619041</v>
      </c>
      <c r="H2007">
        <v>5000</v>
      </c>
      <c r="I2007">
        <v>1500</v>
      </c>
      <c r="J2007">
        <v>5000</v>
      </c>
      <c r="K2007">
        <v>22666.666666666672</v>
      </c>
      <c r="L2007">
        <v>16500</v>
      </c>
      <c r="M2007">
        <v>7500</v>
      </c>
      <c r="N2007">
        <v>50000</v>
      </c>
      <c r="S2007">
        <v>1654.700854700855</v>
      </c>
      <c r="T2007">
        <v>2000</v>
      </c>
      <c r="U2007">
        <v>500</v>
      </c>
      <c r="V2007">
        <v>3000</v>
      </c>
      <c r="W2007">
        <v>3307.5131578947371</v>
      </c>
      <c r="X2007">
        <v>2666.6666666666702</v>
      </c>
      <c r="Y2007">
        <v>833.33333333333303</v>
      </c>
      <c r="Z2007">
        <v>8500</v>
      </c>
      <c r="AA2007">
        <v>1010.87962962963</v>
      </c>
      <c r="AB2007">
        <v>700</v>
      </c>
      <c r="AC2007">
        <v>212.5</v>
      </c>
      <c r="AD2007">
        <v>3500</v>
      </c>
      <c r="AI2007">
        <v>5333.3333333333339</v>
      </c>
      <c r="AJ2007">
        <v>10000</v>
      </c>
      <c r="AK2007">
        <v>1000</v>
      </c>
      <c r="AL2007">
        <v>10000</v>
      </c>
      <c r="AQ2007">
        <v>4175.0000000000009</v>
      </c>
      <c r="AR2007">
        <v>5000</v>
      </c>
      <c r="AS2007">
        <v>875</v>
      </c>
      <c r="AT2007">
        <v>10000</v>
      </c>
      <c r="BC2007">
        <v>426</v>
      </c>
    </row>
    <row r="2008" spans="1:55">
      <c r="A2008" t="s">
        <v>202</v>
      </c>
      <c r="B2008" t="s">
        <v>236</v>
      </c>
      <c r="C2008">
        <v>10922.242947023249</v>
      </c>
      <c r="D2008">
        <v>8250</v>
      </c>
      <c r="E2008">
        <v>2000</v>
      </c>
      <c r="F2008">
        <v>52000</v>
      </c>
      <c r="G2008">
        <v>4472.3734318181778</v>
      </c>
      <c r="H2008">
        <v>5850</v>
      </c>
      <c r="I2008">
        <v>833.33333333333303</v>
      </c>
      <c r="J2008">
        <v>10000</v>
      </c>
      <c r="K2008">
        <v>14488.70470847523</v>
      </c>
      <c r="L2008">
        <v>16666.666666666701</v>
      </c>
      <c r="M2008">
        <v>7500</v>
      </c>
      <c r="N2008">
        <v>16666.666666666701</v>
      </c>
      <c r="S2008">
        <v>1479.878242412376</v>
      </c>
      <c r="T2008">
        <v>1666.6666666666699</v>
      </c>
      <c r="U2008">
        <v>666.66666666666697</v>
      </c>
      <c r="V2008">
        <v>2500</v>
      </c>
      <c r="W2008">
        <v>2438.5025030674929</v>
      </c>
      <c r="X2008">
        <v>2800</v>
      </c>
      <c r="Y2008">
        <v>625</v>
      </c>
      <c r="Z2008">
        <v>4100</v>
      </c>
      <c r="AA2008">
        <v>528.43535620727823</v>
      </c>
      <c r="AB2008">
        <v>720</v>
      </c>
      <c r="AC2008">
        <v>86</v>
      </c>
      <c r="AD2008">
        <v>1250</v>
      </c>
      <c r="AQ2008">
        <v>1850</v>
      </c>
      <c r="AR2008">
        <v>200</v>
      </c>
      <c r="AS2008">
        <v>200</v>
      </c>
      <c r="AT2008">
        <v>3500</v>
      </c>
      <c r="BC2008">
        <v>426</v>
      </c>
    </row>
    <row r="2009" spans="1:55">
      <c r="A2009" t="s">
        <v>202</v>
      </c>
      <c r="B2009" t="s">
        <v>235</v>
      </c>
      <c r="C2009">
        <v>9736.0969632916385</v>
      </c>
      <c r="D2009">
        <v>8000</v>
      </c>
      <c r="E2009">
        <v>1500</v>
      </c>
      <c r="F2009">
        <v>37500</v>
      </c>
      <c r="G2009">
        <v>3598.578541404012</v>
      </c>
      <c r="H2009">
        <v>5000</v>
      </c>
      <c r="I2009">
        <v>600</v>
      </c>
      <c r="J2009">
        <v>7500</v>
      </c>
      <c r="K2009">
        <v>21881.283472835639</v>
      </c>
      <c r="L2009">
        <v>30000</v>
      </c>
      <c r="M2009">
        <v>13333.333333333299</v>
      </c>
      <c r="N2009">
        <v>30000</v>
      </c>
      <c r="O2009">
        <v>3492.6044958501011</v>
      </c>
      <c r="P2009">
        <v>3750</v>
      </c>
      <c r="Q2009">
        <v>2666.6666666666702</v>
      </c>
      <c r="R2009">
        <v>3750</v>
      </c>
      <c r="S2009">
        <v>1725.109055746861</v>
      </c>
      <c r="T2009">
        <v>2000</v>
      </c>
      <c r="U2009">
        <v>500</v>
      </c>
      <c r="V2009">
        <v>3000</v>
      </c>
      <c r="W2009">
        <v>3081.0805552150682</v>
      </c>
      <c r="X2009">
        <v>2333.3333333333298</v>
      </c>
      <c r="Y2009">
        <v>571.42857142857099</v>
      </c>
      <c r="Z2009">
        <v>9000</v>
      </c>
      <c r="AA2009">
        <v>1017.870495391168</v>
      </c>
      <c r="AB2009">
        <v>700</v>
      </c>
      <c r="AC2009">
        <v>215</v>
      </c>
      <c r="AD2009">
        <v>3500</v>
      </c>
      <c r="AI2009">
        <v>10000</v>
      </c>
      <c r="AJ2009">
        <v>10000</v>
      </c>
      <c r="AK2009">
        <v>10000</v>
      </c>
      <c r="AL2009">
        <v>10000</v>
      </c>
      <c r="AM2009">
        <v>10800</v>
      </c>
      <c r="AN2009">
        <v>10800</v>
      </c>
      <c r="AO2009">
        <v>10800</v>
      </c>
      <c r="AP2009">
        <v>10800</v>
      </c>
      <c r="AQ2009">
        <v>8316.3757608998822</v>
      </c>
      <c r="AR2009">
        <v>7142.8571428571404</v>
      </c>
      <c r="AS2009">
        <v>7142.8571428571404</v>
      </c>
      <c r="AT2009">
        <v>10000</v>
      </c>
      <c r="AU2009">
        <v>285.71428571428601</v>
      </c>
      <c r="AV2009">
        <v>285.71428571428601</v>
      </c>
      <c r="AW2009">
        <v>285.71428571428601</v>
      </c>
      <c r="AX2009">
        <v>285.71428571428601</v>
      </c>
      <c r="AY2009">
        <v>16666.666666666701</v>
      </c>
      <c r="AZ2009">
        <v>16666.666666666701</v>
      </c>
      <c r="BA2009">
        <v>16666.666666666701</v>
      </c>
      <c r="BB2009">
        <v>16666.666666666701</v>
      </c>
      <c r="BC2009">
        <v>426</v>
      </c>
    </row>
    <row r="2010" spans="1:55">
      <c r="A2010" t="s">
        <v>203</v>
      </c>
      <c r="B2010" t="s">
        <v>236</v>
      </c>
      <c r="C2010">
        <v>3725.7765006115369</v>
      </c>
      <c r="D2010">
        <v>2125</v>
      </c>
      <c r="E2010">
        <v>1000</v>
      </c>
      <c r="F2010">
        <v>28000</v>
      </c>
      <c r="G2010">
        <v>1498.674423934797</v>
      </c>
      <c r="H2010">
        <v>2250</v>
      </c>
      <c r="I2010">
        <v>600</v>
      </c>
      <c r="J2010">
        <v>2250</v>
      </c>
      <c r="O2010">
        <v>500</v>
      </c>
      <c r="P2010">
        <v>500</v>
      </c>
      <c r="Q2010">
        <v>500</v>
      </c>
      <c r="R2010">
        <v>500</v>
      </c>
      <c r="S2010">
        <v>2003.468315805115</v>
      </c>
      <c r="T2010">
        <v>2000</v>
      </c>
      <c r="U2010">
        <v>888.88888888888903</v>
      </c>
      <c r="V2010">
        <v>2666.6666666666702</v>
      </c>
      <c r="W2010">
        <v>2732.7490095977769</v>
      </c>
      <c r="X2010">
        <v>3224</v>
      </c>
      <c r="Y2010">
        <v>888.88888888888903</v>
      </c>
      <c r="Z2010">
        <v>7500</v>
      </c>
      <c r="AA2010">
        <v>1446.366852344006</v>
      </c>
      <c r="AB2010">
        <v>1500</v>
      </c>
      <c r="AC2010">
        <v>270</v>
      </c>
      <c r="AD2010">
        <v>3000</v>
      </c>
      <c r="AE2010">
        <v>187.5</v>
      </c>
      <c r="AF2010">
        <v>187.5</v>
      </c>
      <c r="AG2010">
        <v>187.5</v>
      </c>
      <c r="AH2010">
        <v>187.5</v>
      </c>
      <c r="AQ2010">
        <v>2630.9306049606512</v>
      </c>
      <c r="AR2010">
        <v>2000</v>
      </c>
      <c r="AS2010">
        <v>500</v>
      </c>
      <c r="AT2010">
        <v>7000</v>
      </c>
      <c r="BC2010">
        <v>426</v>
      </c>
    </row>
    <row r="2011" spans="1:55">
      <c r="A2011" t="s">
        <v>203</v>
      </c>
      <c r="B2011" t="s">
        <v>235</v>
      </c>
      <c r="C2011">
        <v>4352.6539762327066</v>
      </c>
      <c r="D2011">
        <v>4250</v>
      </c>
      <c r="E2011">
        <v>1200</v>
      </c>
      <c r="F2011">
        <v>9500</v>
      </c>
      <c r="G2011">
        <v>2252.7482438845691</v>
      </c>
      <c r="H2011">
        <v>2333.3333333333298</v>
      </c>
      <c r="I2011">
        <v>625</v>
      </c>
      <c r="J2011">
        <v>5000</v>
      </c>
      <c r="K2011">
        <v>15459.349770309411</v>
      </c>
      <c r="L2011">
        <v>20000</v>
      </c>
      <c r="M2011">
        <v>666.66666666666697</v>
      </c>
      <c r="N2011">
        <v>20000</v>
      </c>
      <c r="S2011">
        <v>2036.3813230958169</v>
      </c>
      <c r="T2011">
        <v>2166.6666666666702</v>
      </c>
      <c r="U2011">
        <v>400</v>
      </c>
      <c r="V2011">
        <v>2666.6666666666702</v>
      </c>
      <c r="W2011">
        <v>2432.6729318409989</v>
      </c>
      <c r="X2011">
        <v>1490</v>
      </c>
      <c r="Y2011">
        <v>450</v>
      </c>
      <c r="Z2011">
        <v>10000</v>
      </c>
      <c r="AA2011">
        <v>1462.628266927725</v>
      </c>
      <c r="AB2011">
        <v>1500</v>
      </c>
      <c r="AC2011">
        <v>215</v>
      </c>
      <c r="AD2011">
        <v>5000</v>
      </c>
      <c r="AI2011">
        <v>1333.3333333333301</v>
      </c>
      <c r="AJ2011">
        <v>1333.3333333333301</v>
      </c>
      <c r="AK2011">
        <v>1333.3333333333301</v>
      </c>
      <c r="AL2011">
        <v>1333.3333333333301</v>
      </c>
      <c r="AQ2011">
        <v>5727.2217915582714</v>
      </c>
      <c r="AR2011">
        <v>6666.6666666666697</v>
      </c>
      <c r="AS2011">
        <v>2666.6666666666702</v>
      </c>
      <c r="AT2011">
        <v>6666.6666666666697</v>
      </c>
      <c r="AY2011">
        <v>666.66666666666697</v>
      </c>
      <c r="AZ2011">
        <v>666.66666666666697</v>
      </c>
      <c r="BA2011">
        <v>666.66666666666697</v>
      </c>
      <c r="BB2011">
        <v>666.66666666666697</v>
      </c>
      <c r="BC2011">
        <v>426</v>
      </c>
    </row>
    <row r="2012" spans="1:55">
      <c r="A2012" t="s">
        <v>205</v>
      </c>
      <c r="B2012" t="s">
        <v>236</v>
      </c>
      <c r="C2012">
        <v>13357.79188090378</v>
      </c>
      <c r="D2012">
        <v>9333.3333333333303</v>
      </c>
      <c r="E2012">
        <v>1000</v>
      </c>
      <c r="F2012">
        <v>27000</v>
      </c>
      <c r="G2012">
        <v>2500</v>
      </c>
      <c r="H2012">
        <v>2500</v>
      </c>
      <c r="I2012">
        <v>2500</v>
      </c>
      <c r="J2012">
        <v>2500</v>
      </c>
      <c r="O2012">
        <v>2410.2233590860919</v>
      </c>
      <c r="P2012">
        <v>1666.6666666666699</v>
      </c>
      <c r="Q2012">
        <v>1666.6666666666699</v>
      </c>
      <c r="R2012">
        <v>5000</v>
      </c>
      <c r="S2012">
        <v>1668.4525674641141</v>
      </c>
      <c r="T2012">
        <v>1666.6666666666699</v>
      </c>
      <c r="U2012">
        <v>666.66666666666697</v>
      </c>
      <c r="V2012">
        <v>2666.6666666666702</v>
      </c>
      <c r="W2012">
        <v>3282.2498600085391</v>
      </c>
      <c r="X2012">
        <v>4333.3333333333303</v>
      </c>
      <c r="Y2012">
        <v>1366.6666666666699</v>
      </c>
      <c r="Z2012">
        <v>7166.6666666666697</v>
      </c>
      <c r="AA2012">
        <v>1049.84661638169</v>
      </c>
      <c r="AB2012">
        <v>430</v>
      </c>
      <c r="AC2012">
        <v>286.66666666666703</v>
      </c>
      <c r="AD2012">
        <v>2333.3333333333298</v>
      </c>
      <c r="AM2012">
        <v>1850</v>
      </c>
      <c r="AN2012">
        <v>2200</v>
      </c>
      <c r="AO2012">
        <v>1500</v>
      </c>
      <c r="AP2012">
        <v>2200</v>
      </c>
      <c r="AQ2012">
        <v>2000</v>
      </c>
      <c r="AR2012">
        <v>2000</v>
      </c>
      <c r="AS2012">
        <v>2000</v>
      </c>
      <c r="AT2012">
        <v>2000</v>
      </c>
      <c r="BC2012">
        <v>426</v>
      </c>
    </row>
    <row r="2013" spans="1:55">
      <c r="A2013" t="s">
        <v>205</v>
      </c>
      <c r="B2013" t="s">
        <v>235</v>
      </c>
      <c r="C2013">
        <v>9362.9128760208405</v>
      </c>
      <c r="D2013">
        <v>8000</v>
      </c>
      <c r="E2013">
        <v>1000</v>
      </c>
      <c r="F2013">
        <v>21500</v>
      </c>
      <c r="G2013">
        <v>7278.715449212641</v>
      </c>
      <c r="H2013">
        <v>8000</v>
      </c>
      <c r="I2013">
        <v>833.33333333333303</v>
      </c>
      <c r="J2013">
        <v>12500</v>
      </c>
      <c r="O2013">
        <v>2500</v>
      </c>
      <c r="P2013">
        <v>2500</v>
      </c>
      <c r="Q2013">
        <v>2500</v>
      </c>
      <c r="R2013">
        <v>2500</v>
      </c>
      <c r="S2013">
        <v>1825.4003183397931</v>
      </c>
      <c r="T2013">
        <v>2000</v>
      </c>
      <c r="U2013">
        <v>400</v>
      </c>
      <c r="V2013">
        <v>3333.3333333333298</v>
      </c>
      <c r="W2013">
        <v>3838.1683157685702</v>
      </c>
      <c r="X2013">
        <v>3600</v>
      </c>
      <c r="Y2013">
        <v>750</v>
      </c>
      <c r="Z2013">
        <v>10000</v>
      </c>
      <c r="AA2013">
        <v>1560.4400229319581</v>
      </c>
      <c r="AB2013">
        <v>1233.3333333333301</v>
      </c>
      <c r="AC2013">
        <v>420</v>
      </c>
      <c r="AD2013">
        <v>4200</v>
      </c>
      <c r="AI2013">
        <v>2000</v>
      </c>
      <c r="AJ2013">
        <v>2000</v>
      </c>
      <c r="AK2013">
        <v>2000</v>
      </c>
      <c r="AL2013">
        <v>2000</v>
      </c>
      <c r="AM2013">
        <v>637.15890497754845</v>
      </c>
      <c r="AN2013">
        <v>1100</v>
      </c>
      <c r="AO2013">
        <v>150</v>
      </c>
      <c r="AP2013">
        <v>1100</v>
      </c>
      <c r="AQ2013">
        <v>2049.1154603880109</v>
      </c>
      <c r="AR2013">
        <v>3000</v>
      </c>
      <c r="AS2013">
        <v>500</v>
      </c>
      <c r="AT2013">
        <v>3000</v>
      </c>
      <c r="BC2013">
        <v>426</v>
      </c>
    </row>
    <row r="2014" spans="1:55">
      <c r="A2014" t="s">
        <v>206</v>
      </c>
      <c r="B2014" t="s">
        <v>236</v>
      </c>
      <c r="C2014">
        <v>5607.9866736815566</v>
      </c>
      <c r="D2014">
        <v>3333.3333333333298</v>
      </c>
      <c r="E2014">
        <v>833.33333333333303</v>
      </c>
      <c r="F2014">
        <v>25000</v>
      </c>
      <c r="S2014">
        <v>2347.2222222222231</v>
      </c>
      <c r="T2014">
        <v>2500</v>
      </c>
      <c r="U2014">
        <v>2000</v>
      </c>
      <c r="V2014">
        <v>3000</v>
      </c>
      <c r="W2014">
        <v>1904.974682020046</v>
      </c>
      <c r="X2014">
        <v>2800</v>
      </c>
      <c r="Y2014">
        <v>666.66666666666697</v>
      </c>
      <c r="Z2014">
        <v>2980</v>
      </c>
      <c r="AA2014">
        <v>541.6666666666664</v>
      </c>
      <c r="AB2014">
        <v>433.33333333333297</v>
      </c>
      <c r="AC2014">
        <v>433.33333333333297</v>
      </c>
      <c r="AD2014">
        <v>650</v>
      </c>
      <c r="AI2014">
        <v>8000</v>
      </c>
      <c r="AJ2014">
        <v>8000</v>
      </c>
      <c r="AK2014">
        <v>8000</v>
      </c>
      <c r="AL2014">
        <v>8000</v>
      </c>
      <c r="AM2014">
        <v>10375</v>
      </c>
      <c r="AN2014">
        <v>2500</v>
      </c>
      <c r="AO2014">
        <v>2500</v>
      </c>
      <c r="AP2014">
        <v>18250</v>
      </c>
      <c r="AQ2014">
        <v>500</v>
      </c>
      <c r="AR2014">
        <v>500</v>
      </c>
      <c r="AS2014">
        <v>500</v>
      </c>
      <c r="AT2014">
        <v>500</v>
      </c>
      <c r="AY2014">
        <v>2594.903074662529</v>
      </c>
      <c r="AZ2014">
        <v>4000</v>
      </c>
      <c r="BA2014">
        <v>800</v>
      </c>
      <c r="BB2014">
        <v>4000</v>
      </c>
      <c r="BC2014">
        <v>426</v>
      </c>
    </row>
    <row r="2015" spans="1:55">
      <c r="A2015" t="s">
        <v>206</v>
      </c>
      <c r="B2015" t="s">
        <v>235</v>
      </c>
      <c r="C2015">
        <v>5072.5840340404156</v>
      </c>
      <c r="D2015">
        <v>3666.6666666666702</v>
      </c>
      <c r="E2015">
        <v>533.33333333333303</v>
      </c>
      <c r="F2015">
        <v>26666.666666666701</v>
      </c>
      <c r="G2015">
        <v>7544.0503748305418</v>
      </c>
      <c r="H2015">
        <v>3500</v>
      </c>
      <c r="I2015">
        <v>1000</v>
      </c>
      <c r="J2015">
        <v>37000</v>
      </c>
      <c r="K2015">
        <v>3666.6666666666702</v>
      </c>
      <c r="L2015">
        <v>3666.6666666666702</v>
      </c>
      <c r="M2015">
        <v>3666.6666666666702</v>
      </c>
      <c r="N2015">
        <v>3666.6666666666702</v>
      </c>
      <c r="O2015">
        <v>13000</v>
      </c>
      <c r="P2015">
        <v>13000</v>
      </c>
      <c r="Q2015">
        <v>13000</v>
      </c>
      <c r="R2015">
        <v>13000</v>
      </c>
      <c r="S2015">
        <v>1835.802077254775</v>
      </c>
      <c r="T2015">
        <v>2000</v>
      </c>
      <c r="U2015">
        <v>625</v>
      </c>
      <c r="V2015">
        <v>3000</v>
      </c>
      <c r="W2015">
        <v>1797.053762159095</v>
      </c>
      <c r="X2015">
        <v>2300</v>
      </c>
      <c r="Y2015">
        <v>540</v>
      </c>
      <c r="Z2015">
        <v>3000</v>
      </c>
      <c r="AA2015">
        <v>2161.9429805082259</v>
      </c>
      <c r="AB2015">
        <v>2000</v>
      </c>
      <c r="AC2015">
        <v>172</v>
      </c>
      <c r="AD2015">
        <v>7666.6666666666697</v>
      </c>
      <c r="AI2015">
        <v>600</v>
      </c>
      <c r="AJ2015">
        <v>600</v>
      </c>
      <c r="AK2015">
        <v>600</v>
      </c>
      <c r="AL2015">
        <v>600</v>
      </c>
      <c r="AM2015">
        <v>5000</v>
      </c>
      <c r="AN2015">
        <v>5000</v>
      </c>
      <c r="AO2015">
        <v>5000</v>
      </c>
      <c r="AP2015">
        <v>5000</v>
      </c>
      <c r="AQ2015">
        <v>7330.9696002061628</v>
      </c>
      <c r="AR2015">
        <v>9000</v>
      </c>
      <c r="AS2015">
        <v>5000</v>
      </c>
      <c r="AT2015">
        <v>9000</v>
      </c>
      <c r="AU2015">
        <v>1320</v>
      </c>
      <c r="AV2015">
        <v>1320</v>
      </c>
      <c r="AW2015">
        <v>1320</v>
      </c>
      <c r="AX2015">
        <v>1320</v>
      </c>
      <c r="BC2015">
        <v>426</v>
      </c>
    </row>
    <row r="2016" spans="1:55">
      <c r="A2016" t="s">
        <v>207</v>
      </c>
      <c r="B2016" t="s">
        <v>236</v>
      </c>
      <c r="C2016">
        <v>4966.1307651947454</v>
      </c>
      <c r="D2016">
        <v>3000</v>
      </c>
      <c r="E2016">
        <v>1250</v>
      </c>
      <c r="F2016">
        <v>20000</v>
      </c>
      <c r="G2016">
        <v>6101.930380344581</v>
      </c>
      <c r="H2016">
        <v>8000</v>
      </c>
      <c r="I2016">
        <v>66.6666666666667</v>
      </c>
      <c r="J2016">
        <v>8000</v>
      </c>
      <c r="K2016">
        <v>3000</v>
      </c>
      <c r="L2016">
        <v>3000</v>
      </c>
      <c r="M2016">
        <v>3000</v>
      </c>
      <c r="N2016">
        <v>3000</v>
      </c>
      <c r="O2016">
        <v>166.666666666667</v>
      </c>
      <c r="P2016">
        <v>166.666666666667</v>
      </c>
      <c r="Q2016">
        <v>166.666666666667</v>
      </c>
      <c r="R2016">
        <v>166.666666666667</v>
      </c>
      <c r="S2016">
        <v>1879.3264814112349</v>
      </c>
      <c r="T2016">
        <v>2000</v>
      </c>
      <c r="U2016">
        <v>333.33333333333297</v>
      </c>
      <c r="V2016">
        <v>7500</v>
      </c>
      <c r="W2016">
        <v>2133.0086827688729</v>
      </c>
      <c r="X2016">
        <v>1900</v>
      </c>
      <c r="Y2016">
        <v>500</v>
      </c>
      <c r="Z2016">
        <v>7500</v>
      </c>
      <c r="AA2016">
        <v>1312.6704416440009</v>
      </c>
      <c r="AB2016">
        <v>750</v>
      </c>
      <c r="AC2016">
        <v>125</v>
      </c>
      <c r="AD2016">
        <v>6000</v>
      </c>
      <c r="AE2016">
        <v>2500</v>
      </c>
      <c r="AF2016">
        <v>2500</v>
      </c>
      <c r="AG2016">
        <v>2500</v>
      </c>
      <c r="AH2016">
        <v>2500</v>
      </c>
      <c r="AI2016">
        <v>3833.3333333333348</v>
      </c>
      <c r="AJ2016">
        <v>2666.6666666666702</v>
      </c>
      <c r="AK2016">
        <v>2666.6666666666702</v>
      </c>
      <c r="AL2016">
        <v>5000</v>
      </c>
      <c r="AM2016">
        <v>2340.8908145278651</v>
      </c>
      <c r="AN2016">
        <v>3600</v>
      </c>
      <c r="AO2016">
        <v>750</v>
      </c>
      <c r="AP2016">
        <v>4333.3333333333303</v>
      </c>
      <c r="AQ2016">
        <v>3565.7986831278222</v>
      </c>
      <c r="AR2016">
        <v>5000</v>
      </c>
      <c r="AS2016">
        <v>1500</v>
      </c>
      <c r="AT2016">
        <v>5000</v>
      </c>
      <c r="AY2016">
        <v>2500</v>
      </c>
      <c r="AZ2016">
        <v>2500</v>
      </c>
      <c r="BA2016">
        <v>2500</v>
      </c>
      <c r="BB2016">
        <v>2500</v>
      </c>
      <c r="BC2016">
        <v>426</v>
      </c>
    </row>
    <row r="2017" spans="1:55">
      <c r="A2017" t="s">
        <v>207</v>
      </c>
      <c r="B2017" t="s">
        <v>235</v>
      </c>
      <c r="C2017">
        <v>7033.611021807722</v>
      </c>
      <c r="D2017">
        <v>6666.6666666666697</v>
      </c>
      <c r="E2017">
        <v>1300</v>
      </c>
      <c r="F2017">
        <v>30000</v>
      </c>
      <c r="G2017">
        <v>3746.3063927847829</v>
      </c>
      <c r="H2017">
        <v>4000</v>
      </c>
      <c r="I2017">
        <v>266.66666666666703</v>
      </c>
      <c r="J2017">
        <v>8333.3333333333303</v>
      </c>
      <c r="K2017">
        <v>3663.852314909198</v>
      </c>
      <c r="L2017">
        <v>4000</v>
      </c>
      <c r="M2017">
        <v>3000</v>
      </c>
      <c r="N2017">
        <v>4000</v>
      </c>
      <c r="S2017">
        <v>2080.0121304565041</v>
      </c>
      <c r="T2017">
        <v>2333.3333333333298</v>
      </c>
      <c r="U2017">
        <v>666.66666666666697</v>
      </c>
      <c r="V2017">
        <v>2666.6666666666702</v>
      </c>
      <c r="W2017">
        <v>3642.8947449135949</v>
      </c>
      <c r="X2017">
        <v>2800</v>
      </c>
      <c r="Y2017">
        <v>866.66666666666697</v>
      </c>
      <c r="Z2017">
        <v>6500</v>
      </c>
      <c r="AA2017">
        <v>848.68155523280132</v>
      </c>
      <c r="AB2017">
        <v>750</v>
      </c>
      <c r="AC2017">
        <v>215</v>
      </c>
      <c r="AD2017">
        <v>3000</v>
      </c>
      <c r="AE2017">
        <v>93.75</v>
      </c>
      <c r="AF2017">
        <v>93.75</v>
      </c>
      <c r="AG2017">
        <v>93.75</v>
      </c>
      <c r="AH2017">
        <v>93.75</v>
      </c>
      <c r="AI2017">
        <v>423.62742890624043</v>
      </c>
      <c r="AJ2017">
        <v>428.57142857142901</v>
      </c>
      <c r="AK2017">
        <v>333.33333333333297</v>
      </c>
      <c r="AL2017">
        <v>428.57142857142901</v>
      </c>
      <c r="AQ2017">
        <v>8298.2781748215839</v>
      </c>
      <c r="AR2017">
        <v>10000</v>
      </c>
      <c r="AS2017">
        <v>1250</v>
      </c>
      <c r="AT2017">
        <v>10000</v>
      </c>
      <c r="AU2017">
        <v>500</v>
      </c>
      <c r="AV2017">
        <v>500</v>
      </c>
      <c r="AW2017">
        <v>500</v>
      </c>
      <c r="AX2017">
        <v>500</v>
      </c>
      <c r="AY2017">
        <v>4365.9659825170484</v>
      </c>
      <c r="AZ2017">
        <v>466.66666666666703</v>
      </c>
      <c r="BA2017">
        <v>466.66666666666703</v>
      </c>
      <c r="BB2017">
        <v>15000</v>
      </c>
      <c r="BC2017">
        <v>426</v>
      </c>
    </row>
    <row r="2018" spans="1:55">
      <c r="A2018" t="s">
        <v>208</v>
      </c>
      <c r="B2018" t="s">
        <v>236</v>
      </c>
      <c r="C2018">
        <v>1825</v>
      </c>
      <c r="D2018">
        <v>1825</v>
      </c>
      <c r="E2018">
        <v>1825</v>
      </c>
      <c r="F2018">
        <v>1825</v>
      </c>
      <c r="G2018">
        <v>975</v>
      </c>
      <c r="H2018">
        <v>100</v>
      </c>
      <c r="I2018">
        <v>100</v>
      </c>
      <c r="J2018">
        <v>1850</v>
      </c>
      <c r="O2018">
        <v>3750</v>
      </c>
      <c r="P2018">
        <v>3750</v>
      </c>
      <c r="Q2018">
        <v>3750</v>
      </c>
      <c r="R2018">
        <v>3750</v>
      </c>
      <c r="S2018">
        <v>1849.0740740740739</v>
      </c>
      <c r="T2018">
        <v>2000</v>
      </c>
      <c r="U2018">
        <v>1000</v>
      </c>
      <c r="V2018">
        <v>2600</v>
      </c>
      <c r="W2018">
        <v>3144.375</v>
      </c>
      <c r="X2018">
        <v>2000</v>
      </c>
      <c r="Y2018">
        <v>287.5</v>
      </c>
      <c r="Z2018">
        <v>6490</v>
      </c>
      <c r="AA2018">
        <v>27166.666666666599</v>
      </c>
      <c r="AB2018">
        <v>19000</v>
      </c>
      <c r="AC2018">
        <v>250</v>
      </c>
      <c r="AD2018">
        <v>113333.33333333299</v>
      </c>
      <c r="AM2018">
        <v>3333.3333333333298</v>
      </c>
      <c r="AN2018">
        <v>3333.3333333333298</v>
      </c>
      <c r="AO2018">
        <v>3333.3333333333298</v>
      </c>
      <c r="AP2018">
        <v>3333.3333333333298</v>
      </c>
      <c r="BC2018">
        <v>426</v>
      </c>
    </row>
    <row r="2019" spans="1:55">
      <c r="A2019" t="s">
        <v>208</v>
      </c>
      <c r="B2019" t="s">
        <v>235</v>
      </c>
      <c r="C2019">
        <v>6737.7001763668422</v>
      </c>
      <c r="D2019">
        <v>6400</v>
      </c>
      <c r="E2019">
        <v>1428.57142857143</v>
      </c>
      <c r="F2019">
        <v>21000</v>
      </c>
      <c r="G2019">
        <v>2740.84249084249</v>
      </c>
      <c r="H2019">
        <v>2500</v>
      </c>
      <c r="I2019">
        <v>500</v>
      </c>
      <c r="J2019">
        <v>6000</v>
      </c>
      <c r="S2019">
        <v>1978.703703703703</v>
      </c>
      <c r="T2019">
        <v>2000</v>
      </c>
      <c r="U2019">
        <v>333.33333333333297</v>
      </c>
      <c r="V2019">
        <v>3000</v>
      </c>
      <c r="W2019">
        <v>2457.407407407406</v>
      </c>
      <c r="X2019">
        <v>3250</v>
      </c>
      <c r="Y2019">
        <v>450</v>
      </c>
      <c r="Z2019">
        <v>5250</v>
      </c>
      <c r="AA2019">
        <v>1385.9130434782601</v>
      </c>
      <c r="AB2019">
        <v>1250</v>
      </c>
      <c r="AC2019">
        <v>286.66666666666703</v>
      </c>
      <c r="AD2019">
        <v>4000</v>
      </c>
      <c r="AI2019">
        <v>2800</v>
      </c>
      <c r="AJ2019">
        <v>2500</v>
      </c>
      <c r="AK2019">
        <v>1000</v>
      </c>
      <c r="AL2019">
        <v>7000</v>
      </c>
      <c r="AM2019">
        <v>3031.666666666667</v>
      </c>
      <c r="AN2019">
        <v>2200</v>
      </c>
      <c r="AO2019">
        <v>333.33333333333297</v>
      </c>
      <c r="AP2019">
        <v>10500</v>
      </c>
      <c r="AQ2019">
        <v>1666.6666666666699</v>
      </c>
      <c r="AR2019">
        <v>1666.6666666666699</v>
      </c>
      <c r="AS2019">
        <v>1666.6666666666699</v>
      </c>
      <c r="AT2019">
        <v>1666.6666666666699</v>
      </c>
      <c r="AY2019">
        <v>9000</v>
      </c>
      <c r="AZ2019">
        <v>9000</v>
      </c>
      <c r="BA2019">
        <v>9000</v>
      </c>
      <c r="BB2019">
        <v>9000</v>
      </c>
      <c r="BC2019">
        <v>426</v>
      </c>
    </row>
    <row r="2020" spans="1:55">
      <c r="A2020" t="s">
        <v>210</v>
      </c>
      <c r="B2020" t="s">
        <v>236</v>
      </c>
      <c r="C2020">
        <v>2723.4904804760572</v>
      </c>
      <c r="D2020">
        <v>3000</v>
      </c>
      <c r="E2020">
        <v>714.28571428571399</v>
      </c>
      <c r="F2020">
        <v>6000</v>
      </c>
      <c r="G2020">
        <v>995.60122997288124</v>
      </c>
      <c r="H2020">
        <v>1250</v>
      </c>
      <c r="I2020">
        <v>666.66666666666697</v>
      </c>
      <c r="J2020">
        <v>1500</v>
      </c>
      <c r="K2020">
        <v>1500</v>
      </c>
      <c r="L2020">
        <v>1500</v>
      </c>
      <c r="M2020">
        <v>1500</v>
      </c>
      <c r="N2020">
        <v>1500</v>
      </c>
      <c r="S2020">
        <v>2435.383573344378</v>
      </c>
      <c r="T2020">
        <v>2500</v>
      </c>
      <c r="U2020">
        <v>1500</v>
      </c>
      <c r="V2020">
        <v>6000</v>
      </c>
      <c r="W2020">
        <v>2417.4576268304581</v>
      </c>
      <c r="X2020">
        <v>2000</v>
      </c>
      <c r="Y2020">
        <v>642.857142857143</v>
      </c>
      <c r="Z2020">
        <v>4950</v>
      </c>
      <c r="AA2020">
        <v>1473.5950764455481</v>
      </c>
      <c r="AB2020">
        <v>1000</v>
      </c>
      <c r="AC2020">
        <v>344</v>
      </c>
      <c r="AD2020">
        <v>3850</v>
      </c>
      <c r="AM2020">
        <v>7250.0000000000009</v>
      </c>
      <c r="AN2020">
        <v>6000</v>
      </c>
      <c r="AO2020">
        <v>6000</v>
      </c>
      <c r="AP2020">
        <v>8500</v>
      </c>
      <c r="AQ2020">
        <v>19000</v>
      </c>
      <c r="AR2020">
        <v>19000</v>
      </c>
      <c r="AS2020">
        <v>19000</v>
      </c>
      <c r="AT2020">
        <v>19000</v>
      </c>
      <c r="BC2020">
        <v>426</v>
      </c>
    </row>
    <row r="2021" spans="1:55">
      <c r="A2021" t="s">
        <v>210</v>
      </c>
      <c r="B2021" t="s">
        <v>235</v>
      </c>
      <c r="C2021">
        <v>7451.5151515151529</v>
      </c>
      <c r="D2021">
        <v>6750</v>
      </c>
      <c r="E2021">
        <v>2000</v>
      </c>
      <c r="F2021">
        <v>25000</v>
      </c>
      <c r="G2021">
        <v>4027.777777777776</v>
      </c>
      <c r="H2021">
        <v>5000</v>
      </c>
      <c r="I2021">
        <v>3333.3333333333298</v>
      </c>
      <c r="J2021">
        <v>5000</v>
      </c>
      <c r="S2021">
        <v>2063.6603754023181</v>
      </c>
      <c r="T2021">
        <v>2500</v>
      </c>
      <c r="U2021">
        <v>1000</v>
      </c>
      <c r="V2021">
        <v>3000</v>
      </c>
      <c r="W2021">
        <v>2993.552297574362</v>
      </c>
      <c r="X2021">
        <v>2150</v>
      </c>
      <c r="Y2021">
        <v>1000</v>
      </c>
      <c r="Z2021">
        <v>8000</v>
      </c>
      <c r="AA2021">
        <v>1585.8333333333339</v>
      </c>
      <c r="AB2021">
        <v>1350</v>
      </c>
      <c r="AC2021">
        <v>215</v>
      </c>
      <c r="AD2021">
        <v>3600</v>
      </c>
      <c r="AM2021">
        <v>7000</v>
      </c>
      <c r="AN2021">
        <v>3200</v>
      </c>
      <c r="AO2021">
        <v>3200</v>
      </c>
      <c r="AP2021">
        <v>10800</v>
      </c>
      <c r="AQ2021">
        <v>10000</v>
      </c>
      <c r="AR2021">
        <v>10000</v>
      </c>
      <c r="AS2021">
        <v>10000</v>
      </c>
      <c r="AT2021">
        <v>10000</v>
      </c>
      <c r="BC2021">
        <v>426</v>
      </c>
    </row>
    <row r="2022" spans="1:55">
      <c r="A2022" t="s">
        <v>211</v>
      </c>
      <c r="B2022" t="s">
        <v>236</v>
      </c>
      <c r="C2022">
        <v>6968.4168135619229</v>
      </c>
      <c r="D2022">
        <v>6440</v>
      </c>
      <c r="E2022">
        <v>1000</v>
      </c>
      <c r="F2022">
        <v>20000</v>
      </c>
      <c r="G2022">
        <v>2461.9694687033002</v>
      </c>
      <c r="H2022">
        <v>1500</v>
      </c>
      <c r="I2022">
        <v>216.666666666667</v>
      </c>
      <c r="J2022">
        <v>6000</v>
      </c>
      <c r="O2022">
        <v>699.60782221361956</v>
      </c>
      <c r="P2022">
        <v>800</v>
      </c>
      <c r="Q2022">
        <v>500</v>
      </c>
      <c r="R2022">
        <v>1166.6666666666699</v>
      </c>
      <c r="S2022">
        <v>2145.4636902526559</v>
      </c>
      <c r="T2022">
        <v>2000</v>
      </c>
      <c r="U2022">
        <v>500</v>
      </c>
      <c r="V2022">
        <v>8000</v>
      </c>
      <c r="W2022">
        <v>2835.7653025534469</v>
      </c>
      <c r="X2022">
        <v>3000</v>
      </c>
      <c r="Y2022">
        <v>433.33333333333297</v>
      </c>
      <c r="Z2022">
        <v>6000</v>
      </c>
      <c r="AA2022">
        <v>1833.8905844403871</v>
      </c>
      <c r="AB2022">
        <v>1733.3333333333301</v>
      </c>
      <c r="AC2022">
        <v>122.857142857143</v>
      </c>
      <c r="AD2022">
        <v>10000</v>
      </c>
      <c r="AM2022">
        <v>1943.373540540324</v>
      </c>
      <c r="AN2022">
        <v>3000</v>
      </c>
      <c r="AO2022">
        <v>200</v>
      </c>
      <c r="AP2022">
        <v>3000</v>
      </c>
      <c r="AQ2022">
        <v>1433.3333333333351</v>
      </c>
      <c r="AR2022">
        <v>1200</v>
      </c>
      <c r="AS2022">
        <v>1200</v>
      </c>
      <c r="AT2022">
        <v>1666.6666666666699</v>
      </c>
      <c r="BC2022">
        <v>426</v>
      </c>
    </row>
    <row r="2023" spans="1:55">
      <c r="A2023" t="s">
        <v>211</v>
      </c>
      <c r="B2023" t="s">
        <v>235</v>
      </c>
      <c r="C2023">
        <v>6169.8169097018563</v>
      </c>
      <c r="D2023">
        <v>6666.6666666666697</v>
      </c>
      <c r="E2023">
        <v>1166.6666666666699</v>
      </c>
      <c r="F2023">
        <v>15000</v>
      </c>
      <c r="G2023">
        <v>2948.488874907021</v>
      </c>
      <c r="H2023">
        <v>3600</v>
      </c>
      <c r="I2023">
        <v>666.66666666666697</v>
      </c>
      <c r="J2023">
        <v>7500</v>
      </c>
      <c r="K2023">
        <v>4000</v>
      </c>
      <c r="L2023">
        <v>4000</v>
      </c>
      <c r="M2023">
        <v>4000</v>
      </c>
      <c r="N2023">
        <v>4000</v>
      </c>
      <c r="S2023">
        <v>2424.297513824446</v>
      </c>
      <c r="T2023">
        <v>2333.3333333333298</v>
      </c>
      <c r="U2023">
        <v>666.66666666666697</v>
      </c>
      <c r="V2023">
        <v>7500</v>
      </c>
      <c r="W2023">
        <v>2141.7869583460269</v>
      </c>
      <c r="X2023">
        <v>2333.3333333333298</v>
      </c>
      <c r="Y2023">
        <v>571.42857142857099</v>
      </c>
      <c r="Z2023">
        <v>4983</v>
      </c>
      <c r="AA2023">
        <v>1664.478632833778</v>
      </c>
      <c r="AB2023">
        <v>1250</v>
      </c>
      <c r="AC2023">
        <v>633.33333333333303</v>
      </c>
      <c r="AD2023">
        <v>3666.6666666666702</v>
      </c>
      <c r="AM2023">
        <v>2550</v>
      </c>
      <c r="AN2023">
        <v>1500</v>
      </c>
      <c r="AO2023">
        <v>1500</v>
      </c>
      <c r="AP2023">
        <v>3600</v>
      </c>
      <c r="AQ2023">
        <v>2180.1581089626429</v>
      </c>
      <c r="AR2023">
        <v>3000</v>
      </c>
      <c r="AS2023">
        <v>400</v>
      </c>
      <c r="AT2023">
        <v>3000</v>
      </c>
      <c r="BC2023">
        <v>426</v>
      </c>
    </row>
    <row r="2024" spans="1:55">
      <c r="A2024" t="s">
        <v>212</v>
      </c>
      <c r="B2024" t="s">
        <v>236</v>
      </c>
      <c r="C2024">
        <v>7074.6118221165216</v>
      </c>
      <c r="D2024">
        <v>7500</v>
      </c>
      <c r="E2024">
        <v>888.88888888888903</v>
      </c>
      <c r="F2024">
        <v>17500</v>
      </c>
      <c r="G2024">
        <v>4018.460724816744</v>
      </c>
      <c r="H2024">
        <v>6666.6666666666697</v>
      </c>
      <c r="I2024">
        <v>2000</v>
      </c>
      <c r="J2024">
        <v>6666.6666666666697</v>
      </c>
      <c r="K2024">
        <v>1957.4870085532641</v>
      </c>
      <c r="L2024">
        <v>1666.6666666666699</v>
      </c>
      <c r="M2024">
        <v>1666.6666666666699</v>
      </c>
      <c r="N2024">
        <v>3333.3333333333298</v>
      </c>
      <c r="S2024">
        <v>2150.4477726854452</v>
      </c>
      <c r="T2024">
        <v>2500</v>
      </c>
      <c r="U2024">
        <v>1000</v>
      </c>
      <c r="V2024">
        <v>2500</v>
      </c>
      <c r="W2024">
        <v>2566.7602505183659</v>
      </c>
      <c r="X2024">
        <v>3000</v>
      </c>
      <c r="Y2024">
        <v>516.66666666666697</v>
      </c>
      <c r="Z2024">
        <v>7000</v>
      </c>
      <c r="AA2024">
        <v>343.33333333333331</v>
      </c>
      <c r="AB2024">
        <v>600</v>
      </c>
      <c r="AC2024">
        <v>143.333333333333</v>
      </c>
      <c r="AD2024">
        <v>600</v>
      </c>
      <c r="AQ2024">
        <v>2763.318536644339</v>
      </c>
      <c r="AR2024">
        <v>5000</v>
      </c>
      <c r="AS2024">
        <v>500</v>
      </c>
      <c r="AT2024">
        <v>5000</v>
      </c>
      <c r="BC2024">
        <v>426</v>
      </c>
    </row>
    <row r="2025" spans="1:55">
      <c r="A2025" t="s">
        <v>212</v>
      </c>
      <c r="B2025" t="s">
        <v>235</v>
      </c>
      <c r="C2025">
        <v>8151.2754596248187</v>
      </c>
      <c r="D2025">
        <v>6333.3333333333303</v>
      </c>
      <c r="E2025">
        <v>2000</v>
      </c>
      <c r="F2025">
        <v>33000</v>
      </c>
      <c r="G2025">
        <v>2848.5036147659448</v>
      </c>
      <c r="H2025">
        <v>1500</v>
      </c>
      <c r="I2025">
        <v>250</v>
      </c>
      <c r="J2025">
        <v>9000</v>
      </c>
      <c r="K2025">
        <v>8454.7809784800029</v>
      </c>
      <c r="L2025">
        <v>5000</v>
      </c>
      <c r="M2025">
        <v>5000</v>
      </c>
      <c r="N2025">
        <v>15000</v>
      </c>
      <c r="S2025">
        <v>1645.9396848019121</v>
      </c>
      <c r="T2025">
        <v>2000</v>
      </c>
      <c r="U2025">
        <v>333.33333333333297</v>
      </c>
      <c r="V2025">
        <v>3000</v>
      </c>
      <c r="W2025">
        <v>2309.3614228999509</v>
      </c>
      <c r="X2025">
        <v>2000</v>
      </c>
      <c r="Y2025">
        <v>583.33333333333303</v>
      </c>
      <c r="Z2025">
        <v>7100</v>
      </c>
      <c r="AA2025">
        <v>1872.7755919324809</v>
      </c>
      <c r="AB2025">
        <v>1400</v>
      </c>
      <c r="AC2025">
        <v>286.66666666666703</v>
      </c>
      <c r="AD2025">
        <v>10800</v>
      </c>
      <c r="AI2025">
        <v>3294.76839837443</v>
      </c>
      <c r="AJ2025">
        <v>5000</v>
      </c>
      <c r="AK2025">
        <v>1500</v>
      </c>
      <c r="AL2025">
        <v>5666.6666666666697</v>
      </c>
      <c r="AM2025">
        <v>458.33333333333309</v>
      </c>
      <c r="AN2025">
        <v>83.3333333333333</v>
      </c>
      <c r="AO2025">
        <v>83.3333333333333</v>
      </c>
      <c r="AP2025">
        <v>833.33333333333303</v>
      </c>
      <c r="AQ2025">
        <v>2833.333333333333</v>
      </c>
      <c r="AR2025">
        <v>1500</v>
      </c>
      <c r="AS2025">
        <v>666.66666666666697</v>
      </c>
      <c r="AT2025">
        <v>10000</v>
      </c>
      <c r="AU2025">
        <v>3000</v>
      </c>
      <c r="AV2025">
        <v>3000</v>
      </c>
      <c r="AW2025">
        <v>3000</v>
      </c>
      <c r="AX2025">
        <v>3000</v>
      </c>
      <c r="BC2025">
        <v>426</v>
      </c>
    </row>
    <row r="2027" spans="1:55">
      <c r="A2027" t="s">
        <v>674</v>
      </c>
    </row>
    <row r="2028" spans="1:55">
      <c r="A2028" t="s">
        <v>189</v>
      </c>
      <c r="B2028" t="s">
        <v>190</v>
      </c>
      <c r="C2028" t="s">
        <v>191</v>
      </c>
      <c r="D2028" t="s">
        <v>192</v>
      </c>
      <c r="E2028" t="s">
        <v>193</v>
      </c>
      <c r="F2028" t="s">
        <v>194</v>
      </c>
      <c r="G2028" t="s">
        <v>195</v>
      </c>
      <c r="H2028" t="s">
        <v>196</v>
      </c>
    </row>
    <row r="2029" spans="1:55">
      <c r="A2029" t="s">
        <v>197</v>
      </c>
      <c r="B2029" t="s">
        <v>198</v>
      </c>
      <c r="C2029">
        <v>22685.35786089722</v>
      </c>
      <c r="D2029">
        <v>17300</v>
      </c>
      <c r="E2029">
        <v>500</v>
      </c>
      <c r="F2029">
        <v>340000</v>
      </c>
      <c r="G2029">
        <v>882</v>
      </c>
      <c r="H2029">
        <v>882</v>
      </c>
    </row>
    <row r="2030" spans="1:55">
      <c r="A2030" t="s">
        <v>199</v>
      </c>
      <c r="B2030" t="s">
        <v>200</v>
      </c>
      <c r="C2030">
        <v>17149.400798895851</v>
      </c>
      <c r="D2030">
        <v>12000</v>
      </c>
      <c r="E2030">
        <v>1500</v>
      </c>
      <c r="F2030">
        <v>60000</v>
      </c>
      <c r="G2030">
        <v>72</v>
      </c>
      <c r="H2030">
        <v>882</v>
      </c>
    </row>
    <row r="2031" spans="1:55">
      <c r="A2031" t="s">
        <v>199</v>
      </c>
      <c r="B2031" t="s">
        <v>201</v>
      </c>
      <c r="C2031">
        <v>27896.917647058821</v>
      </c>
      <c r="D2031">
        <v>23000</v>
      </c>
      <c r="E2031">
        <v>2000</v>
      </c>
      <c r="F2031">
        <v>100000</v>
      </c>
      <c r="G2031">
        <v>85</v>
      </c>
      <c r="H2031">
        <v>882</v>
      </c>
    </row>
    <row r="2032" spans="1:55">
      <c r="A2032" t="s">
        <v>199</v>
      </c>
      <c r="B2032" t="s">
        <v>202</v>
      </c>
      <c r="C2032">
        <v>30143.523711253929</v>
      </c>
      <c r="D2032">
        <v>25800</v>
      </c>
      <c r="E2032">
        <v>2000</v>
      </c>
      <c r="F2032">
        <v>98860</v>
      </c>
      <c r="G2032">
        <v>91</v>
      </c>
      <c r="H2032">
        <v>882</v>
      </c>
    </row>
    <row r="2033" spans="1:9">
      <c r="A2033" t="s">
        <v>199</v>
      </c>
      <c r="B2033" t="s">
        <v>203</v>
      </c>
      <c r="C2033">
        <v>14301.438162898979</v>
      </c>
      <c r="D2033">
        <v>12500</v>
      </c>
      <c r="E2033">
        <v>1600</v>
      </c>
      <c r="F2033">
        <v>84000</v>
      </c>
      <c r="G2033">
        <v>70</v>
      </c>
      <c r="H2033">
        <v>882</v>
      </c>
    </row>
    <row r="2034" spans="1:9">
      <c r="A2034" t="s">
        <v>204</v>
      </c>
      <c r="B2034" t="s">
        <v>205</v>
      </c>
      <c r="C2034">
        <v>22004.571278007959</v>
      </c>
      <c r="D2034">
        <v>19120</v>
      </c>
      <c r="E2034">
        <v>850</v>
      </c>
      <c r="F2034">
        <v>56000</v>
      </c>
      <c r="G2034">
        <v>86</v>
      </c>
      <c r="H2034">
        <v>882</v>
      </c>
    </row>
    <row r="2035" spans="1:9">
      <c r="A2035" t="s">
        <v>204</v>
      </c>
      <c r="B2035" t="s">
        <v>206</v>
      </c>
      <c r="C2035">
        <v>19525.956701011699</v>
      </c>
      <c r="D2035">
        <v>14000</v>
      </c>
      <c r="E2035">
        <v>2980</v>
      </c>
      <c r="F2035">
        <v>101000</v>
      </c>
      <c r="G2035">
        <v>63</v>
      </c>
      <c r="H2035">
        <v>882</v>
      </c>
    </row>
    <row r="2036" spans="1:9">
      <c r="A2036" t="s">
        <v>204</v>
      </c>
      <c r="B2036" t="s">
        <v>207</v>
      </c>
      <c r="C2036">
        <v>17075.558577327662</v>
      </c>
      <c r="D2036">
        <v>14400</v>
      </c>
      <c r="E2036">
        <v>2000</v>
      </c>
      <c r="F2036">
        <v>70000</v>
      </c>
      <c r="G2036">
        <v>120</v>
      </c>
      <c r="H2036">
        <v>882</v>
      </c>
    </row>
    <row r="2037" spans="1:9">
      <c r="A2037" t="s">
        <v>204</v>
      </c>
      <c r="B2037" t="s">
        <v>208</v>
      </c>
      <c r="C2037">
        <v>22149.884057971009</v>
      </c>
      <c r="D2037">
        <v>14500</v>
      </c>
      <c r="E2037">
        <v>860</v>
      </c>
      <c r="F2037">
        <v>340000</v>
      </c>
      <c r="G2037">
        <v>69</v>
      </c>
      <c r="H2037">
        <v>882</v>
      </c>
    </row>
    <row r="2038" spans="1:9">
      <c r="A2038" t="s">
        <v>209</v>
      </c>
      <c r="B2038" t="s">
        <v>210</v>
      </c>
      <c r="C2038">
        <v>14208.64558630853</v>
      </c>
      <c r="D2038">
        <v>13800</v>
      </c>
      <c r="E2038">
        <v>2000</v>
      </c>
      <c r="F2038">
        <v>51500</v>
      </c>
      <c r="G2038">
        <v>62</v>
      </c>
      <c r="H2038">
        <v>882</v>
      </c>
    </row>
    <row r="2039" spans="1:9">
      <c r="A2039" t="s">
        <v>209</v>
      </c>
      <c r="B2039" t="s">
        <v>211</v>
      </c>
      <c r="C2039">
        <v>17268.817858379891</v>
      </c>
      <c r="D2039">
        <v>15000</v>
      </c>
      <c r="E2039">
        <v>2000</v>
      </c>
      <c r="F2039">
        <v>54300</v>
      </c>
      <c r="G2039">
        <v>86</v>
      </c>
      <c r="H2039">
        <v>882</v>
      </c>
    </row>
    <row r="2040" spans="1:9">
      <c r="A2040" t="s">
        <v>209</v>
      </c>
      <c r="B2040" t="s">
        <v>212</v>
      </c>
      <c r="C2040">
        <v>21083.987358762639</v>
      </c>
      <c r="D2040">
        <v>18000</v>
      </c>
      <c r="E2040">
        <v>500</v>
      </c>
      <c r="F2040">
        <v>68100</v>
      </c>
      <c r="G2040">
        <v>78</v>
      </c>
      <c r="H2040">
        <v>882</v>
      </c>
    </row>
    <row r="2042" spans="1:9">
      <c r="A2042" t="s">
        <v>675</v>
      </c>
    </row>
    <row r="2043" spans="1:9">
      <c r="A2043" t="s">
        <v>189</v>
      </c>
      <c r="B2043" t="s">
        <v>190</v>
      </c>
      <c r="C2043" t="s">
        <v>214</v>
      </c>
      <c r="D2043" t="s">
        <v>191</v>
      </c>
      <c r="E2043" t="s">
        <v>192</v>
      </c>
      <c r="F2043" t="s">
        <v>193</v>
      </c>
      <c r="G2043" t="s">
        <v>194</v>
      </c>
      <c r="H2043" t="s">
        <v>195</v>
      </c>
      <c r="I2043" t="s">
        <v>196</v>
      </c>
    </row>
    <row r="2044" spans="1:9">
      <c r="A2044" t="s">
        <v>197</v>
      </c>
      <c r="B2044" t="s">
        <v>198</v>
      </c>
      <c r="C2044" t="s">
        <v>198</v>
      </c>
      <c r="D2044">
        <v>22685.35786089722</v>
      </c>
      <c r="E2044">
        <v>17300</v>
      </c>
      <c r="F2044">
        <v>500</v>
      </c>
      <c r="G2044">
        <v>340000</v>
      </c>
      <c r="H2044">
        <v>882</v>
      </c>
      <c r="I2044">
        <v>882</v>
      </c>
    </row>
    <row r="2045" spans="1:9" s="26" customFormat="1">
      <c r="A2045" s="26" t="s">
        <v>199</v>
      </c>
      <c r="B2045" s="26" t="s">
        <v>200</v>
      </c>
      <c r="C2045" s="26" t="s">
        <v>236</v>
      </c>
      <c r="D2045" s="26">
        <v>12374.22676813961</v>
      </c>
      <c r="E2045" s="26">
        <v>10900</v>
      </c>
      <c r="F2045" s="26">
        <v>1500</v>
      </c>
      <c r="G2045" s="26">
        <v>24400</v>
      </c>
      <c r="H2045" s="26">
        <v>24</v>
      </c>
      <c r="I2045" s="26">
        <v>882</v>
      </c>
    </row>
    <row r="2046" spans="1:9">
      <c r="A2046" t="s">
        <v>199</v>
      </c>
      <c r="B2046" t="s">
        <v>200</v>
      </c>
      <c r="C2046" t="s">
        <v>235</v>
      </c>
      <c r="D2046">
        <v>21482.558252066719</v>
      </c>
      <c r="E2046">
        <v>15100</v>
      </c>
      <c r="F2046">
        <v>2000</v>
      </c>
      <c r="G2046">
        <v>60000</v>
      </c>
      <c r="H2046">
        <v>45</v>
      </c>
      <c r="I2046">
        <v>882</v>
      </c>
    </row>
    <row r="2047" spans="1:9">
      <c r="A2047" t="s">
        <v>199</v>
      </c>
      <c r="B2047" t="s">
        <v>201</v>
      </c>
      <c r="C2047" t="s">
        <v>235</v>
      </c>
      <c r="D2047">
        <v>27896.917647058821</v>
      </c>
      <c r="E2047">
        <v>23000</v>
      </c>
      <c r="F2047">
        <v>2000</v>
      </c>
      <c r="G2047">
        <v>100000</v>
      </c>
      <c r="H2047">
        <v>85</v>
      </c>
      <c r="I2047">
        <v>882</v>
      </c>
    </row>
    <row r="2048" spans="1:9">
      <c r="A2048" t="s">
        <v>199</v>
      </c>
      <c r="B2048" t="s">
        <v>202</v>
      </c>
      <c r="C2048" t="s">
        <v>236</v>
      </c>
      <c r="D2048">
        <v>30902.452917073198</v>
      </c>
      <c r="E2048">
        <v>28000</v>
      </c>
      <c r="F2048">
        <v>2980</v>
      </c>
      <c r="G2048">
        <v>98860</v>
      </c>
      <c r="H2048">
        <v>34</v>
      </c>
      <c r="I2048">
        <v>882</v>
      </c>
    </row>
    <row r="2049" spans="1:9">
      <c r="A2049" t="s">
        <v>199</v>
      </c>
      <c r="B2049" t="s">
        <v>202</v>
      </c>
      <c r="C2049" t="s">
        <v>235</v>
      </c>
      <c r="D2049">
        <v>29722.912468293958</v>
      </c>
      <c r="E2049">
        <v>24000</v>
      </c>
      <c r="F2049">
        <v>2000</v>
      </c>
      <c r="G2049">
        <v>90000</v>
      </c>
      <c r="H2049">
        <v>56</v>
      </c>
      <c r="I2049">
        <v>882</v>
      </c>
    </row>
    <row r="2050" spans="1:9" s="26" customFormat="1">
      <c r="A2050" s="26" t="s">
        <v>199</v>
      </c>
      <c r="B2050" s="26" t="s">
        <v>203</v>
      </c>
      <c r="C2050" s="26" t="s">
        <v>236</v>
      </c>
      <c r="D2050" s="26">
        <v>14402.82232876347</v>
      </c>
      <c r="E2050" s="26">
        <v>12000</v>
      </c>
      <c r="F2050" s="26">
        <v>2000</v>
      </c>
      <c r="G2050" s="26">
        <v>84000</v>
      </c>
      <c r="H2050" s="26">
        <v>29</v>
      </c>
      <c r="I2050" s="26">
        <v>882</v>
      </c>
    </row>
    <row r="2051" spans="1:9">
      <c r="A2051" t="s">
        <v>199</v>
      </c>
      <c r="B2051" t="s">
        <v>203</v>
      </c>
      <c r="C2051" t="s">
        <v>235</v>
      </c>
      <c r="D2051">
        <v>14247.77952479339</v>
      </c>
      <c r="E2051">
        <v>13200</v>
      </c>
      <c r="F2051">
        <v>1600</v>
      </c>
      <c r="G2051">
        <v>30700</v>
      </c>
      <c r="H2051">
        <v>41</v>
      </c>
      <c r="I2051">
        <v>882</v>
      </c>
    </row>
    <row r="2052" spans="1:9">
      <c r="A2052" t="s">
        <v>204</v>
      </c>
      <c r="B2052" t="s">
        <v>205</v>
      </c>
      <c r="C2052" t="s">
        <v>236</v>
      </c>
      <c r="D2052">
        <v>22381.176359279019</v>
      </c>
      <c r="E2052">
        <v>16860</v>
      </c>
      <c r="F2052">
        <v>2000</v>
      </c>
      <c r="G2052">
        <v>56000</v>
      </c>
      <c r="H2052">
        <v>31</v>
      </c>
      <c r="I2052">
        <v>882</v>
      </c>
    </row>
    <row r="2053" spans="1:9">
      <c r="A2053" t="s">
        <v>204</v>
      </c>
      <c r="B2053" t="s">
        <v>205</v>
      </c>
      <c r="C2053" t="s">
        <v>235</v>
      </c>
      <c r="D2053">
        <v>21922.601465967269</v>
      </c>
      <c r="E2053">
        <v>22000</v>
      </c>
      <c r="F2053">
        <v>850</v>
      </c>
      <c r="G2053">
        <v>55000</v>
      </c>
      <c r="H2053">
        <v>55</v>
      </c>
      <c r="I2053">
        <v>882</v>
      </c>
    </row>
    <row r="2054" spans="1:9" s="26" customFormat="1">
      <c r="A2054" s="26" t="s">
        <v>204</v>
      </c>
      <c r="B2054" s="26" t="s">
        <v>206</v>
      </c>
      <c r="C2054" s="26" t="s">
        <v>236</v>
      </c>
      <c r="D2054" s="26">
        <v>21860.138895055541</v>
      </c>
      <c r="E2054" s="26">
        <v>10000</v>
      </c>
      <c r="F2054" s="26">
        <v>2980</v>
      </c>
      <c r="G2054" s="26">
        <v>100000</v>
      </c>
      <c r="H2054" s="26">
        <v>19</v>
      </c>
      <c r="I2054" s="26">
        <v>882</v>
      </c>
    </row>
    <row r="2055" spans="1:9">
      <c r="A2055" t="s">
        <v>204</v>
      </c>
      <c r="B2055" t="s">
        <v>206</v>
      </c>
      <c r="C2055" t="s">
        <v>235</v>
      </c>
      <c r="D2055">
        <v>19468.224067666171</v>
      </c>
      <c r="E2055">
        <v>15800</v>
      </c>
      <c r="F2055">
        <v>4980</v>
      </c>
      <c r="G2055">
        <v>101000</v>
      </c>
      <c r="H2055">
        <v>40</v>
      </c>
      <c r="I2055">
        <v>882</v>
      </c>
    </row>
    <row r="2056" spans="1:9">
      <c r="A2056" t="s">
        <v>204</v>
      </c>
      <c r="B2056" t="s">
        <v>207</v>
      </c>
      <c r="C2056" t="s">
        <v>236</v>
      </c>
      <c r="D2056">
        <v>11030.656553438321</v>
      </c>
      <c r="E2056">
        <v>10000</v>
      </c>
      <c r="F2056">
        <v>2100</v>
      </c>
      <c r="G2056">
        <v>45600</v>
      </c>
      <c r="H2056">
        <v>74</v>
      </c>
      <c r="I2056">
        <v>882</v>
      </c>
    </row>
    <row r="2057" spans="1:9">
      <c r="A2057" t="s">
        <v>204</v>
      </c>
      <c r="B2057" t="s">
        <v>207</v>
      </c>
      <c r="C2057" t="s">
        <v>235</v>
      </c>
      <c r="D2057">
        <v>21267.356986143401</v>
      </c>
      <c r="E2057">
        <v>20000</v>
      </c>
      <c r="F2057">
        <v>3000</v>
      </c>
      <c r="G2057">
        <v>70000</v>
      </c>
      <c r="H2057">
        <v>43</v>
      </c>
      <c r="I2057">
        <v>882</v>
      </c>
    </row>
    <row r="2058" spans="1:9" s="26" customFormat="1">
      <c r="A2058" s="26" t="s">
        <v>204</v>
      </c>
      <c r="B2058" s="26" t="s">
        <v>208</v>
      </c>
      <c r="C2058" s="26" t="s">
        <v>236</v>
      </c>
      <c r="D2058" s="26">
        <v>48275.454545454537</v>
      </c>
      <c r="E2058" s="26">
        <v>17300</v>
      </c>
      <c r="F2058" s="26">
        <v>4000</v>
      </c>
      <c r="G2058" s="26">
        <v>340000</v>
      </c>
      <c r="H2058" s="26">
        <v>11</v>
      </c>
      <c r="I2058" s="26">
        <v>882</v>
      </c>
    </row>
    <row r="2059" spans="1:9">
      <c r="A2059" t="s">
        <v>204</v>
      </c>
      <c r="B2059" t="s">
        <v>208</v>
      </c>
      <c r="C2059" t="s">
        <v>235</v>
      </c>
      <c r="D2059">
        <v>17195.03448275862</v>
      </c>
      <c r="E2059">
        <v>13897</v>
      </c>
      <c r="F2059">
        <v>860</v>
      </c>
      <c r="G2059">
        <v>77100</v>
      </c>
      <c r="H2059">
        <v>58</v>
      </c>
      <c r="I2059">
        <v>882</v>
      </c>
    </row>
    <row r="2060" spans="1:9">
      <c r="A2060" t="s">
        <v>209</v>
      </c>
      <c r="B2060" t="s">
        <v>210</v>
      </c>
      <c r="C2060" t="s">
        <v>236</v>
      </c>
      <c r="D2060">
        <v>12909.84105131465</v>
      </c>
      <c r="E2060">
        <v>11000</v>
      </c>
      <c r="F2060">
        <v>2000</v>
      </c>
      <c r="G2060">
        <v>51500</v>
      </c>
      <c r="H2060">
        <v>34</v>
      </c>
      <c r="I2060">
        <v>882</v>
      </c>
    </row>
    <row r="2061" spans="1:9" s="26" customFormat="1">
      <c r="A2061" s="26" t="s">
        <v>209</v>
      </c>
      <c r="B2061" s="26" t="s">
        <v>210</v>
      </c>
      <c r="C2061" s="26" t="s">
        <v>235</v>
      </c>
      <c r="D2061" s="26">
        <v>15565.627152910971</v>
      </c>
      <c r="E2061" s="26">
        <v>14100</v>
      </c>
      <c r="F2061" s="26">
        <v>3600</v>
      </c>
      <c r="G2061" s="26">
        <v>35900</v>
      </c>
      <c r="H2061" s="26">
        <v>24</v>
      </c>
      <c r="I2061" s="26">
        <v>882</v>
      </c>
    </row>
    <row r="2062" spans="1:9">
      <c r="A2062" t="s">
        <v>209</v>
      </c>
      <c r="B2062" t="s">
        <v>211</v>
      </c>
      <c r="C2062" t="s">
        <v>236</v>
      </c>
      <c r="D2062">
        <v>15498.946266630839</v>
      </c>
      <c r="E2062">
        <v>13000</v>
      </c>
      <c r="F2062">
        <v>2000</v>
      </c>
      <c r="G2062">
        <v>54300</v>
      </c>
      <c r="H2062">
        <v>36</v>
      </c>
      <c r="I2062">
        <v>882</v>
      </c>
    </row>
    <row r="2063" spans="1:9">
      <c r="A2063" t="s">
        <v>209</v>
      </c>
      <c r="B2063" t="s">
        <v>211</v>
      </c>
      <c r="C2063" t="s">
        <v>235</v>
      </c>
      <c r="D2063">
        <v>18560.187028251072</v>
      </c>
      <c r="E2063">
        <v>18000</v>
      </c>
      <c r="F2063">
        <v>3000</v>
      </c>
      <c r="G2063">
        <v>54300</v>
      </c>
      <c r="H2063">
        <v>48</v>
      </c>
      <c r="I2063">
        <v>882</v>
      </c>
    </row>
    <row r="2064" spans="1:9" s="26" customFormat="1">
      <c r="A2064" s="26" t="s">
        <v>209</v>
      </c>
      <c r="B2064" s="26" t="s">
        <v>212</v>
      </c>
      <c r="C2064" s="26" t="s">
        <v>236</v>
      </c>
      <c r="D2064" s="26">
        <v>22357.696032190361</v>
      </c>
      <c r="E2064" s="26">
        <v>17000</v>
      </c>
      <c r="F2064" s="26">
        <v>2800</v>
      </c>
      <c r="G2064" s="26">
        <v>68100</v>
      </c>
      <c r="H2064" s="26">
        <v>18</v>
      </c>
      <c r="I2064" s="26">
        <v>882</v>
      </c>
    </row>
    <row r="2065" spans="1:9">
      <c r="A2065" t="s">
        <v>209</v>
      </c>
      <c r="B2065" t="s">
        <v>212</v>
      </c>
      <c r="C2065" t="s">
        <v>235</v>
      </c>
      <c r="D2065">
        <v>20854.442797363739</v>
      </c>
      <c r="E2065">
        <v>18000</v>
      </c>
      <c r="F2065">
        <v>500</v>
      </c>
      <c r="G2065">
        <v>66000</v>
      </c>
      <c r="H2065">
        <v>60</v>
      </c>
      <c r="I2065">
        <v>882</v>
      </c>
    </row>
    <row r="2067" spans="1:9">
      <c r="A2067" t="s">
        <v>676</v>
      </c>
    </row>
    <row r="2068" spans="1:9">
      <c r="A2068" t="s">
        <v>189</v>
      </c>
      <c r="B2068" t="s">
        <v>195</v>
      </c>
      <c r="C2068" t="s">
        <v>190</v>
      </c>
      <c r="D2068" t="s">
        <v>196</v>
      </c>
      <c r="E2068" t="s">
        <v>228</v>
      </c>
      <c r="F2068" t="s">
        <v>215</v>
      </c>
      <c r="G2068" t="s">
        <v>216</v>
      </c>
    </row>
    <row r="2069" spans="1:9">
      <c r="A2069" t="s">
        <v>197</v>
      </c>
      <c r="B2069">
        <v>968</v>
      </c>
      <c r="C2069" t="s">
        <v>198</v>
      </c>
      <c r="D2069">
        <v>968</v>
      </c>
      <c r="E2069" s="1">
        <v>2.8E-3</v>
      </c>
      <c r="F2069" s="1">
        <v>0.85070000000000001</v>
      </c>
      <c r="G2069" s="1">
        <v>0.14649999999999999</v>
      </c>
    </row>
    <row r="2070" spans="1:9">
      <c r="A2070" t="s">
        <v>204</v>
      </c>
      <c r="B2070">
        <v>91</v>
      </c>
      <c r="C2070" t="s">
        <v>205</v>
      </c>
      <c r="D2070">
        <v>968</v>
      </c>
      <c r="F2070" s="1">
        <v>0.90500000000000003</v>
      </c>
      <c r="G2070" s="1">
        <v>9.5000000000000001E-2</v>
      </c>
    </row>
    <row r="2071" spans="1:9">
      <c r="A2071" t="s">
        <v>204</v>
      </c>
      <c r="B2071">
        <v>72</v>
      </c>
      <c r="C2071" t="s">
        <v>206</v>
      </c>
      <c r="D2071">
        <v>968</v>
      </c>
      <c r="F2071" s="1">
        <v>0.86509999999999998</v>
      </c>
      <c r="G2071" s="1">
        <v>0.13489999999999999</v>
      </c>
    </row>
    <row r="2072" spans="1:9">
      <c r="A2072" t="s">
        <v>204</v>
      </c>
      <c r="B2072">
        <v>131</v>
      </c>
      <c r="C2072" t="s">
        <v>207</v>
      </c>
      <c r="D2072">
        <v>968</v>
      </c>
      <c r="F2072" s="1">
        <v>0.94299999999999995</v>
      </c>
      <c r="G2072" s="1">
        <v>5.7000000000000002E-2</v>
      </c>
    </row>
    <row r="2073" spans="1:9">
      <c r="A2073" t="s">
        <v>204</v>
      </c>
      <c r="B2073">
        <v>74</v>
      </c>
      <c r="C2073" t="s">
        <v>208</v>
      </c>
      <c r="D2073">
        <v>968</v>
      </c>
      <c r="F2073" s="1">
        <v>0.78380000000000005</v>
      </c>
      <c r="G2073" s="1">
        <v>0.2162</v>
      </c>
    </row>
    <row r="2074" spans="1:9">
      <c r="A2074" t="s">
        <v>199</v>
      </c>
      <c r="B2074">
        <v>73</v>
      </c>
      <c r="C2074" t="s">
        <v>200</v>
      </c>
      <c r="D2074">
        <v>968</v>
      </c>
      <c r="F2074" s="1">
        <v>0.96889999999999998</v>
      </c>
      <c r="G2074" s="1">
        <v>3.1099999999999999E-2</v>
      </c>
    </row>
    <row r="2075" spans="1:9">
      <c r="A2075" t="s">
        <v>199</v>
      </c>
      <c r="B2075">
        <v>96</v>
      </c>
      <c r="C2075" t="s">
        <v>201</v>
      </c>
      <c r="D2075">
        <v>968</v>
      </c>
      <c r="F2075" s="1">
        <v>0.82289999999999996</v>
      </c>
      <c r="G2075" s="1">
        <v>0.17710000000000001</v>
      </c>
    </row>
    <row r="2076" spans="1:9">
      <c r="A2076" t="s">
        <v>199</v>
      </c>
      <c r="B2076">
        <v>98</v>
      </c>
      <c r="C2076" t="s">
        <v>202</v>
      </c>
      <c r="D2076">
        <v>968</v>
      </c>
      <c r="E2076" s="1">
        <v>8.9999999999999993E-3</v>
      </c>
      <c r="F2076" s="1">
        <v>0.84609999999999996</v>
      </c>
      <c r="G2076" s="1">
        <v>0.1449</v>
      </c>
    </row>
    <row r="2077" spans="1:9">
      <c r="A2077" t="s">
        <v>199</v>
      </c>
      <c r="B2077">
        <v>77</v>
      </c>
      <c r="C2077" t="s">
        <v>203</v>
      </c>
      <c r="D2077">
        <v>968</v>
      </c>
      <c r="F2077" s="1">
        <v>0.73970000000000002</v>
      </c>
      <c r="G2077" s="1">
        <v>0.26029999999999998</v>
      </c>
    </row>
    <row r="2078" spans="1:9">
      <c r="A2078" t="s">
        <v>209</v>
      </c>
      <c r="B2078">
        <v>74</v>
      </c>
      <c r="C2078" t="s">
        <v>210</v>
      </c>
      <c r="D2078">
        <v>968</v>
      </c>
      <c r="F2078" s="1">
        <v>0.81689999999999996</v>
      </c>
      <c r="G2078" s="1">
        <v>0.18310000000000001</v>
      </c>
    </row>
    <row r="2079" spans="1:9">
      <c r="A2079" t="s">
        <v>209</v>
      </c>
      <c r="B2079">
        <v>97</v>
      </c>
      <c r="C2079" t="s">
        <v>211</v>
      </c>
      <c r="D2079">
        <v>968</v>
      </c>
      <c r="F2079" s="1">
        <v>0.72499999999999998</v>
      </c>
      <c r="G2079" s="1">
        <v>0.27500000000000002</v>
      </c>
    </row>
    <row r="2080" spans="1:9">
      <c r="A2080" t="s">
        <v>209</v>
      </c>
      <c r="B2080">
        <v>85</v>
      </c>
      <c r="C2080" t="s">
        <v>212</v>
      </c>
      <c r="D2080">
        <v>968</v>
      </c>
      <c r="E2080" s="1">
        <v>1.4E-2</v>
      </c>
      <c r="F2080" s="1">
        <v>0.77439999999999998</v>
      </c>
      <c r="G2080" s="1">
        <v>0.21160000000000001</v>
      </c>
    </row>
    <row r="2082" spans="1:8">
      <c r="A2082" t="s">
        <v>677</v>
      </c>
    </row>
    <row r="2083" spans="1:8">
      <c r="A2083" t="s">
        <v>214</v>
      </c>
      <c r="B2083" t="s">
        <v>189</v>
      </c>
      <c r="C2083" t="s">
        <v>195</v>
      </c>
      <c r="D2083" t="s">
        <v>190</v>
      </c>
      <c r="E2083" t="s">
        <v>196</v>
      </c>
      <c r="F2083" t="s">
        <v>228</v>
      </c>
      <c r="G2083" t="s">
        <v>215</v>
      </c>
      <c r="H2083" t="s">
        <v>216</v>
      </c>
    </row>
    <row r="2084" spans="1:8">
      <c r="A2084" t="s">
        <v>198</v>
      </c>
      <c r="B2084" t="s">
        <v>197</v>
      </c>
      <c r="C2084">
        <v>968</v>
      </c>
      <c r="D2084" t="s">
        <v>198</v>
      </c>
      <c r="E2084">
        <v>968</v>
      </c>
      <c r="F2084" s="1">
        <v>2.8E-3</v>
      </c>
      <c r="G2084" s="1">
        <v>0.85070000000000001</v>
      </c>
      <c r="H2084" s="1">
        <v>0.14649999999999999</v>
      </c>
    </row>
    <row r="2085" spans="1:8">
      <c r="A2085" t="s">
        <v>235</v>
      </c>
      <c r="B2085" t="s">
        <v>204</v>
      </c>
      <c r="C2085">
        <v>63</v>
      </c>
      <c r="D2085" t="s">
        <v>208</v>
      </c>
      <c r="E2085">
        <v>968</v>
      </c>
      <c r="G2085" s="1">
        <v>0.76190000000000002</v>
      </c>
      <c r="H2085" s="1">
        <v>0.23810000000000001</v>
      </c>
    </row>
    <row r="2086" spans="1:8">
      <c r="A2086" t="s">
        <v>236</v>
      </c>
      <c r="B2086" t="s">
        <v>204</v>
      </c>
      <c r="C2086">
        <v>32</v>
      </c>
      <c r="D2086" t="s">
        <v>205</v>
      </c>
      <c r="E2086">
        <v>968</v>
      </c>
      <c r="G2086" s="1">
        <v>0.92090000000000005</v>
      </c>
      <c r="H2086" s="1">
        <v>7.9100000000000004E-2</v>
      </c>
    </row>
    <row r="2087" spans="1:8">
      <c r="A2087" t="s">
        <v>235</v>
      </c>
      <c r="B2087" t="s">
        <v>204</v>
      </c>
      <c r="C2087">
        <v>58</v>
      </c>
      <c r="D2087" t="s">
        <v>205</v>
      </c>
      <c r="E2087">
        <v>968</v>
      </c>
      <c r="G2087" s="1">
        <v>0.90129999999999999</v>
      </c>
      <c r="H2087" s="1">
        <v>9.8699999999999996E-2</v>
      </c>
    </row>
    <row r="2088" spans="1:8" s="26" customFormat="1">
      <c r="A2088" s="26" t="s">
        <v>236</v>
      </c>
      <c r="B2088" s="26" t="s">
        <v>204</v>
      </c>
      <c r="C2088" s="26">
        <v>21</v>
      </c>
      <c r="D2088" s="26" t="s">
        <v>206</v>
      </c>
      <c r="E2088" s="26">
        <v>968</v>
      </c>
      <c r="G2088" s="27">
        <v>0.81189999999999996</v>
      </c>
      <c r="H2088" s="27">
        <v>0.18809999999999999</v>
      </c>
    </row>
    <row r="2089" spans="1:8">
      <c r="A2089" t="s">
        <v>235</v>
      </c>
      <c r="B2089" t="s">
        <v>204</v>
      </c>
      <c r="C2089">
        <v>47</v>
      </c>
      <c r="D2089" t="s">
        <v>206</v>
      </c>
      <c r="E2089">
        <v>968</v>
      </c>
      <c r="G2089" s="1">
        <v>0.87629999999999997</v>
      </c>
      <c r="H2089" s="1">
        <v>0.1237</v>
      </c>
    </row>
    <row r="2090" spans="1:8">
      <c r="A2090" t="s">
        <v>236</v>
      </c>
      <c r="B2090" t="s">
        <v>204</v>
      </c>
      <c r="C2090">
        <v>81</v>
      </c>
      <c r="D2090" t="s">
        <v>207</v>
      </c>
      <c r="E2090">
        <v>968</v>
      </c>
      <c r="G2090" s="1">
        <v>0.8921</v>
      </c>
      <c r="H2090" s="1">
        <v>0.1079</v>
      </c>
    </row>
    <row r="2091" spans="1:8">
      <c r="A2091" t="s">
        <v>235</v>
      </c>
      <c r="B2091" t="s">
        <v>204</v>
      </c>
      <c r="C2091">
        <v>45</v>
      </c>
      <c r="D2091" t="s">
        <v>207</v>
      </c>
      <c r="E2091">
        <v>968</v>
      </c>
      <c r="G2091" s="1">
        <v>0.97719999999999996</v>
      </c>
      <c r="H2091" s="1">
        <v>2.2800000000000001E-2</v>
      </c>
    </row>
    <row r="2092" spans="1:8" s="26" customFormat="1">
      <c r="A2092" s="26" t="s">
        <v>236</v>
      </c>
      <c r="B2092" s="26" t="s">
        <v>204</v>
      </c>
      <c r="C2092" s="26">
        <v>11</v>
      </c>
      <c r="D2092" s="26" t="s">
        <v>208</v>
      </c>
      <c r="E2092" s="26">
        <v>968</v>
      </c>
      <c r="G2092" s="27">
        <v>0.90910000000000002</v>
      </c>
      <c r="H2092" s="27">
        <v>9.0899999999999995E-2</v>
      </c>
    </row>
    <row r="2093" spans="1:8">
      <c r="A2093" t="s">
        <v>235</v>
      </c>
      <c r="B2093" t="s">
        <v>199</v>
      </c>
      <c r="C2093">
        <v>44</v>
      </c>
      <c r="D2093" t="s">
        <v>203</v>
      </c>
      <c r="E2093">
        <v>968</v>
      </c>
      <c r="G2093" s="1">
        <v>0.62990000000000002</v>
      </c>
      <c r="H2093" s="1">
        <v>0.37009999999999998</v>
      </c>
    </row>
    <row r="2094" spans="1:8">
      <c r="A2094" t="s">
        <v>236</v>
      </c>
      <c r="B2094" t="s">
        <v>199</v>
      </c>
      <c r="C2094">
        <v>32</v>
      </c>
      <c r="D2094" t="s">
        <v>203</v>
      </c>
      <c r="E2094">
        <v>968</v>
      </c>
      <c r="G2094" s="1">
        <v>0.91879999999999995</v>
      </c>
      <c r="H2094" s="1">
        <v>8.1199999999999994E-2</v>
      </c>
    </row>
    <row r="2095" spans="1:8">
      <c r="A2095" t="s">
        <v>235</v>
      </c>
      <c r="B2095" t="s">
        <v>199</v>
      </c>
      <c r="C2095">
        <v>60</v>
      </c>
      <c r="D2095" t="s">
        <v>202</v>
      </c>
      <c r="E2095">
        <v>968</v>
      </c>
      <c r="F2095" s="1">
        <v>1.5800000000000002E-2</v>
      </c>
      <c r="G2095" s="1">
        <v>0.84940000000000004</v>
      </c>
      <c r="H2095" s="1">
        <v>0.1348</v>
      </c>
    </row>
    <row r="2096" spans="1:8" s="26" customFormat="1">
      <c r="A2096" s="26" t="s">
        <v>236</v>
      </c>
      <c r="B2096" s="26" t="s">
        <v>199</v>
      </c>
      <c r="C2096" s="26">
        <v>24</v>
      </c>
      <c r="D2096" s="26" t="s">
        <v>200</v>
      </c>
      <c r="E2096" s="26">
        <v>968</v>
      </c>
      <c r="G2096" s="27">
        <v>0.9607</v>
      </c>
      <c r="H2096" s="27">
        <v>3.9300000000000002E-2</v>
      </c>
    </row>
    <row r="2097" spans="1:17">
      <c r="A2097" t="s">
        <v>235</v>
      </c>
      <c r="B2097" t="s">
        <v>199</v>
      </c>
      <c r="C2097">
        <v>46</v>
      </c>
      <c r="D2097" t="s">
        <v>200</v>
      </c>
      <c r="E2097">
        <v>968</v>
      </c>
      <c r="G2097" s="1">
        <v>0.97599999999999998</v>
      </c>
      <c r="H2097" s="1">
        <v>2.4E-2</v>
      </c>
    </row>
    <row r="2098" spans="1:17">
      <c r="A2098" t="s">
        <v>236</v>
      </c>
      <c r="B2098" t="s">
        <v>199</v>
      </c>
      <c r="C2098">
        <v>37</v>
      </c>
      <c r="D2098" t="s">
        <v>202</v>
      </c>
      <c r="E2098">
        <v>968</v>
      </c>
      <c r="G2098" s="1">
        <v>0.83640000000000003</v>
      </c>
      <c r="H2098" s="1">
        <v>0.1636</v>
      </c>
    </row>
    <row r="2099" spans="1:17">
      <c r="A2099" t="s">
        <v>235</v>
      </c>
      <c r="B2099" t="s">
        <v>199</v>
      </c>
      <c r="C2099">
        <v>96</v>
      </c>
      <c r="D2099" t="s">
        <v>201</v>
      </c>
      <c r="E2099">
        <v>968</v>
      </c>
      <c r="G2099" s="1">
        <v>0.82289999999999996</v>
      </c>
      <c r="H2099" s="1">
        <v>0.17710000000000001</v>
      </c>
    </row>
    <row r="2100" spans="1:17">
      <c r="A2100" t="s">
        <v>236</v>
      </c>
      <c r="B2100" t="s">
        <v>209</v>
      </c>
      <c r="C2100">
        <v>39</v>
      </c>
      <c r="D2100" t="s">
        <v>211</v>
      </c>
      <c r="E2100">
        <v>968</v>
      </c>
      <c r="G2100" s="1">
        <v>0.74399999999999999</v>
      </c>
      <c r="H2100" s="1">
        <v>0.25600000000000001</v>
      </c>
    </row>
    <row r="2101" spans="1:17">
      <c r="A2101" t="s">
        <v>235</v>
      </c>
      <c r="B2101" t="s">
        <v>209</v>
      </c>
      <c r="C2101">
        <v>56</v>
      </c>
      <c r="D2101" t="s">
        <v>211</v>
      </c>
      <c r="E2101">
        <v>968</v>
      </c>
      <c r="G2101" s="1">
        <v>0.72499999999999998</v>
      </c>
      <c r="H2101" s="1">
        <v>0.27500000000000002</v>
      </c>
    </row>
    <row r="2102" spans="1:17">
      <c r="A2102" t="s">
        <v>235</v>
      </c>
      <c r="B2102" t="s">
        <v>209</v>
      </c>
      <c r="C2102">
        <v>67</v>
      </c>
      <c r="D2102" t="s">
        <v>212</v>
      </c>
      <c r="E2102">
        <v>968</v>
      </c>
      <c r="F2102" s="1">
        <v>1.6199999999999999E-2</v>
      </c>
      <c r="G2102" s="1">
        <v>0.75960000000000005</v>
      </c>
      <c r="H2102" s="1">
        <v>0.22420000000000001</v>
      </c>
    </row>
    <row r="2103" spans="1:17" s="26" customFormat="1">
      <c r="A2103" s="26" t="s">
        <v>236</v>
      </c>
      <c r="B2103" s="26" t="s">
        <v>209</v>
      </c>
      <c r="C2103" s="26">
        <v>18</v>
      </c>
      <c r="D2103" s="26" t="s">
        <v>212</v>
      </c>
      <c r="E2103" s="26">
        <v>968</v>
      </c>
      <c r="G2103" s="27">
        <v>0.86709999999999998</v>
      </c>
      <c r="H2103" s="27">
        <v>0.13289999999999999</v>
      </c>
    </row>
    <row r="2104" spans="1:17">
      <c r="A2104" t="s">
        <v>236</v>
      </c>
      <c r="B2104" t="s">
        <v>209</v>
      </c>
      <c r="C2104">
        <v>38</v>
      </c>
      <c r="D2104" t="s">
        <v>210</v>
      </c>
      <c r="E2104">
        <v>968</v>
      </c>
      <c r="G2104" s="1">
        <v>0.81220000000000003</v>
      </c>
      <c r="H2104" s="1">
        <v>0.18779999999999999</v>
      </c>
    </row>
    <row r="2105" spans="1:17">
      <c r="A2105" t="s">
        <v>235</v>
      </c>
      <c r="B2105" t="s">
        <v>209</v>
      </c>
      <c r="C2105">
        <v>32</v>
      </c>
      <c r="D2105" t="s">
        <v>210</v>
      </c>
      <c r="E2105">
        <v>968</v>
      </c>
      <c r="G2105" s="1">
        <v>0.80610000000000004</v>
      </c>
      <c r="H2105" s="1">
        <v>0.19389999999999999</v>
      </c>
    </row>
    <row r="2107" spans="1:17">
      <c r="A2107" t="s">
        <v>678</v>
      </c>
    </row>
    <row r="2108" spans="1:17">
      <c r="A2108" t="s">
        <v>189</v>
      </c>
      <c r="B2108" t="s">
        <v>195</v>
      </c>
      <c r="C2108" t="s">
        <v>190</v>
      </c>
      <c r="D2108" t="s">
        <v>196</v>
      </c>
      <c r="E2108" t="s">
        <v>679</v>
      </c>
      <c r="F2108" t="s">
        <v>680</v>
      </c>
      <c r="G2108" t="s">
        <v>681</v>
      </c>
      <c r="H2108" t="s">
        <v>682</v>
      </c>
      <c r="I2108" t="s">
        <v>683</v>
      </c>
      <c r="J2108" t="s">
        <v>684</v>
      </c>
      <c r="K2108" t="s">
        <v>685</v>
      </c>
      <c r="L2108" t="s">
        <v>278</v>
      </c>
      <c r="M2108" t="s">
        <v>686</v>
      </c>
      <c r="N2108" t="s">
        <v>687</v>
      </c>
      <c r="O2108" t="s">
        <v>688</v>
      </c>
      <c r="P2108" t="s">
        <v>689</v>
      </c>
      <c r="Q2108" t="s">
        <v>690</v>
      </c>
    </row>
    <row r="2109" spans="1:17">
      <c r="A2109" t="s">
        <v>197</v>
      </c>
      <c r="B2109">
        <v>172</v>
      </c>
      <c r="C2109" t="s">
        <v>198</v>
      </c>
      <c r="D2109">
        <v>172</v>
      </c>
      <c r="E2109" s="1">
        <v>0.16700000000000001</v>
      </c>
      <c r="F2109" s="1">
        <v>0.3906</v>
      </c>
      <c r="G2109" s="1">
        <v>4.2299999999999997E-2</v>
      </c>
      <c r="H2109" s="1">
        <v>8.2600000000000007E-2</v>
      </c>
      <c r="I2109" s="1">
        <v>0.34060000000000001</v>
      </c>
      <c r="J2109" s="1">
        <v>2.0299999999999999E-2</v>
      </c>
      <c r="K2109" s="1">
        <v>1.03E-2</v>
      </c>
      <c r="L2109" s="1">
        <v>1.78E-2</v>
      </c>
      <c r="M2109" s="1">
        <v>3.9600000000000003E-2</v>
      </c>
      <c r="N2109" s="1">
        <v>4.1300000000000003E-2</v>
      </c>
      <c r="O2109" s="1">
        <v>1.54E-2</v>
      </c>
      <c r="P2109" s="1">
        <v>2.6100000000000002E-2</v>
      </c>
      <c r="Q2109" s="1">
        <v>0.13070000000000001</v>
      </c>
    </row>
    <row r="2110" spans="1:17" s="26" customFormat="1">
      <c r="A2110" s="26" t="s">
        <v>204</v>
      </c>
      <c r="B2110" s="26">
        <v>12</v>
      </c>
      <c r="C2110" s="26" t="s">
        <v>205</v>
      </c>
      <c r="D2110" s="26">
        <v>172</v>
      </c>
      <c r="E2110" s="27">
        <v>0.31659999999999999</v>
      </c>
      <c r="F2110" s="27">
        <v>0.34100000000000003</v>
      </c>
      <c r="H2110" s="27">
        <v>8.9099999999999999E-2</v>
      </c>
      <c r="I2110" s="27">
        <v>0.39479999999999998</v>
      </c>
      <c r="Q2110" s="27">
        <v>0.1416</v>
      </c>
    </row>
    <row r="2111" spans="1:17" s="26" customFormat="1">
      <c r="A2111" s="26" t="s">
        <v>204</v>
      </c>
      <c r="B2111" s="26">
        <v>10</v>
      </c>
      <c r="C2111" s="26" t="s">
        <v>206</v>
      </c>
      <c r="D2111" s="26">
        <v>172</v>
      </c>
      <c r="F2111" s="27">
        <v>0.3795</v>
      </c>
      <c r="G2111" s="27">
        <v>0.25890000000000002</v>
      </c>
      <c r="I2111" s="27">
        <v>0.53420000000000001</v>
      </c>
      <c r="O2111" s="27">
        <v>0.1205</v>
      </c>
      <c r="Q2111" s="27">
        <v>8.6300000000000002E-2</v>
      </c>
    </row>
    <row r="2112" spans="1:17" s="26" customFormat="1">
      <c r="A2112" s="26" t="s">
        <v>204</v>
      </c>
      <c r="B2112" s="26">
        <v>22</v>
      </c>
      <c r="C2112" s="26" t="s">
        <v>207</v>
      </c>
      <c r="D2112" s="26">
        <v>172</v>
      </c>
      <c r="E2112" s="27">
        <v>0.1137</v>
      </c>
      <c r="F2112" s="27">
        <v>0.35599999999999998</v>
      </c>
      <c r="H2112" s="27">
        <v>6.2899999999999998E-2</v>
      </c>
      <c r="I2112" s="27">
        <v>0.2278</v>
      </c>
      <c r="L2112" s="27">
        <v>8.6199999999999999E-2</v>
      </c>
      <c r="N2112" s="27">
        <v>0.12989999999999999</v>
      </c>
      <c r="P2112" s="27">
        <v>0.14180000000000001</v>
      </c>
      <c r="Q2112" s="27">
        <v>0.28029999999999999</v>
      </c>
    </row>
    <row r="2113" spans="1:18" s="26" customFormat="1">
      <c r="A2113" s="26" t="s">
        <v>204</v>
      </c>
      <c r="B2113" s="26">
        <v>16</v>
      </c>
      <c r="C2113" s="26" t="s">
        <v>208</v>
      </c>
      <c r="D2113" s="26">
        <v>172</v>
      </c>
      <c r="E2113" s="27">
        <v>6.25E-2</v>
      </c>
      <c r="F2113" s="27">
        <v>0.3125</v>
      </c>
      <c r="G2113" s="27">
        <v>6.25E-2</v>
      </c>
      <c r="H2113" s="27">
        <v>6.25E-2</v>
      </c>
      <c r="I2113" s="27">
        <v>0.4375</v>
      </c>
      <c r="L2113" s="27">
        <v>0.125</v>
      </c>
      <c r="Q2113" s="27">
        <v>0.125</v>
      </c>
    </row>
    <row r="2114" spans="1:18" s="26" customFormat="1">
      <c r="A2114" s="26" t="s">
        <v>199</v>
      </c>
      <c r="B2114" s="26">
        <v>11</v>
      </c>
      <c r="C2114" s="26" t="s">
        <v>200</v>
      </c>
      <c r="D2114" s="26">
        <v>172</v>
      </c>
      <c r="E2114" s="27">
        <v>0.15229999999999999</v>
      </c>
      <c r="F2114" s="27">
        <v>0.59399999999999997</v>
      </c>
      <c r="G2114" s="27">
        <v>5.0799999999999998E-2</v>
      </c>
      <c r="H2114" s="27">
        <v>5.0799999999999998E-2</v>
      </c>
      <c r="I2114" s="27">
        <v>0.74619999999999997</v>
      </c>
      <c r="P2114" s="27">
        <v>0.15229999999999999</v>
      </c>
    </row>
    <row r="2115" spans="1:18" s="26" customFormat="1">
      <c r="A2115" s="26" t="s">
        <v>199</v>
      </c>
      <c r="B2115" s="26">
        <v>17</v>
      </c>
      <c r="C2115" s="26" t="s">
        <v>201</v>
      </c>
      <c r="D2115" s="26">
        <v>172</v>
      </c>
      <c r="E2115" s="27">
        <v>0.17649999999999999</v>
      </c>
      <c r="F2115" s="27">
        <v>0.47060000000000002</v>
      </c>
      <c r="G2115" s="27">
        <v>5.8799999999999998E-2</v>
      </c>
      <c r="H2115" s="27">
        <v>0.1176</v>
      </c>
      <c r="I2115" s="27">
        <v>0.23530000000000001</v>
      </c>
      <c r="J2115" s="27">
        <v>5.8799999999999998E-2</v>
      </c>
      <c r="M2115" s="27">
        <v>5.8799999999999998E-2</v>
      </c>
      <c r="P2115" s="27">
        <v>5.8799999999999998E-2</v>
      </c>
      <c r="Q2115" s="27">
        <v>5.8799999999999998E-2</v>
      </c>
    </row>
    <row r="2116" spans="1:18" s="26" customFormat="1">
      <c r="A2116" s="26" t="s">
        <v>199</v>
      </c>
      <c r="B2116" s="26">
        <v>13</v>
      </c>
      <c r="C2116" s="26" t="s">
        <v>202</v>
      </c>
      <c r="D2116" s="26">
        <v>172</v>
      </c>
      <c r="E2116" s="27">
        <v>0.30280000000000001</v>
      </c>
      <c r="F2116" s="27">
        <v>0.3105</v>
      </c>
      <c r="H2116" s="27">
        <v>6.6400000000000001E-2</v>
      </c>
      <c r="I2116" s="27">
        <v>0.24779999999999999</v>
      </c>
      <c r="M2116" s="27">
        <v>0.1777</v>
      </c>
      <c r="N2116" s="27">
        <v>0.1429</v>
      </c>
      <c r="Q2116" s="27">
        <v>8.7800000000000003E-2</v>
      </c>
    </row>
    <row r="2117" spans="1:18" s="26" customFormat="1">
      <c r="A2117" s="26" t="s">
        <v>199</v>
      </c>
      <c r="B2117" s="26">
        <v>16</v>
      </c>
      <c r="C2117" s="26" t="s">
        <v>203</v>
      </c>
      <c r="D2117" s="26">
        <v>172</v>
      </c>
      <c r="E2117" s="27">
        <v>0.13170000000000001</v>
      </c>
      <c r="F2117" s="27">
        <v>0.438</v>
      </c>
      <c r="G2117" s="27">
        <v>0.13969999999999999</v>
      </c>
      <c r="H2117" s="27">
        <v>1.11E-2</v>
      </c>
      <c r="I2117" s="27">
        <v>0.37609999999999999</v>
      </c>
      <c r="J2117" s="27">
        <v>0.1032</v>
      </c>
      <c r="N2117" s="27">
        <v>3.6499999999999998E-2</v>
      </c>
      <c r="O2117" s="27">
        <v>0.1032</v>
      </c>
      <c r="P2117" s="27">
        <v>3.6499999999999998E-2</v>
      </c>
      <c r="Q2117" s="27">
        <v>0.27939999999999998</v>
      </c>
    </row>
    <row r="2118" spans="1:18" s="26" customFormat="1">
      <c r="A2118" s="26" t="s">
        <v>209</v>
      </c>
      <c r="B2118" s="26">
        <v>13</v>
      </c>
      <c r="C2118" s="26" t="s">
        <v>210</v>
      </c>
      <c r="D2118" s="26">
        <v>172</v>
      </c>
      <c r="E2118" s="27">
        <v>9.6500000000000002E-2</v>
      </c>
      <c r="F2118" s="27">
        <v>0.42630000000000001</v>
      </c>
      <c r="G2118" s="27">
        <v>4.5600000000000002E-2</v>
      </c>
      <c r="H2118" s="27">
        <v>4.5600000000000002E-2</v>
      </c>
      <c r="I2118" s="27">
        <v>0.43159999999999998</v>
      </c>
      <c r="L2118" s="27">
        <v>9.6500000000000002E-2</v>
      </c>
      <c r="O2118" s="27">
        <v>4.5600000000000002E-2</v>
      </c>
      <c r="P2118" s="27">
        <v>9.6500000000000002E-2</v>
      </c>
      <c r="Q2118" s="27">
        <v>9.6500000000000002E-2</v>
      </c>
    </row>
    <row r="2119" spans="1:18" s="26" customFormat="1">
      <c r="A2119" s="26" t="s">
        <v>209</v>
      </c>
      <c r="B2119" s="26">
        <v>25</v>
      </c>
      <c r="C2119" s="26" t="s">
        <v>211</v>
      </c>
      <c r="D2119" s="26">
        <v>172</v>
      </c>
      <c r="E2119" s="27">
        <v>0.1865</v>
      </c>
      <c r="F2119" s="27">
        <v>0.4204</v>
      </c>
      <c r="H2119" s="27">
        <v>0.1234</v>
      </c>
      <c r="I2119" s="27">
        <v>0.26989999999999997</v>
      </c>
      <c r="O2119" s="27">
        <v>7.9699999999999993E-2</v>
      </c>
      <c r="Q2119" s="27">
        <v>0.1825</v>
      </c>
    </row>
    <row r="2120" spans="1:18" s="26" customFormat="1">
      <c r="A2120" s="26" t="s">
        <v>209</v>
      </c>
      <c r="B2120" s="26">
        <v>17</v>
      </c>
      <c r="C2120" s="26" t="s">
        <v>212</v>
      </c>
      <c r="D2120" s="26">
        <v>172</v>
      </c>
      <c r="F2120" s="27">
        <v>0.40529999999999999</v>
      </c>
      <c r="G2120" s="27">
        <v>6.6000000000000003E-2</v>
      </c>
      <c r="H2120" s="27">
        <v>7.51E-2</v>
      </c>
      <c r="I2120" s="27">
        <v>0.51449999999999996</v>
      </c>
      <c r="K2120" s="27">
        <v>6.6000000000000003E-2</v>
      </c>
      <c r="N2120" s="27">
        <v>6.6000000000000003E-2</v>
      </c>
      <c r="Q2120" s="27">
        <v>0.1321</v>
      </c>
    </row>
    <row r="2122" spans="1:18">
      <c r="A2122" t="s">
        <v>691</v>
      </c>
    </row>
    <row r="2123" spans="1:18">
      <c r="A2123" t="s">
        <v>214</v>
      </c>
      <c r="B2123" t="s">
        <v>189</v>
      </c>
      <c r="C2123" t="s">
        <v>195</v>
      </c>
      <c r="D2123" t="s">
        <v>190</v>
      </c>
      <c r="E2123" t="s">
        <v>196</v>
      </c>
      <c r="F2123" t="s">
        <v>679</v>
      </c>
      <c r="G2123" t="s">
        <v>680</v>
      </c>
      <c r="H2123" t="s">
        <v>681</v>
      </c>
      <c r="I2123" t="s">
        <v>682</v>
      </c>
      <c r="J2123" t="s">
        <v>683</v>
      </c>
      <c r="K2123" t="s">
        <v>684</v>
      </c>
      <c r="L2123" t="s">
        <v>685</v>
      </c>
      <c r="M2123" t="s">
        <v>278</v>
      </c>
      <c r="N2123" t="s">
        <v>686</v>
      </c>
      <c r="O2123" t="s">
        <v>687</v>
      </c>
      <c r="P2123" t="s">
        <v>688</v>
      </c>
      <c r="Q2123" t="s">
        <v>689</v>
      </c>
      <c r="R2123" t="s">
        <v>690</v>
      </c>
    </row>
    <row r="2124" spans="1:18">
      <c r="A2124" t="s">
        <v>198</v>
      </c>
      <c r="B2124" t="s">
        <v>197</v>
      </c>
      <c r="C2124">
        <v>172</v>
      </c>
      <c r="D2124" t="s">
        <v>198</v>
      </c>
      <c r="E2124">
        <v>172</v>
      </c>
      <c r="F2124" s="1">
        <v>0.16700000000000001</v>
      </c>
      <c r="G2124" s="1">
        <v>0.3906</v>
      </c>
      <c r="H2124" s="1">
        <v>4.2299999999999997E-2</v>
      </c>
      <c r="I2124" s="1">
        <v>8.2600000000000007E-2</v>
      </c>
      <c r="J2124" s="1">
        <v>0.34060000000000001</v>
      </c>
      <c r="K2124" s="1">
        <v>2.0299999999999999E-2</v>
      </c>
      <c r="L2124" s="1">
        <v>1.03E-2</v>
      </c>
      <c r="M2124" s="1">
        <v>1.78E-2</v>
      </c>
      <c r="N2124" s="1">
        <v>3.9600000000000003E-2</v>
      </c>
      <c r="O2124" s="1">
        <v>4.1300000000000003E-2</v>
      </c>
      <c r="P2124" s="1">
        <v>1.54E-2</v>
      </c>
      <c r="Q2124" s="1">
        <v>2.6100000000000002E-2</v>
      </c>
      <c r="R2124" s="1">
        <v>0.13070000000000001</v>
      </c>
    </row>
    <row r="2125" spans="1:18" s="26" customFormat="1">
      <c r="A2125" s="26" t="s">
        <v>236</v>
      </c>
      <c r="B2125" s="26" t="s">
        <v>204</v>
      </c>
      <c r="C2125" s="26">
        <v>1</v>
      </c>
      <c r="D2125" s="26" t="s">
        <v>208</v>
      </c>
      <c r="E2125" s="26">
        <v>172</v>
      </c>
      <c r="R2125" s="27">
        <v>1</v>
      </c>
    </row>
    <row r="2126" spans="1:18" s="26" customFormat="1">
      <c r="A2126" s="26" t="s">
        <v>236</v>
      </c>
      <c r="B2126" s="26" t="s">
        <v>204</v>
      </c>
      <c r="C2126" s="26">
        <v>3</v>
      </c>
      <c r="D2126" s="26" t="s">
        <v>205</v>
      </c>
      <c r="E2126" s="26">
        <v>172</v>
      </c>
      <c r="G2126" s="27">
        <v>1</v>
      </c>
    </row>
    <row r="2127" spans="1:18" s="26" customFormat="1">
      <c r="A2127" s="26" t="s">
        <v>235</v>
      </c>
      <c r="B2127" s="26" t="s">
        <v>204</v>
      </c>
      <c r="C2127" s="26">
        <v>9</v>
      </c>
      <c r="D2127" s="26" t="s">
        <v>205</v>
      </c>
      <c r="E2127" s="26">
        <v>172</v>
      </c>
      <c r="F2127" s="27">
        <v>0.37169999999999997</v>
      </c>
      <c r="G2127" s="27">
        <v>0.2263</v>
      </c>
      <c r="I2127" s="27">
        <v>0.1047</v>
      </c>
      <c r="J2127" s="27">
        <v>0.46350000000000002</v>
      </c>
      <c r="R2127" s="27">
        <v>0.16619999999999999</v>
      </c>
    </row>
    <row r="2128" spans="1:18" s="26" customFormat="1">
      <c r="A2128" s="26" t="s">
        <v>236</v>
      </c>
      <c r="B2128" s="26" t="s">
        <v>204</v>
      </c>
      <c r="C2128" s="26">
        <v>4</v>
      </c>
      <c r="D2128" s="26" t="s">
        <v>206</v>
      </c>
      <c r="E2128" s="26">
        <v>172</v>
      </c>
      <c r="G2128" s="27">
        <v>0.68230000000000002</v>
      </c>
      <c r="H2128" s="27">
        <v>0.22739999999999999</v>
      </c>
      <c r="J2128" s="27">
        <v>0.31769999999999998</v>
      </c>
      <c r="P2128" s="27">
        <v>0.31769999999999998</v>
      </c>
    </row>
    <row r="2129" spans="1:18" s="26" customFormat="1">
      <c r="A2129" s="26" t="s">
        <v>235</v>
      </c>
      <c r="B2129" s="26" t="s">
        <v>204</v>
      </c>
      <c r="C2129" s="26">
        <v>6</v>
      </c>
      <c r="D2129" s="26" t="s">
        <v>206</v>
      </c>
      <c r="E2129" s="26">
        <v>172</v>
      </c>
      <c r="G2129" s="27">
        <v>0.19420000000000001</v>
      </c>
      <c r="H2129" s="27">
        <v>0.2782</v>
      </c>
      <c r="J2129" s="27">
        <v>0.66669999999999996</v>
      </c>
      <c r="R2129" s="27">
        <v>0.1391</v>
      </c>
    </row>
    <row r="2130" spans="1:18" s="26" customFormat="1">
      <c r="A2130" s="26" t="s">
        <v>236</v>
      </c>
      <c r="B2130" s="26" t="s">
        <v>204</v>
      </c>
      <c r="C2130" s="26">
        <v>17</v>
      </c>
      <c r="D2130" s="26" t="s">
        <v>207</v>
      </c>
      <c r="E2130" s="26">
        <v>172</v>
      </c>
      <c r="F2130" s="27">
        <v>0.14810000000000001</v>
      </c>
      <c r="G2130" s="27">
        <v>0.3286</v>
      </c>
      <c r="I2130" s="27">
        <v>8.1900000000000001E-2</v>
      </c>
      <c r="J2130" s="27">
        <v>0.18049999999999999</v>
      </c>
      <c r="O2130" s="27">
        <v>5.6899999999999999E-2</v>
      </c>
      <c r="Q2130" s="27">
        <v>0.1638</v>
      </c>
      <c r="R2130" s="27">
        <v>0.31190000000000001</v>
      </c>
    </row>
    <row r="2131" spans="1:18" s="26" customFormat="1">
      <c r="A2131" s="26" t="s">
        <v>235</v>
      </c>
      <c r="B2131" s="26" t="s">
        <v>204</v>
      </c>
      <c r="C2131" s="26">
        <v>5</v>
      </c>
      <c r="D2131" s="26" t="s">
        <v>207</v>
      </c>
      <c r="E2131" s="26">
        <v>172</v>
      </c>
      <c r="G2131" s="27">
        <v>0.4466</v>
      </c>
      <c r="J2131" s="27">
        <v>0.38400000000000001</v>
      </c>
      <c r="M2131" s="27">
        <v>0.37119999999999997</v>
      </c>
      <c r="O2131" s="27">
        <v>0.37119999999999997</v>
      </c>
      <c r="Q2131" s="27">
        <v>6.8900000000000003E-2</v>
      </c>
      <c r="R2131" s="27">
        <v>0.1759</v>
      </c>
    </row>
    <row r="2132" spans="1:18" s="26" customFormat="1">
      <c r="A2132" s="26" t="s">
        <v>235</v>
      </c>
      <c r="B2132" s="26" t="s">
        <v>204</v>
      </c>
      <c r="C2132" s="26">
        <v>15</v>
      </c>
      <c r="D2132" s="26" t="s">
        <v>208</v>
      </c>
      <c r="E2132" s="26">
        <v>172</v>
      </c>
      <c r="F2132" s="27">
        <v>6.6699999999999995E-2</v>
      </c>
      <c r="G2132" s="27">
        <v>0.33329999999999999</v>
      </c>
      <c r="H2132" s="27">
        <v>6.6699999999999995E-2</v>
      </c>
      <c r="I2132" s="27">
        <v>6.6699999999999995E-2</v>
      </c>
      <c r="J2132" s="27">
        <v>0.4667</v>
      </c>
      <c r="M2132" s="27">
        <v>0.1333</v>
      </c>
      <c r="R2132" s="27">
        <v>6.6699999999999995E-2</v>
      </c>
    </row>
    <row r="2133" spans="1:18" s="26" customFormat="1">
      <c r="A2133" s="26" t="s">
        <v>236</v>
      </c>
      <c r="B2133" s="26" t="s">
        <v>199</v>
      </c>
      <c r="C2133" s="26">
        <v>4</v>
      </c>
      <c r="D2133" s="26" t="s">
        <v>203</v>
      </c>
      <c r="E2133" s="26">
        <v>172</v>
      </c>
      <c r="F2133" s="27">
        <v>0.26450000000000001</v>
      </c>
      <c r="G2133" s="27">
        <v>0.63219999999999998</v>
      </c>
      <c r="H2133" s="27">
        <v>0.33839999999999998</v>
      </c>
      <c r="I2133" s="27">
        <v>0.1032</v>
      </c>
      <c r="J2133" s="27">
        <v>0.60299999999999998</v>
      </c>
      <c r="O2133" s="27">
        <v>0.33839999999999998</v>
      </c>
      <c r="Q2133" s="27">
        <v>0.33839999999999998</v>
      </c>
      <c r="R2133" s="27">
        <v>0.33839999999999998</v>
      </c>
    </row>
    <row r="2134" spans="1:18" s="26" customFormat="1">
      <c r="A2134" s="26" t="s">
        <v>235</v>
      </c>
      <c r="B2134" s="26" t="s">
        <v>199</v>
      </c>
      <c r="C2134" s="26">
        <v>12</v>
      </c>
      <c r="D2134" s="26" t="s">
        <v>203</v>
      </c>
      <c r="E2134" s="26">
        <v>172</v>
      </c>
      <c r="F2134" s="27">
        <v>0.1157</v>
      </c>
      <c r="G2134" s="27">
        <v>0.41449999999999998</v>
      </c>
      <c r="H2134" s="27">
        <v>0.1157</v>
      </c>
      <c r="J2134" s="27">
        <v>0.34870000000000001</v>
      </c>
      <c r="K2134" s="27">
        <v>0.1157</v>
      </c>
      <c r="P2134" s="27">
        <v>0.1157</v>
      </c>
      <c r="R2134" s="27">
        <v>0.27229999999999999</v>
      </c>
    </row>
    <row r="2135" spans="1:18" s="26" customFormat="1">
      <c r="A2135" s="26" t="s">
        <v>235</v>
      </c>
      <c r="B2135" s="26" t="s">
        <v>199</v>
      </c>
      <c r="C2135" s="26">
        <v>7</v>
      </c>
      <c r="D2135" s="26" t="s">
        <v>202</v>
      </c>
      <c r="E2135" s="26">
        <v>172</v>
      </c>
      <c r="F2135" s="27">
        <v>0.11</v>
      </c>
      <c r="G2135" s="27">
        <v>0.45750000000000002</v>
      </c>
      <c r="J2135" s="27">
        <v>0.34749999999999998</v>
      </c>
      <c r="N2135" s="27">
        <v>0.1578</v>
      </c>
      <c r="O2135" s="27">
        <v>0.26779999999999998</v>
      </c>
      <c r="R2135" s="27">
        <v>0.1646</v>
      </c>
    </row>
    <row r="2136" spans="1:18" s="26" customFormat="1">
      <c r="A2136" s="26" t="s">
        <v>236</v>
      </c>
      <c r="B2136" s="26" t="s">
        <v>199</v>
      </c>
      <c r="C2136" s="26">
        <v>3</v>
      </c>
      <c r="D2136" s="26" t="s">
        <v>200</v>
      </c>
      <c r="E2136" s="26">
        <v>172</v>
      </c>
      <c r="F2136" s="27">
        <v>0.1709</v>
      </c>
      <c r="G2136" s="27">
        <v>0.82909999999999995</v>
      </c>
      <c r="J2136" s="27">
        <v>0.82909999999999995</v>
      </c>
    </row>
    <row r="2137" spans="1:18" s="26" customFormat="1">
      <c r="A2137" s="26" t="s">
        <v>235</v>
      </c>
      <c r="B2137" s="26" t="s">
        <v>199</v>
      </c>
      <c r="C2137" s="26">
        <v>8</v>
      </c>
      <c r="D2137" s="26" t="s">
        <v>200</v>
      </c>
      <c r="E2137" s="26">
        <v>172</v>
      </c>
      <c r="F2137" s="27">
        <v>0.125</v>
      </c>
      <c r="G2137" s="27">
        <v>0.25</v>
      </c>
      <c r="H2137" s="27">
        <v>0.125</v>
      </c>
      <c r="I2137" s="27">
        <v>0.125</v>
      </c>
      <c r="J2137" s="27">
        <v>0.625</v>
      </c>
      <c r="Q2137" s="27">
        <v>0.375</v>
      </c>
    </row>
    <row r="2138" spans="1:18" s="26" customFormat="1">
      <c r="A2138" s="26" t="s">
        <v>236</v>
      </c>
      <c r="B2138" s="26" t="s">
        <v>199</v>
      </c>
      <c r="C2138" s="26">
        <v>6</v>
      </c>
      <c r="D2138" s="26" t="s">
        <v>202</v>
      </c>
      <c r="E2138" s="26">
        <v>172</v>
      </c>
      <c r="F2138" s="27">
        <v>0.52339999999999998</v>
      </c>
      <c r="G2138" s="27">
        <v>0.1424</v>
      </c>
      <c r="I2138" s="27">
        <v>0.1424</v>
      </c>
      <c r="J2138" s="27">
        <v>0.13370000000000001</v>
      </c>
      <c r="N2138" s="27">
        <v>0.20050000000000001</v>
      </c>
    </row>
    <row r="2139" spans="1:18" s="26" customFormat="1">
      <c r="A2139" s="26" t="s">
        <v>235</v>
      </c>
      <c r="B2139" s="26" t="s">
        <v>199</v>
      </c>
      <c r="C2139" s="26">
        <v>17</v>
      </c>
      <c r="D2139" s="26" t="s">
        <v>201</v>
      </c>
      <c r="E2139" s="26">
        <v>172</v>
      </c>
      <c r="F2139" s="27">
        <v>0.17649999999999999</v>
      </c>
      <c r="G2139" s="27">
        <v>0.47060000000000002</v>
      </c>
      <c r="H2139" s="27">
        <v>5.8799999999999998E-2</v>
      </c>
      <c r="I2139" s="27">
        <v>0.1176</v>
      </c>
      <c r="J2139" s="27">
        <v>0.23530000000000001</v>
      </c>
      <c r="K2139" s="27">
        <v>5.8799999999999998E-2</v>
      </c>
      <c r="N2139" s="27">
        <v>5.8799999999999998E-2</v>
      </c>
      <c r="Q2139" s="27">
        <v>5.8799999999999998E-2</v>
      </c>
      <c r="R2139" s="27">
        <v>5.8799999999999998E-2</v>
      </c>
    </row>
    <row r="2140" spans="1:18" s="26" customFormat="1">
      <c r="A2140" s="26" t="s">
        <v>236</v>
      </c>
      <c r="B2140" s="26" t="s">
        <v>209</v>
      </c>
      <c r="C2140" s="26">
        <v>9</v>
      </c>
      <c r="D2140" s="26" t="s">
        <v>211</v>
      </c>
      <c r="E2140" s="26">
        <v>172</v>
      </c>
      <c r="G2140" s="27">
        <v>0.4289</v>
      </c>
      <c r="I2140" s="27">
        <v>0.1313</v>
      </c>
      <c r="J2140" s="27">
        <v>4.6199999999999998E-2</v>
      </c>
      <c r="P2140" s="27">
        <v>0.108</v>
      </c>
      <c r="R2140" s="27">
        <v>0.28549999999999998</v>
      </c>
    </row>
    <row r="2141" spans="1:18" s="26" customFormat="1">
      <c r="A2141" s="26" t="s">
        <v>235</v>
      </c>
      <c r="B2141" s="26" t="s">
        <v>209</v>
      </c>
      <c r="C2141" s="26">
        <v>15</v>
      </c>
      <c r="D2141" s="26" t="s">
        <v>211</v>
      </c>
      <c r="E2141" s="26">
        <v>172</v>
      </c>
      <c r="F2141" s="27">
        <v>0.21429999999999999</v>
      </c>
      <c r="G2141" s="27">
        <v>0.45379999999999998</v>
      </c>
      <c r="I2141" s="27">
        <v>0.13020000000000001</v>
      </c>
      <c r="J2141" s="27">
        <v>0.41599999999999998</v>
      </c>
      <c r="P2141" s="27">
        <v>7.1400000000000005E-2</v>
      </c>
      <c r="R2141" s="27">
        <v>0.1429</v>
      </c>
    </row>
    <row r="2142" spans="1:18" s="26" customFormat="1">
      <c r="A2142" s="26" t="s">
        <v>235</v>
      </c>
      <c r="B2142" s="26" t="s">
        <v>209</v>
      </c>
      <c r="C2142" s="26">
        <v>14</v>
      </c>
      <c r="D2142" s="26" t="s">
        <v>212</v>
      </c>
      <c r="E2142" s="26">
        <v>172</v>
      </c>
      <c r="G2142" s="27">
        <v>0.36159999999999998</v>
      </c>
      <c r="H2142" s="27">
        <v>7.2300000000000003E-2</v>
      </c>
      <c r="J2142" s="27">
        <v>0.49380000000000002</v>
      </c>
      <c r="L2142" s="27">
        <v>7.2300000000000003E-2</v>
      </c>
      <c r="O2142" s="27">
        <v>7.2300000000000003E-2</v>
      </c>
      <c r="R2142" s="27">
        <v>0.14460000000000001</v>
      </c>
    </row>
    <row r="2143" spans="1:18" s="26" customFormat="1">
      <c r="A2143" s="26" t="s">
        <v>236</v>
      </c>
      <c r="B2143" s="26" t="s">
        <v>209</v>
      </c>
      <c r="C2143" s="26">
        <v>3</v>
      </c>
      <c r="D2143" s="26" t="s">
        <v>212</v>
      </c>
      <c r="E2143" s="26">
        <v>172</v>
      </c>
      <c r="G2143" s="27">
        <v>0.86650000000000005</v>
      </c>
      <c r="I2143" s="27">
        <v>0.86650000000000005</v>
      </c>
      <c r="J2143" s="27">
        <v>0.7329</v>
      </c>
    </row>
    <row r="2144" spans="1:18" s="26" customFormat="1">
      <c r="A2144" s="26" t="s">
        <v>236</v>
      </c>
      <c r="B2144" s="26" t="s">
        <v>209</v>
      </c>
      <c r="C2144" s="26">
        <v>7</v>
      </c>
      <c r="D2144" s="26" t="s">
        <v>210</v>
      </c>
      <c r="E2144" s="26">
        <v>172</v>
      </c>
      <c r="G2144" s="27">
        <v>0.55410000000000004</v>
      </c>
      <c r="H2144" s="27">
        <v>0.10829999999999999</v>
      </c>
      <c r="I2144" s="27">
        <v>0.10829999999999999</v>
      </c>
      <c r="J2144" s="27">
        <v>0.33760000000000001</v>
      </c>
      <c r="P2144" s="27">
        <v>0.10829999999999999</v>
      </c>
    </row>
    <row r="2145" spans="1:18" s="26" customFormat="1">
      <c r="A2145" s="26" t="s">
        <v>235</v>
      </c>
      <c r="B2145" s="26" t="s">
        <v>209</v>
      </c>
      <c r="C2145" s="26">
        <v>6</v>
      </c>
      <c r="D2145" s="26" t="s">
        <v>210</v>
      </c>
      <c r="E2145" s="26">
        <v>172</v>
      </c>
      <c r="F2145" s="27">
        <v>0.16669999999999999</v>
      </c>
      <c r="G2145" s="27">
        <v>0.33329999999999999</v>
      </c>
      <c r="J2145" s="27">
        <v>0.5</v>
      </c>
      <c r="M2145" s="27">
        <v>0.16669999999999999</v>
      </c>
      <c r="Q2145" s="27">
        <v>0.16669999999999999</v>
      </c>
      <c r="R2145" s="27">
        <v>0.16669999999999999</v>
      </c>
    </row>
    <row r="2147" spans="1:18">
      <c r="A2147" t="s">
        <v>692</v>
      </c>
    </row>
    <row r="2148" spans="1:18">
      <c r="A2148" t="s">
        <v>189</v>
      </c>
      <c r="B2148" t="s">
        <v>195</v>
      </c>
      <c r="C2148" t="s">
        <v>190</v>
      </c>
      <c r="D2148" t="s">
        <v>196</v>
      </c>
      <c r="E2148" t="s">
        <v>693</v>
      </c>
      <c r="F2148" t="s">
        <v>694</v>
      </c>
      <c r="G2148" t="s">
        <v>695</v>
      </c>
      <c r="H2148" t="s">
        <v>228</v>
      </c>
      <c r="I2148" t="s">
        <v>696</v>
      </c>
      <c r="J2148" t="s">
        <v>697</v>
      </c>
      <c r="K2148" t="s">
        <v>698</v>
      </c>
      <c r="L2148" t="s">
        <v>699</v>
      </c>
      <c r="M2148" t="s">
        <v>700</v>
      </c>
      <c r="N2148" t="s">
        <v>701</v>
      </c>
      <c r="O2148" t="s">
        <v>702</v>
      </c>
      <c r="P2148" t="s">
        <v>276</v>
      </c>
      <c r="Q2148" t="s">
        <v>278</v>
      </c>
      <c r="R2148" t="s">
        <v>703</v>
      </c>
    </row>
    <row r="2149" spans="1:18">
      <c r="A2149" t="s">
        <v>197</v>
      </c>
      <c r="B2149">
        <v>953</v>
      </c>
      <c r="C2149" t="s">
        <v>198</v>
      </c>
      <c r="D2149">
        <v>953</v>
      </c>
      <c r="E2149" s="1">
        <v>8.9999999999999993E-3</v>
      </c>
      <c r="F2149" s="1">
        <v>1.04E-2</v>
      </c>
      <c r="G2149" s="1">
        <v>3.1E-2</v>
      </c>
      <c r="H2149" s="1">
        <v>4.1000000000000003E-3</v>
      </c>
      <c r="I2149" s="1">
        <v>1.4E-3</v>
      </c>
      <c r="J2149" s="1">
        <v>5.1999999999999998E-2</v>
      </c>
      <c r="K2149" s="1">
        <v>5.4800000000000001E-2</v>
      </c>
      <c r="L2149" s="1">
        <v>1.5E-3</v>
      </c>
      <c r="M2149" s="1">
        <v>8.9999999999999998E-4</v>
      </c>
      <c r="N2149" s="1">
        <v>3.7400000000000003E-2</v>
      </c>
      <c r="O2149" s="1">
        <v>4.4000000000000003E-3</v>
      </c>
      <c r="P2149" s="1">
        <v>0.86170000000000002</v>
      </c>
      <c r="Q2149" s="1">
        <v>1.26E-2</v>
      </c>
      <c r="R2149" s="1">
        <v>5.7999999999999996E-3</v>
      </c>
    </row>
    <row r="2150" spans="1:18">
      <c r="A2150" t="s">
        <v>204</v>
      </c>
      <c r="B2150">
        <v>91</v>
      </c>
      <c r="C2150" t="s">
        <v>205</v>
      </c>
      <c r="D2150">
        <v>953</v>
      </c>
      <c r="E2150" s="1">
        <v>2.3999999999999998E-3</v>
      </c>
      <c r="F2150" s="1">
        <v>8.5000000000000006E-3</v>
      </c>
      <c r="G2150" s="1">
        <v>3.0099999999999998E-2</v>
      </c>
      <c r="H2150" s="1">
        <v>2.3999999999999998E-3</v>
      </c>
      <c r="I2150" s="1">
        <v>3.2000000000000002E-3</v>
      </c>
      <c r="J2150" s="1">
        <v>1.2200000000000001E-2</v>
      </c>
      <c r="K2150" s="1">
        <v>1.9400000000000001E-2</v>
      </c>
      <c r="N2150" s="1">
        <v>2.18E-2</v>
      </c>
      <c r="P2150" s="1">
        <v>0.91700000000000004</v>
      </c>
    </row>
    <row r="2151" spans="1:18">
      <c r="A2151" t="s">
        <v>204</v>
      </c>
      <c r="B2151">
        <v>70</v>
      </c>
      <c r="C2151" t="s">
        <v>206</v>
      </c>
      <c r="D2151">
        <v>953</v>
      </c>
      <c r="F2151" s="1">
        <v>2.87E-2</v>
      </c>
      <c r="G2151" s="1">
        <v>2.4E-2</v>
      </c>
      <c r="J2151" s="1">
        <v>6.9400000000000003E-2</v>
      </c>
      <c r="K2151" s="1">
        <v>0.1268</v>
      </c>
      <c r="M2151" s="1">
        <v>1.2E-2</v>
      </c>
      <c r="N2151" s="1">
        <v>6.4600000000000005E-2</v>
      </c>
      <c r="O2151" s="1">
        <v>1.2E-2</v>
      </c>
      <c r="P2151" s="1">
        <v>0.77259999999999995</v>
      </c>
      <c r="R2151" s="1">
        <v>2.4E-2</v>
      </c>
    </row>
    <row r="2152" spans="1:18">
      <c r="A2152" t="s">
        <v>204</v>
      </c>
      <c r="B2152">
        <v>128</v>
      </c>
      <c r="C2152" t="s">
        <v>207</v>
      </c>
      <c r="D2152">
        <v>953</v>
      </c>
      <c r="E2152" s="1">
        <v>4.5900000000000003E-2</v>
      </c>
      <c r="F2152" s="1">
        <v>8.6E-3</v>
      </c>
      <c r="G2152" s="1">
        <v>4.8899999999999999E-2</v>
      </c>
      <c r="H2152" s="1">
        <v>3.5999999999999999E-3</v>
      </c>
      <c r="J2152" s="1">
        <v>0.16200000000000001</v>
      </c>
      <c r="K2152" s="1">
        <v>0.1171</v>
      </c>
      <c r="N2152" s="1">
        <v>8.1000000000000003E-2</v>
      </c>
      <c r="P2152" s="1">
        <v>0.70430000000000004</v>
      </c>
      <c r="Q2152" s="1">
        <v>4.9299999999999997E-2</v>
      </c>
      <c r="R2152" s="1">
        <v>1.0999999999999999E-2</v>
      </c>
    </row>
    <row r="2153" spans="1:18">
      <c r="A2153" t="s">
        <v>204</v>
      </c>
      <c r="B2153">
        <v>74</v>
      </c>
      <c r="C2153" t="s">
        <v>208</v>
      </c>
      <c r="D2153">
        <v>953</v>
      </c>
      <c r="G2153" s="1">
        <v>1.35E-2</v>
      </c>
      <c r="H2153" s="1">
        <v>2.7E-2</v>
      </c>
      <c r="J2153" s="1">
        <v>2.7E-2</v>
      </c>
      <c r="K2153" s="1">
        <v>5.4100000000000002E-2</v>
      </c>
      <c r="N2153" s="1">
        <v>4.0500000000000001E-2</v>
      </c>
      <c r="O2153" s="1">
        <v>2.7E-2</v>
      </c>
      <c r="P2153" s="1">
        <v>0.85140000000000005</v>
      </c>
      <c r="R2153" s="1">
        <v>1.35E-2</v>
      </c>
    </row>
    <row r="2154" spans="1:18">
      <c r="A2154" t="s">
        <v>199</v>
      </c>
      <c r="B2154">
        <v>73</v>
      </c>
      <c r="C2154" t="s">
        <v>200</v>
      </c>
      <c r="D2154">
        <v>953</v>
      </c>
      <c r="E2154" s="1">
        <v>1.6000000000000001E-3</v>
      </c>
      <c r="F2154" s="1">
        <v>3.0599999999999999E-2</v>
      </c>
      <c r="J2154" s="1">
        <v>2.1600000000000001E-2</v>
      </c>
      <c r="K2154" s="1">
        <v>2.4799999999999999E-2</v>
      </c>
      <c r="N2154" s="1">
        <v>3.0599999999999999E-2</v>
      </c>
      <c r="P2154" s="1">
        <v>0.9415</v>
      </c>
      <c r="Q2154" s="1">
        <v>1.6000000000000001E-3</v>
      </c>
      <c r="R2154" s="1">
        <v>3.0599999999999999E-2</v>
      </c>
    </row>
    <row r="2155" spans="1:18">
      <c r="A2155" t="s">
        <v>199</v>
      </c>
      <c r="B2155">
        <v>93</v>
      </c>
      <c r="C2155" t="s">
        <v>201</v>
      </c>
      <c r="D2155">
        <v>953</v>
      </c>
      <c r="F2155" s="1">
        <v>1.0800000000000001E-2</v>
      </c>
      <c r="G2155" s="1">
        <v>2.1499999999999998E-2</v>
      </c>
      <c r="J2155" s="1">
        <v>4.2999999999999997E-2</v>
      </c>
      <c r="K2155" s="1">
        <v>5.3800000000000001E-2</v>
      </c>
      <c r="N2155" s="1">
        <v>1.0800000000000001E-2</v>
      </c>
      <c r="P2155" s="1">
        <v>0.9032</v>
      </c>
      <c r="Q2155" s="1">
        <v>1.0800000000000001E-2</v>
      </c>
    </row>
    <row r="2156" spans="1:18">
      <c r="A2156" t="s">
        <v>199</v>
      </c>
      <c r="B2156">
        <v>97</v>
      </c>
      <c r="C2156" t="s">
        <v>202</v>
      </c>
      <c r="D2156">
        <v>953</v>
      </c>
      <c r="G2156" s="1">
        <v>2.58E-2</v>
      </c>
      <c r="H2156" s="1">
        <v>8.6E-3</v>
      </c>
      <c r="J2156" s="1">
        <v>2.7E-2</v>
      </c>
      <c r="K2156" s="1">
        <v>2.7E-2</v>
      </c>
      <c r="N2156" s="1">
        <v>5.8900000000000001E-2</v>
      </c>
      <c r="O2156" s="1">
        <v>1.37E-2</v>
      </c>
      <c r="P2156" s="1">
        <v>0.89749999999999996</v>
      </c>
      <c r="Q2156" s="1">
        <v>9.1000000000000004E-3</v>
      </c>
      <c r="R2156" s="1">
        <v>4.3E-3</v>
      </c>
    </row>
    <row r="2157" spans="1:18">
      <c r="A2157" t="s">
        <v>199</v>
      </c>
      <c r="B2157">
        <v>76</v>
      </c>
      <c r="C2157" t="s">
        <v>203</v>
      </c>
      <c r="D2157">
        <v>953</v>
      </c>
      <c r="E2157" s="1">
        <v>3.6499999999999998E-2</v>
      </c>
      <c r="F2157" s="1">
        <v>9.4999999999999998E-3</v>
      </c>
      <c r="G2157" s="1">
        <v>9.4999999999999998E-3</v>
      </c>
      <c r="I2157" s="1">
        <v>8.3000000000000001E-3</v>
      </c>
      <c r="J2157" s="1">
        <v>4.5999999999999999E-2</v>
      </c>
      <c r="K2157" s="1">
        <v>6.3799999999999996E-2</v>
      </c>
      <c r="N2157" s="1">
        <v>1.5699999999999999E-2</v>
      </c>
      <c r="P2157" s="1">
        <v>0.89319999999999999</v>
      </c>
      <c r="R2157" s="1">
        <v>8.3000000000000001E-3</v>
      </c>
    </row>
    <row r="2158" spans="1:18">
      <c r="A2158" t="s">
        <v>209</v>
      </c>
      <c r="B2158">
        <v>74</v>
      </c>
      <c r="C2158" t="s">
        <v>210</v>
      </c>
      <c r="D2158">
        <v>953</v>
      </c>
      <c r="F2158" s="1">
        <v>1.77E-2</v>
      </c>
      <c r="J2158" s="1">
        <v>0.20180000000000001</v>
      </c>
      <c r="K2158" s="1">
        <v>0.13109999999999999</v>
      </c>
      <c r="N2158" s="1">
        <v>4.3700000000000003E-2</v>
      </c>
      <c r="P2158" s="1">
        <v>0.7722</v>
      </c>
      <c r="Q2158" s="1">
        <v>1.77E-2</v>
      </c>
      <c r="R2158" s="1">
        <v>1.77E-2</v>
      </c>
    </row>
    <row r="2159" spans="1:18">
      <c r="A2159" t="s">
        <v>209</v>
      </c>
      <c r="B2159">
        <v>93</v>
      </c>
      <c r="C2159" t="s">
        <v>211</v>
      </c>
      <c r="D2159">
        <v>953</v>
      </c>
      <c r="F2159" s="1">
        <v>1.9300000000000001E-2</v>
      </c>
      <c r="G2159" s="1">
        <v>4.4000000000000003E-3</v>
      </c>
      <c r="I2159" s="1">
        <v>1.04E-2</v>
      </c>
      <c r="J2159" s="1">
        <v>3.7900000000000003E-2</v>
      </c>
      <c r="K2159" s="1">
        <v>4.6800000000000001E-2</v>
      </c>
      <c r="M2159" s="1">
        <v>1.7100000000000001E-2</v>
      </c>
      <c r="N2159" s="1">
        <v>2.0799999999999999E-2</v>
      </c>
      <c r="O2159" s="1">
        <v>1.04E-2</v>
      </c>
      <c r="P2159" s="1">
        <v>0.88200000000000001</v>
      </c>
      <c r="R2159" s="1">
        <v>1.7100000000000001E-2</v>
      </c>
    </row>
    <row r="2160" spans="1:18">
      <c r="A2160" t="s">
        <v>209</v>
      </c>
      <c r="B2160">
        <v>84</v>
      </c>
      <c r="C2160" t="s">
        <v>212</v>
      </c>
      <c r="D2160">
        <v>953</v>
      </c>
      <c r="F2160" s="1">
        <v>2.5899999999999999E-2</v>
      </c>
      <c r="G2160" s="1">
        <v>7.0900000000000005E-2</v>
      </c>
      <c r="J2160" s="1">
        <v>4.2500000000000003E-2</v>
      </c>
      <c r="K2160" s="1">
        <v>7.0900000000000005E-2</v>
      </c>
      <c r="L2160" s="1">
        <v>1.4200000000000001E-2</v>
      </c>
      <c r="N2160" s="1">
        <v>3.3300000000000003E-2</v>
      </c>
      <c r="P2160" s="1">
        <v>0.8397</v>
      </c>
      <c r="Q2160" s="1">
        <v>1.3599999999999999E-2</v>
      </c>
      <c r="R2160" s="1">
        <v>2.5000000000000001E-3</v>
      </c>
    </row>
    <row r="2162" spans="1:15">
      <c r="A2162" t="s">
        <v>704</v>
      </c>
    </row>
    <row r="2163" spans="1:15">
      <c r="A2163" t="s">
        <v>190</v>
      </c>
      <c r="B2163" t="s">
        <v>705</v>
      </c>
      <c r="C2163" t="s">
        <v>706</v>
      </c>
      <c r="D2163" t="s">
        <v>707</v>
      </c>
      <c r="E2163" t="s">
        <v>708</v>
      </c>
      <c r="F2163" t="s">
        <v>709</v>
      </c>
      <c r="G2163" t="s">
        <v>710</v>
      </c>
      <c r="H2163" t="s">
        <v>711</v>
      </c>
      <c r="I2163" t="s">
        <v>712</v>
      </c>
      <c r="J2163" t="s">
        <v>713</v>
      </c>
      <c r="K2163" t="s">
        <v>714</v>
      </c>
      <c r="L2163" t="s">
        <v>715</v>
      </c>
      <c r="M2163" t="s">
        <v>716</v>
      </c>
      <c r="N2163" t="s">
        <v>195</v>
      </c>
      <c r="O2163" t="s">
        <v>196</v>
      </c>
    </row>
    <row r="2164" spans="1:15">
      <c r="A2164" t="s">
        <v>198</v>
      </c>
      <c r="B2164" t="s">
        <v>717</v>
      </c>
      <c r="C2164" s="1">
        <v>1.47E-2</v>
      </c>
      <c r="D2164" s="1">
        <v>8.8599999999999998E-2</v>
      </c>
      <c r="E2164" s="1">
        <v>5.1999999999999998E-3</v>
      </c>
      <c r="F2164" s="1">
        <v>4.7999999999999996E-3</v>
      </c>
      <c r="G2164" s="1">
        <v>1.77E-2</v>
      </c>
      <c r="H2164" s="1">
        <v>3.7000000000000002E-3</v>
      </c>
      <c r="I2164" s="1">
        <v>1.6000000000000001E-3</v>
      </c>
      <c r="J2164" s="1">
        <v>2.8999999999999998E-3</v>
      </c>
      <c r="K2164" s="1">
        <v>6.9999999999999999E-4</v>
      </c>
      <c r="M2164">
        <v>968</v>
      </c>
      <c r="N2164">
        <v>968</v>
      </c>
      <c r="O2164">
        <v>968</v>
      </c>
    </row>
    <row r="2165" spans="1:15">
      <c r="A2165" t="s">
        <v>198</v>
      </c>
      <c r="B2165" t="s">
        <v>718</v>
      </c>
      <c r="C2165" s="1">
        <v>0.75760000000000005</v>
      </c>
      <c r="D2165" s="1">
        <v>0.33950000000000002</v>
      </c>
      <c r="E2165" s="1">
        <v>0.85850000000000004</v>
      </c>
      <c r="F2165" s="1">
        <v>0.67620000000000002</v>
      </c>
      <c r="G2165" s="1">
        <v>0.70699999999999996</v>
      </c>
      <c r="H2165" s="1">
        <v>0.64859999999999995</v>
      </c>
      <c r="I2165" s="1">
        <v>0.74209999999999998</v>
      </c>
      <c r="J2165" s="1">
        <v>0.66239999999999999</v>
      </c>
      <c r="K2165" s="1">
        <v>0.88380000000000003</v>
      </c>
      <c r="L2165" s="1">
        <v>0.95789999999999997</v>
      </c>
      <c r="M2165">
        <v>968</v>
      </c>
      <c r="N2165">
        <v>968</v>
      </c>
      <c r="O2165">
        <v>968</v>
      </c>
    </row>
    <row r="2166" spans="1:15">
      <c r="A2166" t="s">
        <v>198</v>
      </c>
      <c r="B2166" t="s">
        <v>719</v>
      </c>
      <c r="C2166" s="1">
        <v>0.1787</v>
      </c>
      <c r="D2166" s="1">
        <v>0.14330000000000001</v>
      </c>
      <c r="E2166" s="1">
        <v>1.4E-2</v>
      </c>
      <c r="F2166" s="1">
        <v>7.8600000000000003E-2</v>
      </c>
      <c r="G2166" s="1">
        <v>0.25779999999999997</v>
      </c>
      <c r="H2166" s="1">
        <v>1.8800000000000001E-2</v>
      </c>
      <c r="I2166" s="1">
        <v>0.20180000000000001</v>
      </c>
      <c r="J2166" s="1">
        <v>0.33040000000000003</v>
      </c>
      <c r="K2166" s="1">
        <v>6.7100000000000007E-2</v>
      </c>
      <c r="L2166" s="1">
        <v>2.92E-2</v>
      </c>
      <c r="M2166">
        <v>968</v>
      </c>
      <c r="N2166">
        <v>968</v>
      </c>
      <c r="O2166">
        <v>968</v>
      </c>
    </row>
    <row r="2167" spans="1:15">
      <c r="A2167" t="s">
        <v>198</v>
      </c>
      <c r="B2167" t="s">
        <v>216</v>
      </c>
      <c r="C2167" s="1">
        <v>4.8899999999999999E-2</v>
      </c>
      <c r="D2167" s="1">
        <v>0.42870000000000003</v>
      </c>
      <c r="E2167" s="1">
        <v>0.1222</v>
      </c>
      <c r="F2167" s="1">
        <v>0.2404</v>
      </c>
      <c r="G2167" s="1">
        <v>1.7500000000000002E-2</v>
      </c>
      <c r="H2167" s="1">
        <v>0.32890000000000003</v>
      </c>
      <c r="I2167" s="1">
        <v>5.4600000000000003E-2</v>
      </c>
      <c r="J2167" s="1">
        <v>4.3E-3</v>
      </c>
      <c r="K2167" s="1">
        <v>4.8399999999999999E-2</v>
      </c>
      <c r="L2167" s="1">
        <v>1.29E-2</v>
      </c>
      <c r="M2167">
        <v>968</v>
      </c>
      <c r="N2167">
        <v>968</v>
      </c>
      <c r="O2167">
        <v>968</v>
      </c>
    </row>
    <row r="2168" spans="1:15">
      <c r="A2168" t="s">
        <v>200</v>
      </c>
      <c r="B2168" t="s">
        <v>717</v>
      </c>
      <c r="C2168" s="1">
        <v>6.5299999999999997E-2</v>
      </c>
      <c r="D2168" s="1">
        <v>0.27039999999999997</v>
      </c>
      <c r="J2168" s="1">
        <v>1.6000000000000001E-3</v>
      </c>
      <c r="M2168">
        <v>20</v>
      </c>
      <c r="N2168">
        <v>73</v>
      </c>
      <c r="O2168">
        <v>968</v>
      </c>
    </row>
    <row r="2169" spans="1:15">
      <c r="A2169" t="s">
        <v>200</v>
      </c>
      <c r="B2169" t="s">
        <v>718</v>
      </c>
      <c r="C2169" s="1">
        <v>0.79669999999999996</v>
      </c>
      <c r="D2169" s="1">
        <v>0.18640000000000001</v>
      </c>
      <c r="E2169" s="1">
        <v>0.86050000000000004</v>
      </c>
      <c r="F2169" s="1">
        <v>0.77249999999999996</v>
      </c>
      <c r="G2169" s="1">
        <v>0.8105</v>
      </c>
      <c r="H2169" s="1">
        <v>0.5998</v>
      </c>
      <c r="I2169" s="1">
        <v>0.7661</v>
      </c>
      <c r="J2169" s="1">
        <v>0.81520000000000004</v>
      </c>
      <c r="K2169" s="1">
        <v>0.94569999999999999</v>
      </c>
      <c r="L2169" s="1">
        <v>0.99680000000000002</v>
      </c>
      <c r="M2169">
        <v>20</v>
      </c>
      <c r="N2169">
        <v>73</v>
      </c>
      <c r="O2169">
        <v>968</v>
      </c>
    </row>
    <row r="2170" spans="1:15">
      <c r="A2170" t="s">
        <v>200</v>
      </c>
      <c r="B2170" t="s">
        <v>719</v>
      </c>
      <c r="C2170" s="1">
        <v>0.13170000000000001</v>
      </c>
      <c r="D2170" s="1">
        <v>7.6999999999999999E-2</v>
      </c>
      <c r="F2170" s="1">
        <v>8.8900000000000007E-2</v>
      </c>
      <c r="G2170" s="1">
        <v>0.1431</v>
      </c>
      <c r="H2170" s="1">
        <v>0.1211</v>
      </c>
      <c r="I2170" s="1">
        <v>0.21540000000000001</v>
      </c>
      <c r="J2170" s="1">
        <v>0.1832</v>
      </c>
      <c r="K2170" s="1">
        <v>4.7000000000000002E-3</v>
      </c>
      <c r="L2170" s="1">
        <v>1.6000000000000001E-3</v>
      </c>
      <c r="M2170">
        <v>20</v>
      </c>
      <c r="N2170">
        <v>73</v>
      </c>
      <c r="O2170">
        <v>968</v>
      </c>
    </row>
    <row r="2171" spans="1:15">
      <c r="A2171" t="s">
        <v>200</v>
      </c>
      <c r="B2171" t="s">
        <v>216</v>
      </c>
      <c r="C2171" s="1">
        <v>6.3E-3</v>
      </c>
      <c r="D2171" s="1">
        <v>0.46629999999999999</v>
      </c>
      <c r="E2171" s="1">
        <v>0.13950000000000001</v>
      </c>
      <c r="F2171" s="1">
        <v>0.1386</v>
      </c>
      <c r="G2171" s="1">
        <v>4.6399999999999997E-2</v>
      </c>
      <c r="H2171" s="1">
        <v>0.27910000000000001</v>
      </c>
      <c r="I2171" s="1">
        <v>1.8499999999999999E-2</v>
      </c>
      <c r="K2171" s="1">
        <v>4.9599999999999998E-2</v>
      </c>
      <c r="L2171" s="1">
        <v>1.6000000000000001E-3</v>
      </c>
      <c r="M2171">
        <v>20</v>
      </c>
      <c r="N2171">
        <v>73</v>
      </c>
      <c r="O2171">
        <v>968</v>
      </c>
    </row>
    <row r="2172" spans="1:15">
      <c r="A2172" t="s">
        <v>201</v>
      </c>
      <c r="B2172" t="s">
        <v>717</v>
      </c>
      <c r="C2172" s="1">
        <v>1.04E-2</v>
      </c>
      <c r="D2172" s="1">
        <v>8.3299999999999999E-2</v>
      </c>
      <c r="E2172" s="1">
        <v>1.04E-2</v>
      </c>
      <c r="G2172" s="1">
        <v>1.04E-2</v>
      </c>
      <c r="M2172">
        <v>143</v>
      </c>
      <c r="N2172">
        <v>96</v>
      </c>
      <c r="O2172">
        <v>968</v>
      </c>
    </row>
    <row r="2173" spans="1:15">
      <c r="A2173" t="s">
        <v>201</v>
      </c>
      <c r="B2173" t="s">
        <v>718</v>
      </c>
      <c r="C2173" s="1">
        <v>0.70830000000000004</v>
      </c>
      <c r="D2173" s="1">
        <v>0.32290000000000002</v>
      </c>
      <c r="E2173" s="1">
        <v>0.86460000000000004</v>
      </c>
      <c r="F2173" s="1">
        <v>0.66669999999999996</v>
      </c>
      <c r="G2173" s="1">
        <v>0.8125</v>
      </c>
      <c r="H2173" s="1">
        <v>0.59379999999999999</v>
      </c>
      <c r="I2173" s="1">
        <v>0.85419999999999996</v>
      </c>
      <c r="J2173" s="1">
        <v>0.73960000000000004</v>
      </c>
      <c r="K2173" s="1">
        <v>0.90620000000000001</v>
      </c>
      <c r="L2173" s="1">
        <v>0.9375</v>
      </c>
      <c r="M2173">
        <v>143</v>
      </c>
      <c r="N2173">
        <v>96</v>
      </c>
      <c r="O2173">
        <v>968</v>
      </c>
    </row>
    <row r="2174" spans="1:15">
      <c r="A2174" t="s">
        <v>201</v>
      </c>
      <c r="B2174" t="s">
        <v>719</v>
      </c>
      <c r="C2174" s="1">
        <v>0.22919999999999999</v>
      </c>
      <c r="D2174" s="1">
        <v>6.25E-2</v>
      </c>
      <c r="E2174" s="1">
        <v>2.0799999999999999E-2</v>
      </c>
      <c r="F2174" s="1">
        <v>4.2999999999999997E-2</v>
      </c>
      <c r="G2174" s="1">
        <v>0.15620000000000001</v>
      </c>
      <c r="H2174" s="1">
        <v>1.04E-2</v>
      </c>
      <c r="I2174" s="1">
        <v>9.3799999999999994E-2</v>
      </c>
      <c r="J2174" s="1">
        <v>0.25</v>
      </c>
      <c r="K2174" s="1">
        <v>5.21E-2</v>
      </c>
      <c r="L2174" s="1">
        <v>5.21E-2</v>
      </c>
      <c r="M2174">
        <v>143</v>
      </c>
      <c r="N2174">
        <v>96</v>
      </c>
      <c r="O2174">
        <v>968</v>
      </c>
    </row>
    <row r="2175" spans="1:15">
      <c r="A2175" t="s">
        <v>201</v>
      </c>
      <c r="B2175" t="s">
        <v>216</v>
      </c>
      <c r="C2175" s="1">
        <v>5.21E-2</v>
      </c>
      <c r="D2175" s="1">
        <v>0.53120000000000001</v>
      </c>
      <c r="E2175" s="1">
        <v>0.1042</v>
      </c>
      <c r="F2175" s="1">
        <v>0.2903</v>
      </c>
      <c r="G2175" s="1">
        <v>2.0799999999999999E-2</v>
      </c>
      <c r="H2175" s="1">
        <v>0.39579999999999999</v>
      </c>
      <c r="I2175" s="1">
        <v>5.21E-2</v>
      </c>
      <c r="J2175" s="1">
        <v>1.04E-2</v>
      </c>
      <c r="K2175" s="1">
        <v>4.1700000000000001E-2</v>
      </c>
      <c r="L2175" s="1">
        <v>1.04E-2</v>
      </c>
      <c r="M2175">
        <v>143</v>
      </c>
      <c r="N2175">
        <v>96</v>
      </c>
      <c r="O2175">
        <v>968</v>
      </c>
    </row>
    <row r="2176" spans="1:15">
      <c r="A2176" t="s">
        <v>202</v>
      </c>
      <c r="B2176" t="s">
        <v>717</v>
      </c>
      <c r="C2176" s="1">
        <v>2.07E-2</v>
      </c>
      <c r="D2176" s="1">
        <v>2.5700000000000001E-2</v>
      </c>
      <c r="G2176" s="1">
        <v>2.5499999999999998E-2</v>
      </c>
      <c r="M2176">
        <v>111</v>
      </c>
      <c r="N2176">
        <v>98</v>
      </c>
      <c r="O2176">
        <v>968</v>
      </c>
    </row>
    <row r="2177" spans="1:15">
      <c r="A2177" t="s">
        <v>202</v>
      </c>
      <c r="B2177" t="s">
        <v>718</v>
      </c>
      <c r="C2177" s="1">
        <v>0.7621</v>
      </c>
      <c r="D2177" s="1">
        <v>0.34770000000000001</v>
      </c>
      <c r="E2177" s="1">
        <v>0.87780000000000002</v>
      </c>
      <c r="F2177" s="1">
        <v>0.71550000000000002</v>
      </c>
      <c r="G2177" s="1">
        <v>0.63870000000000005</v>
      </c>
      <c r="H2177" s="1">
        <v>0.73140000000000005</v>
      </c>
      <c r="I2177" s="1">
        <v>0.75880000000000003</v>
      </c>
      <c r="J2177" s="1">
        <v>0.65810000000000002</v>
      </c>
      <c r="K2177" s="1">
        <v>0.87029999999999996</v>
      </c>
      <c r="L2177" s="1">
        <v>0.92720000000000002</v>
      </c>
      <c r="M2177">
        <v>111</v>
      </c>
      <c r="N2177">
        <v>98</v>
      </c>
      <c r="O2177">
        <v>968</v>
      </c>
    </row>
    <row r="2178" spans="1:15">
      <c r="A2178" t="s">
        <v>202</v>
      </c>
      <c r="B2178" t="s">
        <v>719</v>
      </c>
      <c r="C2178" s="1">
        <v>0.1648</v>
      </c>
      <c r="D2178" s="1">
        <v>0.21820000000000001</v>
      </c>
      <c r="E2178" s="1">
        <v>3.61E-2</v>
      </c>
      <c r="F2178" s="1">
        <v>8.7099999999999997E-2</v>
      </c>
      <c r="G2178" s="1">
        <v>0.30890000000000001</v>
      </c>
      <c r="H2178" s="1">
        <v>6.25E-2</v>
      </c>
      <c r="I2178" s="1">
        <v>0.18260000000000001</v>
      </c>
      <c r="J2178" s="1">
        <v>0.3286</v>
      </c>
      <c r="K2178" s="1">
        <v>8.9099999999999999E-2</v>
      </c>
      <c r="L2178" s="1">
        <v>4.9700000000000001E-2</v>
      </c>
      <c r="M2178">
        <v>111</v>
      </c>
      <c r="N2178">
        <v>98</v>
      </c>
      <c r="O2178">
        <v>968</v>
      </c>
    </row>
    <row r="2179" spans="1:15">
      <c r="A2179" t="s">
        <v>202</v>
      </c>
      <c r="B2179" t="s">
        <v>216</v>
      </c>
      <c r="C2179" s="1">
        <v>5.2400000000000002E-2</v>
      </c>
      <c r="D2179" s="1">
        <v>0.4083</v>
      </c>
      <c r="E2179" s="1">
        <v>8.5999999999999993E-2</v>
      </c>
      <c r="F2179" s="1">
        <v>0.1973</v>
      </c>
      <c r="G2179" s="1">
        <v>2.69E-2</v>
      </c>
      <c r="H2179" s="1">
        <v>0.20619999999999999</v>
      </c>
      <c r="I2179" s="1">
        <v>5.8700000000000002E-2</v>
      </c>
      <c r="J2179" s="1">
        <v>1.3299999999999999E-2</v>
      </c>
      <c r="K2179" s="1">
        <v>4.0599999999999997E-2</v>
      </c>
      <c r="L2179" s="1">
        <v>2.3199999999999998E-2</v>
      </c>
      <c r="M2179">
        <v>111</v>
      </c>
      <c r="N2179">
        <v>98</v>
      </c>
      <c r="O2179">
        <v>968</v>
      </c>
    </row>
    <row r="2180" spans="1:15">
      <c r="A2180" t="s">
        <v>203</v>
      </c>
      <c r="B2180" t="s">
        <v>718</v>
      </c>
      <c r="C2180" s="1">
        <v>0.82899999999999996</v>
      </c>
      <c r="D2180" s="1">
        <v>0.32469999999999999</v>
      </c>
      <c r="E2180" s="1">
        <v>0.77900000000000003</v>
      </c>
      <c r="F2180" s="1">
        <v>0.63990000000000002</v>
      </c>
      <c r="G2180" s="1">
        <v>0.76170000000000004</v>
      </c>
      <c r="H2180" s="1">
        <v>0.60009999999999997</v>
      </c>
      <c r="I2180" s="1">
        <v>0.73029999999999995</v>
      </c>
      <c r="J2180" s="1">
        <v>0.86129999999999995</v>
      </c>
      <c r="K2180" s="1">
        <v>0.85540000000000005</v>
      </c>
      <c r="L2180" s="1">
        <v>0.95409999999999995</v>
      </c>
      <c r="M2180">
        <v>27</v>
      </c>
      <c r="N2180">
        <v>77</v>
      </c>
      <c r="O2180">
        <v>968</v>
      </c>
    </row>
    <row r="2181" spans="1:15">
      <c r="A2181" t="s">
        <v>203</v>
      </c>
      <c r="B2181" t="s">
        <v>719</v>
      </c>
      <c r="C2181" s="1">
        <v>7.0999999999999994E-2</v>
      </c>
      <c r="D2181" s="1">
        <v>9.0899999999999995E-2</v>
      </c>
      <c r="E2181" s="1">
        <v>7.4000000000000003E-3</v>
      </c>
      <c r="F2181" s="1">
        <v>0.13900000000000001</v>
      </c>
      <c r="G2181" s="1">
        <v>0.12180000000000001</v>
      </c>
      <c r="H2181" s="1">
        <v>7.4000000000000003E-3</v>
      </c>
      <c r="I2181" s="1">
        <v>0.19</v>
      </c>
      <c r="J2181" s="1">
        <v>0.12920000000000001</v>
      </c>
      <c r="K2181" s="1">
        <v>5.5399999999999998E-2</v>
      </c>
      <c r="L2181" s="1">
        <v>4.5900000000000003E-2</v>
      </c>
      <c r="M2181">
        <v>27</v>
      </c>
      <c r="N2181">
        <v>77</v>
      </c>
      <c r="O2181">
        <v>968</v>
      </c>
    </row>
    <row r="2182" spans="1:15">
      <c r="A2182" t="s">
        <v>203</v>
      </c>
      <c r="B2182" t="s">
        <v>216</v>
      </c>
      <c r="C2182" s="1">
        <v>9.9900000000000003E-2</v>
      </c>
      <c r="D2182" s="1">
        <v>0.53080000000000005</v>
      </c>
      <c r="E2182" s="1">
        <v>0.21360000000000001</v>
      </c>
      <c r="F2182" s="1">
        <v>0.1837</v>
      </c>
      <c r="G2182" s="1">
        <v>8.9700000000000002E-2</v>
      </c>
      <c r="H2182" s="1">
        <v>0.36559999999999998</v>
      </c>
      <c r="I2182" s="1">
        <v>7.9699999999999993E-2</v>
      </c>
      <c r="J2182" s="1">
        <v>9.4999999999999998E-3</v>
      </c>
      <c r="K2182" s="1">
        <v>8.9200000000000002E-2</v>
      </c>
      <c r="M2182">
        <v>27</v>
      </c>
      <c r="N2182">
        <v>77</v>
      </c>
      <c r="O2182">
        <v>968</v>
      </c>
    </row>
    <row r="2183" spans="1:15">
      <c r="A2183" t="s">
        <v>205</v>
      </c>
      <c r="B2183" t="s">
        <v>718</v>
      </c>
      <c r="C2183" s="1">
        <v>0.74880000000000002</v>
      </c>
      <c r="D2183" s="1">
        <v>0.56079999999999997</v>
      </c>
      <c r="E2183" s="1">
        <v>0.91920000000000002</v>
      </c>
      <c r="F2183" s="1">
        <v>0.79300000000000004</v>
      </c>
      <c r="G2183" s="1">
        <v>0.72440000000000004</v>
      </c>
      <c r="H2183" s="1">
        <v>0.753</v>
      </c>
      <c r="I2183" s="1">
        <v>0.66439999999999999</v>
      </c>
      <c r="J2183" s="1">
        <v>0.51070000000000004</v>
      </c>
      <c r="K2183" s="1">
        <v>0.82809999999999995</v>
      </c>
      <c r="L2183" s="1">
        <v>0.98799999999999999</v>
      </c>
      <c r="M2183">
        <v>154</v>
      </c>
      <c r="N2183">
        <v>91</v>
      </c>
      <c r="O2183">
        <v>968</v>
      </c>
    </row>
    <row r="2184" spans="1:15">
      <c r="A2184" t="s">
        <v>205</v>
      </c>
      <c r="B2184" t="s">
        <v>719</v>
      </c>
      <c r="C2184" s="1">
        <v>0.24149999999999999</v>
      </c>
      <c r="D2184" s="1">
        <v>0.1348</v>
      </c>
      <c r="E2184" s="1">
        <v>3.2000000000000002E-3</v>
      </c>
      <c r="F2184" s="1">
        <v>2.06E-2</v>
      </c>
      <c r="G2184" s="1">
        <v>0.2621</v>
      </c>
      <c r="H2184" s="1">
        <v>8.5000000000000006E-3</v>
      </c>
      <c r="I2184" s="1">
        <v>0.33079999999999998</v>
      </c>
      <c r="J2184" s="1">
        <v>0.48930000000000001</v>
      </c>
      <c r="K2184" s="1">
        <v>0.1007</v>
      </c>
      <c r="L2184" s="1">
        <v>6.4000000000000003E-3</v>
      </c>
      <c r="M2184">
        <v>154</v>
      </c>
      <c r="N2184">
        <v>91</v>
      </c>
      <c r="O2184">
        <v>968</v>
      </c>
    </row>
    <row r="2185" spans="1:15">
      <c r="A2185" t="s">
        <v>205</v>
      </c>
      <c r="B2185" t="s">
        <v>216</v>
      </c>
      <c r="C2185" s="1">
        <v>9.7000000000000003E-3</v>
      </c>
      <c r="D2185" s="1">
        <v>0.20219999999999999</v>
      </c>
      <c r="E2185" s="1">
        <v>6.9099999999999995E-2</v>
      </c>
      <c r="F2185" s="1">
        <v>0.1754</v>
      </c>
      <c r="H2185" s="1">
        <v>0.2354</v>
      </c>
      <c r="I2185" s="1">
        <v>4.8999999999999998E-3</v>
      </c>
      <c r="K2185" s="1">
        <v>6.8000000000000005E-2</v>
      </c>
      <c r="L2185" s="1">
        <v>5.5999999999999999E-3</v>
      </c>
      <c r="M2185">
        <v>154</v>
      </c>
      <c r="N2185">
        <v>91</v>
      </c>
      <c r="O2185">
        <v>968</v>
      </c>
    </row>
    <row r="2186" spans="1:15">
      <c r="A2186" t="s">
        <v>206</v>
      </c>
      <c r="B2186" t="s">
        <v>718</v>
      </c>
      <c r="C2186" s="1">
        <v>0.86050000000000004</v>
      </c>
      <c r="D2186" s="1">
        <v>0.30230000000000001</v>
      </c>
      <c r="E2186" s="1">
        <v>0.90459999999999996</v>
      </c>
      <c r="F2186" s="1">
        <v>0.73250000000000004</v>
      </c>
      <c r="G2186" s="1">
        <v>0.80469999999999997</v>
      </c>
      <c r="H2186" s="1">
        <v>0.63480000000000003</v>
      </c>
      <c r="I2186" s="1">
        <v>0.86270000000000002</v>
      </c>
      <c r="J2186" s="1">
        <v>0.74419999999999997</v>
      </c>
      <c r="K2186" s="1">
        <v>0.9325</v>
      </c>
      <c r="L2186" s="1">
        <v>0.98839999999999995</v>
      </c>
      <c r="M2186">
        <v>9</v>
      </c>
      <c r="N2186">
        <v>72</v>
      </c>
      <c r="O2186">
        <v>968</v>
      </c>
    </row>
    <row r="2187" spans="1:15">
      <c r="A2187" t="s">
        <v>206</v>
      </c>
      <c r="B2187" t="s">
        <v>719</v>
      </c>
      <c r="C2187" s="1">
        <v>7.2099999999999997E-2</v>
      </c>
      <c r="D2187" s="1">
        <v>0.13730000000000001</v>
      </c>
      <c r="E2187" s="1">
        <v>1.6299999999999999E-2</v>
      </c>
      <c r="F2187" s="1">
        <v>0.1061</v>
      </c>
      <c r="G2187" s="1">
        <v>0.1628</v>
      </c>
      <c r="H2187" s="1">
        <v>1.1599999999999999E-2</v>
      </c>
      <c r="I2187" s="1">
        <v>0.114</v>
      </c>
      <c r="J2187" s="1">
        <v>0.25580000000000003</v>
      </c>
      <c r="K2187" s="1">
        <v>2.7900000000000001E-2</v>
      </c>
      <c r="M2187">
        <v>9</v>
      </c>
      <c r="N2187">
        <v>72</v>
      </c>
      <c r="O2187">
        <v>968</v>
      </c>
    </row>
    <row r="2188" spans="1:15">
      <c r="A2188" t="s">
        <v>206</v>
      </c>
      <c r="B2188" t="s">
        <v>216</v>
      </c>
      <c r="C2188" s="1">
        <v>6.7500000000000004E-2</v>
      </c>
      <c r="D2188" s="1">
        <v>0.4929</v>
      </c>
      <c r="E2188" s="1">
        <v>6.2799999999999995E-2</v>
      </c>
      <c r="F2188" s="1">
        <v>0.16139999999999999</v>
      </c>
      <c r="G2188" s="1">
        <v>1.6299999999999999E-2</v>
      </c>
      <c r="H2188" s="1">
        <v>0.34189999999999998</v>
      </c>
      <c r="I2188" s="1">
        <v>2.3300000000000001E-2</v>
      </c>
      <c r="K2188" s="1">
        <v>3.9600000000000003E-2</v>
      </c>
      <c r="L2188" s="1">
        <v>1.1599999999999999E-2</v>
      </c>
      <c r="M2188">
        <v>9</v>
      </c>
      <c r="N2188">
        <v>72</v>
      </c>
      <c r="O2188">
        <v>968</v>
      </c>
    </row>
    <row r="2189" spans="1:15">
      <c r="A2189" t="s">
        <v>207</v>
      </c>
      <c r="B2189" t="s">
        <v>717</v>
      </c>
      <c r="C2189" s="1">
        <v>5.0000000000000001E-3</v>
      </c>
      <c r="D2189" s="1">
        <v>3.6499999999999998E-2</v>
      </c>
      <c r="F2189" s="1">
        <v>5.0000000000000001E-3</v>
      </c>
      <c r="G2189" s="1">
        <v>6.1000000000000004E-3</v>
      </c>
      <c r="H2189" s="1">
        <v>7.4000000000000003E-3</v>
      </c>
      <c r="M2189">
        <v>115</v>
      </c>
      <c r="N2189">
        <v>131</v>
      </c>
      <c r="O2189">
        <v>968</v>
      </c>
    </row>
    <row r="2190" spans="1:15">
      <c r="A2190" t="s">
        <v>207</v>
      </c>
      <c r="B2190" t="s">
        <v>718</v>
      </c>
      <c r="C2190" s="1">
        <v>0.76680000000000004</v>
      </c>
      <c r="D2190" s="1">
        <v>0.2402</v>
      </c>
      <c r="E2190" s="1">
        <v>0.80869999999999997</v>
      </c>
      <c r="F2190" s="1">
        <v>0.57679999999999998</v>
      </c>
      <c r="G2190" s="1">
        <v>0.55500000000000005</v>
      </c>
      <c r="H2190" s="1">
        <v>0.67290000000000005</v>
      </c>
      <c r="I2190" s="1">
        <v>0.69920000000000004</v>
      </c>
      <c r="J2190" s="1">
        <v>0.61829999999999996</v>
      </c>
      <c r="K2190" s="1">
        <v>0.91169999999999995</v>
      </c>
      <c r="L2190" s="1">
        <v>0.97150000000000003</v>
      </c>
      <c r="M2190">
        <v>115</v>
      </c>
      <c r="N2190">
        <v>131</v>
      </c>
      <c r="O2190">
        <v>968</v>
      </c>
    </row>
    <row r="2191" spans="1:15">
      <c r="A2191" t="s">
        <v>207</v>
      </c>
      <c r="B2191" t="s">
        <v>719</v>
      </c>
      <c r="C2191" s="1">
        <v>0.17219999999999999</v>
      </c>
      <c r="D2191" s="1">
        <v>0.1883</v>
      </c>
      <c r="E2191" s="1">
        <v>4.3E-3</v>
      </c>
      <c r="F2191" s="1">
        <v>0.1479</v>
      </c>
      <c r="G2191" s="1">
        <v>0.4355</v>
      </c>
      <c r="H2191" s="1">
        <v>8.9999999999999998E-4</v>
      </c>
      <c r="I2191" s="1">
        <v>0.24360000000000001</v>
      </c>
      <c r="J2191" s="1">
        <v>0.38169999999999998</v>
      </c>
      <c r="K2191" s="1">
        <v>7.1300000000000002E-2</v>
      </c>
      <c r="L2191" s="1">
        <v>2.5999999999999999E-2</v>
      </c>
      <c r="M2191">
        <v>115</v>
      </c>
      <c r="N2191">
        <v>131</v>
      </c>
      <c r="O2191">
        <v>968</v>
      </c>
    </row>
    <row r="2192" spans="1:15">
      <c r="A2192" t="s">
        <v>207</v>
      </c>
      <c r="B2192" t="s">
        <v>216</v>
      </c>
      <c r="C2192" s="1">
        <v>5.6000000000000001E-2</v>
      </c>
      <c r="D2192" s="1">
        <v>0.53500000000000003</v>
      </c>
      <c r="E2192" s="1">
        <v>0.187</v>
      </c>
      <c r="F2192" s="1">
        <v>0.2702</v>
      </c>
      <c r="G2192" s="1">
        <v>3.3999999999999998E-3</v>
      </c>
      <c r="H2192" s="1">
        <v>0.31879999999999997</v>
      </c>
      <c r="I2192" s="1">
        <v>5.7099999999999998E-2</v>
      </c>
      <c r="K2192" s="1">
        <v>1.6899999999999998E-2</v>
      </c>
      <c r="L2192" s="1">
        <v>2.5000000000000001E-3</v>
      </c>
      <c r="M2192">
        <v>115</v>
      </c>
      <c r="N2192">
        <v>131</v>
      </c>
      <c r="O2192">
        <v>968</v>
      </c>
    </row>
    <row r="2193" spans="1:15">
      <c r="A2193" t="s">
        <v>208</v>
      </c>
      <c r="B2193" t="s">
        <v>717</v>
      </c>
      <c r="C2193" s="1">
        <v>1.35E-2</v>
      </c>
      <c r="D2193" s="1">
        <v>0.1757</v>
      </c>
      <c r="G2193" s="1">
        <v>4.0500000000000001E-2</v>
      </c>
      <c r="I2193" s="1">
        <v>1.35E-2</v>
      </c>
      <c r="M2193">
        <v>48</v>
      </c>
      <c r="N2193">
        <v>74</v>
      </c>
      <c r="O2193">
        <v>968</v>
      </c>
    </row>
    <row r="2194" spans="1:15">
      <c r="A2194" t="s">
        <v>208</v>
      </c>
      <c r="B2194" t="s">
        <v>718</v>
      </c>
      <c r="C2194" s="1">
        <v>0.78380000000000005</v>
      </c>
      <c r="D2194" s="1">
        <v>0.27029999999999998</v>
      </c>
      <c r="E2194" s="1">
        <v>0.82430000000000003</v>
      </c>
      <c r="F2194" s="1">
        <v>0.68120000000000003</v>
      </c>
      <c r="G2194" s="1">
        <v>0.72970000000000002</v>
      </c>
      <c r="H2194" s="1">
        <v>0.51349999999999996</v>
      </c>
      <c r="I2194" s="1">
        <v>0.70269999999999999</v>
      </c>
      <c r="J2194" s="1">
        <v>0.72970000000000002</v>
      </c>
      <c r="K2194" s="1">
        <v>0.93240000000000001</v>
      </c>
      <c r="L2194" s="1">
        <v>0.97299999999999998</v>
      </c>
      <c r="M2194">
        <v>48</v>
      </c>
      <c r="N2194">
        <v>74</v>
      </c>
      <c r="O2194">
        <v>968</v>
      </c>
    </row>
    <row r="2195" spans="1:15">
      <c r="A2195" t="s">
        <v>208</v>
      </c>
      <c r="B2195" t="s">
        <v>719</v>
      </c>
      <c r="C2195" s="1">
        <v>0.1081</v>
      </c>
      <c r="D2195" s="1">
        <v>0.1351</v>
      </c>
      <c r="F2195" s="1">
        <v>0.1159</v>
      </c>
      <c r="G2195" s="1">
        <v>0.22969999999999999</v>
      </c>
      <c r="H2195" s="1">
        <v>1.35E-2</v>
      </c>
      <c r="I2195" s="1">
        <v>0.1757</v>
      </c>
      <c r="J2195" s="1">
        <v>0.27029999999999998</v>
      </c>
      <c r="K2195" s="1">
        <v>2.7E-2</v>
      </c>
      <c r="M2195">
        <v>48</v>
      </c>
      <c r="N2195">
        <v>74</v>
      </c>
      <c r="O2195">
        <v>968</v>
      </c>
    </row>
    <row r="2196" spans="1:15">
      <c r="A2196" t="s">
        <v>208</v>
      </c>
      <c r="B2196" t="s">
        <v>216</v>
      </c>
      <c r="C2196" s="1">
        <v>9.4600000000000004E-2</v>
      </c>
      <c r="D2196" s="1">
        <v>0.41889999999999999</v>
      </c>
      <c r="E2196" s="1">
        <v>0.1757</v>
      </c>
      <c r="F2196" s="1">
        <v>0.2029</v>
      </c>
      <c r="H2196" s="1">
        <v>0.47299999999999998</v>
      </c>
      <c r="I2196" s="1">
        <v>0.1081</v>
      </c>
      <c r="K2196" s="1">
        <v>4.0500000000000001E-2</v>
      </c>
      <c r="L2196" s="1">
        <v>2.7E-2</v>
      </c>
      <c r="M2196">
        <v>48</v>
      </c>
      <c r="N2196">
        <v>74</v>
      </c>
      <c r="O2196">
        <v>968</v>
      </c>
    </row>
    <row r="2197" spans="1:15">
      <c r="A2197" t="s">
        <v>210</v>
      </c>
      <c r="B2197" t="s">
        <v>717</v>
      </c>
      <c r="C2197" s="1">
        <v>3.44E-2</v>
      </c>
      <c r="D2197" s="1">
        <v>0.1384</v>
      </c>
      <c r="F2197" s="1">
        <v>5.6000000000000001E-2</v>
      </c>
      <c r="G2197" s="1">
        <v>3.44E-2</v>
      </c>
      <c r="H2197" s="1">
        <v>8.3000000000000001E-3</v>
      </c>
      <c r="J2197" s="1">
        <v>1.67E-2</v>
      </c>
      <c r="M2197">
        <v>5</v>
      </c>
      <c r="N2197">
        <v>74</v>
      </c>
      <c r="O2197">
        <v>968</v>
      </c>
    </row>
    <row r="2198" spans="1:15">
      <c r="A2198" t="s">
        <v>210</v>
      </c>
      <c r="B2198" t="s">
        <v>718</v>
      </c>
      <c r="C2198" s="1">
        <v>0.76580000000000004</v>
      </c>
      <c r="D2198" s="1">
        <v>0.24349999999999999</v>
      </c>
      <c r="E2198" s="1">
        <v>0.87919999999999998</v>
      </c>
      <c r="F2198" s="1">
        <v>0.58679999999999999</v>
      </c>
      <c r="G2198" s="1">
        <v>0.7752</v>
      </c>
      <c r="H2198" s="1">
        <v>0.58169999999999999</v>
      </c>
      <c r="I2198" s="1">
        <v>0.81889999999999996</v>
      </c>
      <c r="J2198" s="1">
        <v>0.73150000000000004</v>
      </c>
      <c r="K2198" s="1">
        <v>0.69510000000000005</v>
      </c>
      <c r="L2198" s="1">
        <v>0.95630000000000004</v>
      </c>
      <c r="M2198">
        <v>5</v>
      </c>
      <c r="N2198">
        <v>74</v>
      </c>
      <c r="O2198">
        <v>968</v>
      </c>
    </row>
    <row r="2199" spans="1:15">
      <c r="A2199" t="s">
        <v>210</v>
      </c>
      <c r="B2199" t="s">
        <v>719</v>
      </c>
      <c r="C2199" s="1">
        <v>0.14779999999999999</v>
      </c>
      <c r="D2199" s="1">
        <v>0.1321</v>
      </c>
      <c r="E2199" s="1">
        <v>1.77E-2</v>
      </c>
      <c r="F2199" s="1">
        <v>8.0399999999999999E-2</v>
      </c>
      <c r="G2199" s="1">
        <v>0.17380000000000001</v>
      </c>
      <c r="I2199" s="1">
        <v>0.15609999999999999</v>
      </c>
      <c r="J2199" s="1">
        <v>0.25180000000000002</v>
      </c>
      <c r="K2199" s="1">
        <v>6.8699999999999997E-2</v>
      </c>
      <c r="L2199" s="1">
        <v>2.5999999999999999E-2</v>
      </c>
      <c r="M2199">
        <v>5</v>
      </c>
      <c r="N2199">
        <v>74</v>
      </c>
      <c r="O2199">
        <v>968</v>
      </c>
    </row>
    <row r="2200" spans="1:15">
      <c r="A2200" t="s">
        <v>210</v>
      </c>
      <c r="B2200" t="s">
        <v>216</v>
      </c>
      <c r="C2200" s="1">
        <v>5.1999999999999998E-2</v>
      </c>
      <c r="D2200" s="1">
        <v>0.48599999999999999</v>
      </c>
      <c r="E2200" s="1">
        <v>0.1031</v>
      </c>
      <c r="F2200" s="1">
        <v>0.27679999999999999</v>
      </c>
      <c r="G2200" s="1">
        <v>1.67E-2</v>
      </c>
      <c r="H2200" s="1">
        <v>0.40989999999999999</v>
      </c>
      <c r="I2200" s="1">
        <v>2.5000000000000001E-2</v>
      </c>
      <c r="K2200" s="1">
        <v>0.2361</v>
      </c>
      <c r="L2200" s="1">
        <v>1.77E-2</v>
      </c>
      <c r="M2200">
        <v>5</v>
      </c>
      <c r="N2200">
        <v>74</v>
      </c>
      <c r="O2200">
        <v>968</v>
      </c>
    </row>
    <row r="2201" spans="1:15">
      <c r="A2201" t="s">
        <v>211</v>
      </c>
      <c r="B2201" t="s">
        <v>718</v>
      </c>
      <c r="C2201" s="1">
        <v>0.81589999999999996</v>
      </c>
      <c r="D2201" s="1">
        <v>0.25380000000000003</v>
      </c>
      <c r="E2201" s="1">
        <v>0.77910000000000001</v>
      </c>
      <c r="F2201" s="1">
        <v>0.54859999999999998</v>
      </c>
      <c r="G2201" s="1">
        <v>0.68330000000000002</v>
      </c>
      <c r="H2201" s="1">
        <v>0.59840000000000004</v>
      </c>
      <c r="I2201" s="1">
        <v>0.78339999999999999</v>
      </c>
      <c r="J2201" s="1">
        <v>0.66339999999999999</v>
      </c>
      <c r="K2201" s="1">
        <v>0.91830000000000001</v>
      </c>
      <c r="L2201" s="1">
        <v>0.94030000000000002</v>
      </c>
      <c r="M2201">
        <v>36</v>
      </c>
      <c r="N2201">
        <v>97</v>
      </c>
      <c r="O2201">
        <v>968</v>
      </c>
    </row>
    <row r="2202" spans="1:15">
      <c r="A2202" t="s">
        <v>211</v>
      </c>
      <c r="B2202" t="s">
        <v>719</v>
      </c>
      <c r="C2202" s="1">
        <v>0.1721</v>
      </c>
      <c r="D2202" s="1">
        <v>0.2283</v>
      </c>
      <c r="E2202" s="1">
        <v>2.7900000000000001E-2</v>
      </c>
      <c r="F2202" s="1">
        <v>0.16300000000000001</v>
      </c>
      <c r="G2202" s="1">
        <v>0.29270000000000002</v>
      </c>
      <c r="H2202" s="1">
        <v>2.3699999999999999E-2</v>
      </c>
      <c r="I2202" s="1">
        <v>0.1053</v>
      </c>
      <c r="J2202" s="1">
        <v>0.33660000000000001</v>
      </c>
      <c r="K2202" s="1">
        <v>6.9599999999999995E-2</v>
      </c>
      <c r="L2202" s="1">
        <v>4.0300000000000002E-2</v>
      </c>
      <c r="M2202">
        <v>36</v>
      </c>
      <c r="N2202">
        <v>97</v>
      </c>
      <c r="O2202">
        <v>968</v>
      </c>
    </row>
    <row r="2203" spans="1:15">
      <c r="A2203" t="s">
        <v>211</v>
      </c>
      <c r="B2203" t="s">
        <v>216</v>
      </c>
      <c r="C2203" s="1">
        <v>1.2E-2</v>
      </c>
      <c r="D2203" s="1">
        <v>0.41649999999999998</v>
      </c>
      <c r="E2203" s="1">
        <v>0.1658</v>
      </c>
      <c r="F2203" s="1">
        <v>0.28839999999999999</v>
      </c>
      <c r="G2203" s="1">
        <v>2.4E-2</v>
      </c>
      <c r="H2203" s="1">
        <v>0.36170000000000002</v>
      </c>
      <c r="I2203" s="1">
        <v>9.6100000000000005E-2</v>
      </c>
      <c r="K2203" s="1">
        <v>1.2E-2</v>
      </c>
      <c r="L2203" s="1">
        <v>1.9400000000000001E-2</v>
      </c>
      <c r="M2203">
        <v>36</v>
      </c>
      <c r="N2203">
        <v>97</v>
      </c>
      <c r="O2203">
        <v>968</v>
      </c>
    </row>
    <row r="2204" spans="1:15">
      <c r="A2204" t="s">
        <v>212</v>
      </c>
      <c r="B2204" t="s">
        <v>717</v>
      </c>
      <c r="C2204" s="1">
        <v>5.5899999999999998E-2</v>
      </c>
      <c r="D2204" s="1">
        <v>0.14030000000000001</v>
      </c>
      <c r="G2204" s="1">
        <v>3.95E-2</v>
      </c>
      <c r="J2204" s="1">
        <v>2.5600000000000001E-2</v>
      </c>
      <c r="M2204">
        <v>81</v>
      </c>
      <c r="N2204">
        <v>85</v>
      </c>
      <c r="O2204">
        <v>968</v>
      </c>
    </row>
    <row r="2205" spans="1:15">
      <c r="A2205" t="s">
        <v>212</v>
      </c>
      <c r="B2205" t="s">
        <v>718</v>
      </c>
      <c r="C2205" s="1">
        <v>0.75609999999999999</v>
      </c>
      <c r="D2205" s="1">
        <v>0.20749999999999999</v>
      </c>
      <c r="E2205" s="1">
        <v>0.85189999999999999</v>
      </c>
      <c r="F2205" s="1">
        <v>0.5917</v>
      </c>
      <c r="G2205" s="1">
        <v>0.7349</v>
      </c>
      <c r="H2205" s="1">
        <v>0.53459999999999996</v>
      </c>
      <c r="I2205" s="1">
        <v>0.71589999999999998</v>
      </c>
      <c r="J2205" s="1">
        <v>0.72489999999999999</v>
      </c>
      <c r="K2205" s="1">
        <v>0.88490000000000002</v>
      </c>
      <c r="L2205" s="1">
        <v>0.94650000000000001</v>
      </c>
      <c r="M2205">
        <v>81</v>
      </c>
      <c r="N2205">
        <v>85</v>
      </c>
      <c r="O2205">
        <v>968</v>
      </c>
    </row>
    <row r="2206" spans="1:15">
      <c r="A2206" t="s">
        <v>212</v>
      </c>
      <c r="B2206" t="s">
        <v>719</v>
      </c>
      <c r="C2206" s="1">
        <v>0.1041</v>
      </c>
      <c r="D2206" s="1">
        <v>0.13930000000000001</v>
      </c>
      <c r="E2206" s="1">
        <v>1.4E-2</v>
      </c>
      <c r="F2206" s="1">
        <v>5.8299999999999998E-2</v>
      </c>
      <c r="G2206" s="1">
        <v>0.1976</v>
      </c>
      <c r="I2206" s="1">
        <v>0.18360000000000001</v>
      </c>
      <c r="J2206" s="1">
        <v>0.2495</v>
      </c>
      <c r="K2206" s="1">
        <v>3.95E-2</v>
      </c>
      <c r="L2206" s="1">
        <v>2.5600000000000001E-2</v>
      </c>
      <c r="M2206">
        <v>81</v>
      </c>
      <c r="N2206">
        <v>85</v>
      </c>
      <c r="O2206">
        <v>968</v>
      </c>
    </row>
    <row r="2207" spans="1:15">
      <c r="A2207" t="s">
        <v>212</v>
      </c>
      <c r="B2207" t="s">
        <v>216</v>
      </c>
      <c r="C2207" s="1">
        <v>8.3799999999999999E-2</v>
      </c>
      <c r="D2207" s="1">
        <v>0.51290000000000002</v>
      </c>
      <c r="E2207" s="1">
        <v>0.1341</v>
      </c>
      <c r="F2207" s="1">
        <v>0.35010000000000002</v>
      </c>
      <c r="G2207" s="1">
        <v>2.7900000000000001E-2</v>
      </c>
      <c r="H2207" s="1">
        <v>0.46539999999999998</v>
      </c>
      <c r="I2207" s="1">
        <v>0.1004</v>
      </c>
      <c r="K2207" s="1">
        <v>7.5499999999999998E-2</v>
      </c>
      <c r="L2207" s="1">
        <v>2.7900000000000001E-2</v>
      </c>
      <c r="M2207">
        <v>81</v>
      </c>
      <c r="N2207">
        <v>85</v>
      </c>
      <c r="O2207">
        <v>968</v>
      </c>
    </row>
    <row r="2209" spans="1:16">
      <c r="A2209" t="s">
        <v>720</v>
      </c>
    </row>
    <row r="2210" spans="1:16">
      <c r="A2210" t="s">
        <v>190</v>
      </c>
      <c r="B2210" t="s">
        <v>214</v>
      </c>
      <c r="C2210" t="s">
        <v>705</v>
      </c>
      <c r="D2210" t="s">
        <v>706</v>
      </c>
      <c r="E2210" t="s">
        <v>707</v>
      </c>
      <c r="F2210" t="s">
        <v>708</v>
      </c>
      <c r="G2210" t="s">
        <v>709</v>
      </c>
      <c r="H2210" t="s">
        <v>710</v>
      </c>
      <c r="I2210" t="s">
        <v>711</v>
      </c>
      <c r="J2210" t="s">
        <v>712</v>
      </c>
      <c r="K2210" t="s">
        <v>713</v>
      </c>
      <c r="L2210" t="s">
        <v>714</v>
      </c>
      <c r="M2210" t="s">
        <v>715</v>
      </c>
      <c r="N2210" t="s">
        <v>716</v>
      </c>
      <c r="O2210" t="s">
        <v>195</v>
      </c>
      <c r="P2210" t="s">
        <v>196</v>
      </c>
    </row>
    <row r="2211" spans="1:16">
      <c r="A2211" t="s">
        <v>198</v>
      </c>
      <c r="B2211" t="s">
        <v>198</v>
      </c>
      <c r="C2211" t="s">
        <v>717</v>
      </c>
      <c r="D2211" s="1">
        <v>1.47E-2</v>
      </c>
      <c r="E2211" s="1">
        <v>8.8599999999999998E-2</v>
      </c>
      <c r="F2211" s="1">
        <v>5.1999999999999998E-3</v>
      </c>
      <c r="G2211" s="1">
        <v>4.7999999999999996E-3</v>
      </c>
      <c r="H2211" s="1">
        <v>1.77E-2</v>
      </c>
      <c r="I2211" s="1">
        <v>3.7000000000000002E-3</v>
      </c>
      <c r="J2211" s="1">
        <v>1.6000000000000001E-3</v>
      </c>
      <c r="K2211" s="1">
        <v>2.8999999999999998E-3</v>
      </c>
      <c r="L2211" s="1">
        <v>6.9999999999999999E-4</v>
      </c>
      <c r="N2211">
        <v>968</v>
      </c>
      <c r="O2211">
        <v>968</v>
      </c>
      <c r="P2211">
        <v>968</v>
      </c>
    </row>
    <row r="2212" spans="1:16">
      <c r="A2212" t="s">
        <v>198</v>
      </c>
      <c r="B2212" t="s">
        <v>198</v>
      </c>
      <c r="C2212" t="s">
        <v>718</v>
      </c>
      <c r="D2212" s="1">
        <v>0.75760000000000005</v>
      </c>
      <c r="E2212" s="1">
        <v>0.33950000000000002</v>
      </c>
      <c r="F2212" s="1">
        <v>0.85850000000000004</v>
      </c>
      <c r="G2212" s="1">
        <v>0.67620000000000002</v>
      </c>
      <c r="H2212" s="1">
        <v>0.70699999999999996</v>
      </c>
      <c r="I2212" s="1">
        <v>0.64859999999999995</v>
      </c>
      <c r="J2212" s="1">
        <v>0.74209999999999998</v>
      </c>
      <c r="K2212" s="1">
        <v>0.66239999999999999</v>
      </c>
      <c r="L2212" s="1">
        <v>0.88380000000000003</v>
      </c>
      <c r="M2212" s="1">
        <v>0.95789999999999997</v>
      </c>
      <c r="N2212">
        <v>968</v>
      </c>
      <c r="O2212">
        <v>968</v>
      </c>
      <c r="P2212">
        <v>968</v>
      </c>
    </row>
    <row r="2213" spans="1:16">
      <c r="A2213" t="s">
        <v>198</v>
      </c>
      <c r="B2213" t="s">
        <v>198</v>
      </c>
      <c r="C2213" t="s">
        <v>719</v>
      </c>
      <c r="D2213" s="1">
        <v>0.1787</v>
      </c>
      <c r="E2213" s="1">
        <v>0.14330000000000001</v>
      </c>
      <c r="F2213" s="1">
        <v>1.4E-2</v>
      </c>
      <c r="G2213" s="1">
        <v>7.8600000000000003E-2</v>
      </c>
      <c r="H2213" s="1">
        <v>0.25779999999999997</v>
      </c>
      <c r="I2213" s="1">
        <v>1.8800000000000001E-2</v>
      </c>
      <c r="J2213" s="1">
        <v>0.20180000000000001</v>
      </c>
      <c r="K2213" s="1">
        <v>0.33040000000000003</v>
      </c>
      <c r="L2213" s="1">
        <v>6.7100000000000007E-2</v>
      </c>
      <c r="M2213" s="1">
        <v>2.92E-2</v>
      </c>
      <c r="N2213">
        <v>968</v>
      </c>
      <c r="O2213">
        <v>968</v>
      </c>
      <c r="P2213">
        <v>968</v>
      </c>
    </row>
    <row r="2214" spans="1:16">
      <c r="A2214" t="s">
        <v>198</v>
      </c>
      <c r="B2214" t="s">
        <v>198</v>
      </c>
      <c r="C2214" t="s">
        <v>216</v>
      </c>
      <c r="D2214" s="1">
        <v>4.8899999999999999E-2</v>
      </c>
      <c r="E2214" s="1">
        <v>0.42870000000000003</v>
      </c>
      <c r="F2214" s="1">
        <v>0.1222</v>
      </c>
      <c r="G2214" s="1">
        <v>0.2404</v>
      </c>
      <c r="H2214" s="1">
        <v>1.7500000000000002E-2</v>
      </c>
      <c r="I2214" s="1">
        <v>0.32890000000000003</v>
      </c>
      <c r="J2214" s="1">
        <v>5.4600000000000003E-2</v>
      </c>
      <c r="K2214" s="1">
        <v>4.3E-3</v>
      </c>
      <c r="L2214" s="1">
        <v>4.8399999999999999E-2</v>
      </c>
      <c r="M2214" s="1">
        <v>1.29E-2</v>
      </c>
      <c r="N2214">
        <v>968</v>
      </c>
      <c r="O2214">
        <v>968</v>
      </c>
      <c r="P2214">
        <v>968</v>
      </c>
    </row>
    <row r="2215" spans="1:16" s="26" customFormat="1">
      <c r="A2215" s="26" t="s">
        <v>200</v>
      </c>
      <c r="B2215" s="26" t="s">
        <v>236</v>
      </c>
      <c r="C2215" s="26" t="s">
        <v>717</v>
      </c>
      <c r="D2215" s="27">
        <v>0.1323</v>
      </c>
      <c r="E2215" s="27">
        <v>0.41349999999999998</v>
      </c>
      <c r="N2215" s="26">
        <v>10</v>
      </c>
      <c r="O2215" s="26">
        <v>24</v>
      </c>
      <c r="P2215" s="26">
        <v>968</v>
      </c>
    </row>
    <row r="2216" spans="1:16" s="26" customFormat="1">
      <c r="A2216" s="26" t="s">
        <v>200</v>
      </c>
      <c r="B2216" s="26" t="s">
        <v>236</v>
      </c>
      <c r="C2216" s="26" t="s">
        <v>718</v>
      </c>
      <c r="D2216" s="27">
        <v>0.73209999999999997</v>
      </c>
      <c r="E2216" s="27">
        <v>0.25779999999999997</v>
      </c>
      <c r="F2216" s="27">
        <v>0.81510000000000005</v>
      </c>
      <c r="G2216" s="27">
        <v>0.64570000000000005</v>
      </c>
      <c r="H2216" s="27">
        <v>0.72870000000000001</v>
      </c>
      <c r="I2216" s="27">
        <v>0.51800000000000002</v>
      </c>
      <c r="J2216" s="27">
        <v>0.63100000000000001</v>
      </c>
      <c r="K2216" s="27">
        <v>0.73209999999999997</v>
      </c>
      <c r="L2216" s="27">
        <v>0.99660000000000004</v>
      </c>
      <c r="M2216" s="27">
        <v>0.99660000000000004</v>
      </c>
      <c r="N2216" s="26">
        <v>10</v>
      </c>
      <c r="O2216" s="26">
        <v>24</v>
      </c>
      <c r="P2216" s="26">
        <v>968</v>
      </c>
    </row>
    <row r="2217" spans="1:16" s="26" customFormat="1">
      <c r="A2217" s="26" t="s">
        <v>200</v>
      </c>
      <c r="B2217" s="26" t="s">
        <v>236</v>
      </c>
      <c r="C2217" s="26" t="s">
        <v>719</v>
      </c>
      <c r="D2217" s="27">
        <v>0.1356</v>
      </c>
      <c r="E2217" s="27">
        <v>0.10780000000000001</v>
      </c>
      <c r="G2217" s="27">
        <v>0.17219999999999999</v>
      </c>
      <c r="H2217" s="27">
        <v>0.27129999999999999</v>
      </c>
      <c r="I2217" s="27">
        <v>0.25779999999999997</v>
      </c>
      <c r="J2217" s="27">
        <v>0.33310000000000001</v>
      </c>
      <c r="K2217" s="27">
        <v>0.26790000000000003</v>
      </c>
      <c r="L2217" s="27">
        <v>3.3999999999999998E-3</v>
      </c>
      <c r="N2217" s="26">
        <v>10</v>
      </c>
      <c r="O2217" s="26">
        <v>24</v>
      </c>
      <c r="P2217" s="26">
        <v>968</v>
      </c>
    </row>
    <row r="2218" spans="1:16">
      <c r="A2218" t="s">
        <v>200</v>
      </c>
      <c r="B2218" t="s">
        <v>235</v>
      </c>
      <c r="C2218" t="s">
        <v>717</v>
      </c>
      <c r="D2218" s="1">
        <v>6.0000000000000001E-3</v>
      </c>
      <c r="E2218" s="1">
        <v>0.14199999999999999</v>
      </c>
      <c r="K2218" s="1">
        <v>3.0000000000000001E-3</v>
      </c>
      <c r="N2218">
        <v>11</v>
      </c>
      <c r="O2218">
        <v>46</v>
      </c>
      <c r="P2218">
        <v>968</v>
      </c>
    </row>
    <row r="2219" spans="1:16">
      <c r="A2219" t="s">
        <v>200</v>
      </c>
      <c r="B2219" t="s">
        <v>235</v>
      </c>
      <c r="C2219" t="s">
        <v>718</v>
      </c>
      <c r="D2219" s="1">
        <v>0.85260000000000002</v>
      </c>
      <c r="E2219" s="1">
        <v>0.1242</v>
      </c>
      <c r="F2219" s="1">
        <v>0.89970000000000006</v>
      </c>
      <c r="G2219" s="1">
        <v>0.8871</v>
      </c>
      <c r="H2219" s="1">
        <v>0.88470000000000004</v>
      </c>
      <c r="I2219" s="1">
        <v>0.6694</v>
      </c>
      <c r="J2219" s="1">
        <v>0.88470000000000004</v>
      </c>
      <c r="K2219" s="1">
        <v>0.89070000000000005</v>
      </c>
      <c r="L2219" s="1">
        <v>0.89970000000000006</v>
      </c>
      <c r="M2219" s="1">
        <v>0.997</v>
      </c>
      <c r="N2219">
        <v>11</v>
      </c>
      <c r="O2219">
        <v>46</v>
      </c>
      <c r="P2219">
        <v>968</v>
      </c>
    </row>
    <row r="2220" spans="1:16">
      <c r="A2220" t="s">
        <v>200</v>
      </c>
      <c r="B2220" t="s">
        <v>235</v>
      </c>
      <c r="C2220" t="s">
        <v>719</v>
      </c>
      <c r="D2220" s="1">
        <v>0.12939999999999999</v>
      </c>
      <c r="E2220" s="1">
        <v>5.0099999999999999E-2</v>
      </c>
      <c r="G2220" s="1">
        <v>1.21E-2</v>
      </c>
      <c r="H2220" s="1">
        <v>2.7E-2</v>
      </c>
      <c r="J2220" s="1">
        <v>0.1123</v>
      </c>
      <c r="K2220" s="1">
        <v>0.10630000000000001</v>
      </c>
      <c r="L2220" s="1">
        <v>6.0000000000000001E-3</v>
      </c>
      <c r="M2220" s="1">
        <v>3.0000000000000001E-3</v>
      </c>
      <c r="N2220">
        <v>11</v>
      </c>
      <c r="O2220">
        <v>46</v>
      </c>
      <c r="P2220">
        <v>968</v>
      </c>
    </row>
    <row r="2221" spans="1:16">
      <c r="A2221" t="s">
        <v>200</v>
      </c>
      <c r="B2221" t="s">
        <v>235</v>
      </c>
      <c r="C2221" t="s">
        <v>216</v>
      </c>
      <c r="D2221" s="1">
        <v>1.2E-2</v>
      </c>
      <c r="E2221" s="1">
        <v>0.68359999999999999</v>
      </c>
      <c r="F2221" s="1">
        <v>0.1003</v>
      </c>
      <c r="G2221" s="1">
        <v>0.1009</v>
      </c>
      <c r="H2221" s="1">
        <v>8.8300000000000003E-2</v>
      </c>
      <c r="I2221" s="1">
        <v>0.3306</v>
      </c>
      <c r="J2221" s="1">
        <v>3.0000000000000001E-3</v>
      </c>
      <c r="L2221" s="1">
        <v>9.4299999999999995E-2</v>
      </c>
      <c r="N2221">
        <v>11</v>
      </c>
      <c r="O2221">
        <v>46</v>
      </c>
      <c r="P2221">
        <v>968</v>
      </c>
    </row>
    <row r="2222" spans="1:16">
      <c r="A2222" t="s">
        <v>201</v>
      </c>
      <c r="B2222" t="s">
        <v>235</v>
      </c>
      <c r="C2222" t="s">
        <v>717</v>
      </c>
      <c r="D2222" s="1">
        <v>1.04E-2</v>
      </c>
      <c r="E2222" s="1">
        <v>8.3299999999999999E-2</v>
      </c>
      <c r="F2222" s="1">
        <v>1.04E-2</v>
      </c>
      <c r="H2222" s="1">
        <v>1.04E-2</v>
      </c>
      <c r="N2222">
        <v>143</v>
      </c>
      <c r="O2222">
        <v>96</v>
      </c>
      <c r="P2222">
        <v>968</v>
      </c>
    </row>
    <row r="2223" spans="1:16">
      <c r="A2223" t="s">
        <v>201</v>
      </c>
      <c r="B2223" t="s">
        <v>235</v>
      </c>
      <c r="C2223" t="s">
        <v>718</v>
      </c>
      <c r="D2223" s="1">
        <v>0.70830000000000004</v>
      </c>
      <c r="E2223" s="1">
        <v>0.32290000000000002</v>
      </c>
      <c r="F2223" s="1">
        <v>0.86460000000000004</v>
      </c>
      <c r="G2223" s="1">
        <v>0.66669999999999996</v>
      </c>
      <c r="H2223" s="1">
        <v>0.8125</v>
      </c>
      <c r="I2223" s="1">
        <v>0.59379999999999999</v>
      </c>
      <c r="J2223" s="1">
        <v>0.85419999999999996</v>
      </c>
      <c r="K2223" s="1">
        <v>0.73960000000000004</v>
      </c>
      <c r="L2223" s="1">
        <v>0.90620000000000001</v>
      </c>
      <c r="M2223" s="1">
        <v>0.9375</v>
      </c>
      <c r="N2223">
        <v>143</v>
      </c>
      <c r="O2223">
        <v>96</v>
      </c>
      <c r="P2223">
        <v>968</v>
      </c>
    </row>
    <row r="2224" spans="1:16">
      <c r="A2224" t="s">
        <v>201</v>
      </c>
      <c r="B2224" t="s">
        <v>235</v>
      </c>
      <c r="C2224" t="s">
        <v>719</v>
      </c>
      <c r="D2224" s="1">
        <v>0.22919999999999999</v>
      </c>
      <c r="E2224" s="1">
        <v>6.25E-2</v>
      </c>
      <c r="F2224" s="1">
        <v>2.0799999999999999E-2</v>
      </c>
      <c r="G2224" s="1">
        <v>4.2999999999999997E-2</v>
      </c>
      <c r="H2224" s="1">
        <v>0.15620000000000001</v>
      </c>
      <c r="I2224" s="1">
        <v>1.04E-2</v>
      </c>
      <c r="J2224" s="1">
        <v>9.3799999999999994E-2</v>
      </c>
      <c r="K2224" s="1">
        <v>0.25</v>
      </c>
      <c r="L2224" s="1">
        <v>5.21E-2</v>
      </c>
      <c r="M2224" s="1">
        <v>5.21E-2</v>
      </c>
      <c r="N2224">
        <v>143</v>
      </c>
      <c r="O2224">
        <v>96</v>
      </c>
      <c r="P2224">
        <v>968</v>
      </c>
    </row>
    <row r="2225" spans="1:16">
      <c r="A2225" t="s">
        <v>201</v>
      </c>
      <c r="B2225" t="s">
        <v>235</v>
      </c>
      <c r="C2225" t="s">
        <v>216</v>
      </c>
      <c r="D2225" s="1">
        <v>5.21E-2</v>
      </c>
      <c r="E2225" s="1">
        <v>0.53120000000000001</v>
      </c>
      <c r="F2225" s="1">
        <v>0.1042</v>
      </c>
      <c r="G2225" s="1">
        <v>0.2903</v>
      </c>
      <c r="H2225" s="1">
        <v>2.0799999999999999E-2</v>
      </c>
      <c r="I2225" s="1">
        <v>0.39579999999999999</v>
      </c>
      <c r="J2225" s="1">
        <v>5.21E-2</v>
      </c>
      <c r="K2225" s="1">
        <v>1.04E-2</v>
      </c>
      <c r="L2225" s="1">
        <v>4.1700000000000001E-2</v>
      </c>
      <c r="M2225" s="1">
        <v>1.04E-2</v>
      </c>
      <c r="N2225">
        <v>143</v>
      </c>
      <c r="O2225">
        <v>96</v>
      </c>
      <c r="P2225">
        <v>968</v>
      </c>
    </row>
    <row r="2226" spans="1:16">
      <c r="A2226" t="s">
        <v>202</v>
      </c>
      <c r="B2226" t="s">
        <v>236</v>
      </c>
      <c r="C2226" t="s">
        <v>718</v>
      </c>
      <c r="D2226" s="1">
        <v>0.84930000000000005</v>
      </c>
      <c r="E2226" s="1">
        <v>0.437</v>
      </c>
      <c r="F2226" s="1">
        <v>0.97670000000000001</v>
      </c>
      <c r="G2226" s="1">
        <v>0.73719999999999997</v>
      </c>
      <c r="H2226" s="1">
        <v>0.60350000000000004</v>
      </c>
      <c r="I2226" s="1">
        <v>0.81850000000000001</v>
      </c>
      <c r="J2226" s="1">
        <v>0.83960000000000001</v>
      </c>
      <c r="K2226" s="1">
        <v>0.61260000000000003</v>
      </c>
      <c r="L2226" s="1">
        <v>0.92330000000000001</v>
      </c>
      <c r="M2226" s="1">
        <v>0.94389999999999996</v>
      </c>
      <c r="N2226">
        <v>46</v>
      </c>
      <c r="O2226">
        <v>37</v>
      </c>
      <c r="P2226">
        <v>968</v>
      </c>
    </row>
    <row r="2227" spans="1:16">
      <c r="A2227" t="s">
        <v>202</v>
      </c>
      <c r="B2227" t="s">
        <v>236</v>
      </c>
      <c r="C2227" t="s">
        <v>719</v>
      </c>
      <c r="D2227" s="1">
        <v>8.5699999999999998E-2</v>
      </c>
      <c r="E2227" s="1">
        <v>0.1726</v>
      </c>
      <c r="G2227" s="1">
        <v>5.4100000000000002E-2</v>
      </c>
      <c r="H2227" s="1">
        <v>0.36420000000000002</v>
      </c>
      <c r="I2227" s="1">
        <v>3.2800000000000003E-2</v>
      </c>
      <c r="J2227" s="1">
        <v>0.16039999999999999</v>
      </c>
      <c r="K2227" s="1">
        <v>0.35510000000000003</v>
      </c>
      <c r="L2227" s="1">
        <v>4.3900000000000002E-2</v>
      </c>
      <c r="N2227">
        <v>46</v>
      </c>
      <c r="O2227">
        <v>37</v>
      </c>
      <c r="P2227">
        <v>968</v>
      </c>
    </row>
    <row r="2228" spans="1:16">
      <c r="A2228" t="s">
        <v>202</v>
      </c>
      <c r="B2228" t="s">
        <v>236</v>
      </c>
      <c r="C2228" t="s">
        <v>216</v>
      </c>
      <c r="D2228" s="1">
        <v>6.5100000000000005E-2</v>
      </c>
      <c r="E2228" s="1">
        <v>0.39040000000000002</v>
      </c>
      <c r="F2228" s="1">
        <v>2.3300000000000001E-2</v>
      </c>
      <c r="G2228" s="1">
        <v>0.2087</v>
      </c>
      <c r="I2228" s="1">
        <v>0.1487</v>
      </c>
      <c r="K2228" s="1">
        <v>3.2300000000000002E-2</v>
      </c>
      <c r="L2228" s="1">
        <v>3.2800000000000003E-2</v>
      </c>
      <c r="M2228" s="1">
        <v>5.6099999999999997E-2</v>
      </c>
      <c r="N2228">
        <v>46</v>
      </c>
      <c r="O2228">
        <v>37</v>
      </c>
      <c r="P2228">
        <v>968</v>
      </c>
    </row>
    <row r="2229" spans="1:16">
      <c r="A2229" t="s">
        <v>202</v>
      </c>
      <c r="B2229" t="s">
        <v>235</v>
      </c>
      <c r="C2229" t="s">
        <v>717</v>
      </c>
      <c r="D2229" s="1">
        <v>3.61E-2</v>
      </c>
      <c r="E2229" s="1">
        <v>4.4900000000000002E-2</v>
      </c>
      <c r="H2229" s="1">
        <v>2.1299999999999999E-2</v>
      </c>
      <c r="N2229">
        <v>64</v>
      </c>
      <c r="O2229">
        <v>60</v>
      </c>
      <c r="P2229">
        <v>968</v>
      </c>
    </row>
    <row r="2230" spans="1:16">
      <c r="A2230" t="s">
        <v>202</v>
      </c>
      <c r="B2230" t="s">
        <v>235</v>
      </c>
      <c r="C2230" t="s">
        <v>718</v>
      </c>
      <c r="D2230" s="1">
        <v>0.69379999999999997</v>
      </c>
      <c r="E2230" s="1">
        <v>0.29170000000000001</v>
      </c>
      <c r="F2230" s="1">
        <v>0.80379999999999996</v>
      </c>
      <c r="G2230" s="1">
        <v>0.71689999999999998</v>
      </c>
      <c r="H2230" s="1">
        <v>0.65549999999999997</v>
      </c>
      <c r="I2230" s="1">
        <v>0.68589999999999995</v>
      </c>
      <c r="J2230" s="1">
        <v>0.69489999999999996</v>
      </c>
      <c r="K2230" s="1">
        <v>0.68279999999999996</v>
      </c>
      <c r="L2230" s="1">
        <v>0.85260000000000002</v>
      </c>
      <c r="M2230" s="1">
        <v>0.91339999999999999</v>
      </c>
      <c r="N2230">
        <v>64</v>
      </c>
      <c r="O2230">
        <v>60</v>
      </c>
      <c r="P2230">
        <v>968</v>
      </c>
    </row>
    <row r="2231" spans="1:16">
      <c r="A2231" t="s">
        <v>202</v>
      </c>
      <c r="B2231" t="s">
        <v>235</v>
      </c>
      <c r="C2231" t="s">
        <v>719</v>
      </c>
      <c r="D2231" s="1">
        <v>0.22559999999999999</v>
      </c>
      <c r="E2231" s="1">
        <v>0.25619999999999998</v>
      </c>
      <c r="F2231" s="1">
        <v>6.3E-2</v>
      </c>
      <c r="G2231" s="1">
        <v>0.1147</v>
      </c>
      <c r="H2231" s="1">
        <v>0.27639999999999998</v>
      </c>
      <c r="I2231" s="1">
        <v>8.5300000000000001E-2</v>
      </c>
      <c r="J2231" s="1">
        <v>0.2029</v>
      </c>
      <c r="K2231" s="1">
        <v>0.31719999999999998</v>
      </c>
      <c r="L2231" s="1">
        <v>0.12379999999999999</v>
      </c>
      <c r="M2231" s="1">
        <v>8.6599999999999996E-2</v>
      </c>
      <c r="N2231">
        <v>64</v>
      </c>
      <c r="O2231">
        <v>60</v>
      </c>
      <c r="P2231">
        <v>968</v>
      </c>
    </row>
    <row r="2232" spans="1:16">
      <c r="A2232" t="s">
        <v>202</v>
      </c>
      <c r="B2232" t="s">
        <v>235</v>
      </c>
      <c r="C2232" t="s">
        <v>216</v>
      </c>
      <c r="D2232" s="1">
        <v>4.4499999999999998E-2</v>
      </c>
      <c r="E2232" s="1">
        <v>0.40720000000000001</v>
      </c>
      <c r="F2232" s="1">
        <v>0.13320000000000001</v>
      </c>
      <c r="G2232" s="1">
        <v>0.16839999999999999</v>
      </c>
      <c r="H2232" s="1">
        <v>4.6800000000000001E-2</v>
      </c>
      <c r="I2232" s="1">
        <v>0.2288</v>
      </c>
      <c r="J2232" s="1">
        <v>0.1023</v>
      </c>
      <c r="L2232" s="1">
        <v>2.3599999999999999E-2</v>
      </c>
      <c r="N2232">
        <v>64</v>
      </c>
      <c r="O2232">
        <v>60</v>
      </c>
      <c r="P2232">
        <v>968</v>
      </c>
    </row>
    <row r="2233" spans="1:16">
      <c r="A2233" t="s">
        <v>203</v>
      </c>
      <c r="B2233" t="s">
        <v>236</v>
      </c>
      <c r="C2233" t="s">
        <v>718</v>
      </c>
      <c r="D2233" s="1">
        <v>0.76219999999999999</v>
      </c>
      <c r="E2233" s="1">
        <v>0.26869999999999999</v>
      </c>
      <c r="F2233" s="1">
        <v>0.8256</v>
      </c>
      <c r="G2233" s="1">
        <v>0.55410000000000004</v>
      </c>
      <c r="H2233" s="1">
        <v>0.74909999999999999</v>
      </c>
      <c r="I2233" s="1">
        <v>0.68579999999999997</v>
      </c>
      <c r="J2233" s="1">
        <v>0.77300000000000002</v>
      </c>
      <c r="K2233" s="1">
        <v>0.77059999999999995</v>
      </c>
      <c r="L2233" s="1">
        <v>0.81599999999999995</v>
      </c>
      <c r="M2233" s="1">
        <v>0.86729999999999996</v>
      </c>
      <c r="N2233">
        <v>9</v>
      </c>
      <c r="O2233">
        <v>32</v>
      </c>
      <c r="P2233">
        <v>968</v>
      </c>
    </row>
    <row r="2234" spans="1:16">
      <c r="A2234" t="s">
        <v>203</v>
      </c>
      <c r="B2234" t="s">
        <v>236</v>
      </c>
      <c r="C2234" t="s">
        <v>719</v>
      </c>
      <c r="D2234" s="1">
        <v>0.12670000000000001</v>
      </c>
      <c r="E2234" s="1">
        <v>0.17219999999999999</v>
      </c>
      <c r="G2234" s="1">
        <v>0.31330000000000002</v>
      </c>
      <c r="H2234" s="1">
        <v>0.19589999999999999</v>
      </c>
      <c r="J2234" s="1">
        <v>0.1757</v>
      </c>
      <c r="K2234" s="1">
        <v>0.2019</v>
      </c>
      <c r="L2234" s="1">
        <v>0.13270000000000001</v>
      </c>
      <c r="M2234" s="1">
        <v>0.13270000000000001</v>
      </c>
      <c r="N2234">
        <v>9</v>
      </c>
      <c r="O2234">
        <v>32</v>
      </c>
      <c r="P2234">
        <v>968</v>
      </c>
    </row>
    <row r="2235" spans="1:16">
      <c r="A2235" t="s">
        <v>203</v>
      </c>
      <c r="B2235" t="s">
        <v>236</v>
      </c>
      <c r="C2235" t="s">
        <v>216</v>
      </c>
      <c r="D2235" s="1">
        <v>0.1111</v>
      </c>
      <c r="E2235" s="1">
        <v>0.50529999999999997</v>
      </c>
      <c r="F2235" s="1">
        <v>0.1744</v>
      </c>
      <c r="G2235" s="1">
        <v>0.1326</v>
      </c>
      <c r="H2235" s="1">
        <v>5.5E-2</v>
      </c>
      <c r="I2235" s="1">
        <v>0.23649999999999999</v>
      </c>
      <c r="J2235" s="1">
        <v>5.1299999999999998E-2</v>
      </c>
      <c r="K2235" s="1">
        <v>2.75E-2</v>
      </c>
      <c r="L2235" s="1">
        <v>5.1299999999999998E-2</v>
      </c>
      <c r="N2235">
        <v>9</v>
      </c>
      <c r="O2235">
        <v>32</v>
      </c>
      <c r="P2235">
        <v>968</v>
      </c>
    </row>
    <row r="2236" spans="1:16">
      <c r="A2236" t="s">
        <v>203</v>
      </c>
      <c r="B2236" t="s">
        <v>235</v>
      </c>
      <c r="C2236" t="s">
        <v>718</v>
      </c>
      <c r="D2236" s="1">
        <v>0.85850000000000004</v>
      </c>
      <c r="E2236" s="1">
        <v>0.36940000000000001</v>
      </c>
      <c r="F2236" s="1">
        <v>0.74380000000000002</v>
      </c>
      <c r="G2236" s="1">
        <v>0.71550000000000002</v>
      </c>
      <c r="H2236" s="1">
        <v>0.75829999999999997</v>
      </c>
      <c r="I2236" s="1">
        <v>0.57869999999999999</v>
      </c>
      <c r="J2236" s="1">
        <v>0.69520000000000004</v>
      </c>
      <c r="K2236" s="1">
        <v>0.9052</v>
      </c>
      <c r="L2236" s="1">
        <v>0.871</v>
      </c>
      <c r="M2236" s="1">
        <v>1</v>
      </c>
      <c r="N2236">
        <v>17</v>
      </c>
      <c r="O2236">
        <v>44</v>
      </c>
      <c r="P2236">
        <v>968</v>
      </c>
    </row>
    <row r="2237" spans="1:16">
      <c r="A2237" t="s">
        <v>203</v>
      </c>
      <c r="B2237" t="s">
        <v>235</v>
      </c>
      <c r="C2237" t="s">
        <v>719</v>
      </c>
      <c r="D2237" s="1">
        <v>4.3400000000000001E-2</v>
      </c>
      <c r="E2237" s="1">
        <v>0.05</v>
      </c>
      <c r="F2237" s="1">
        <v>1.18E-2</v>
      </c>
      <c r="G2237" s="1">
        <v>4.8800000000000003E-2</v>
      </c>
      <c r="H2237" s="1">
        <v>8.6199999999999999E-2</v>
      </c>
      <c r="I2237" s="1">
        <v>1.18E-2</v>
      </c>
      <c r="J2237" s="1">
        <v>0.20610000000000001</v>
      </c>
      <c r="K2237" s="1">
        <v>9.4799999999999995E-2</v>
      </c>
      <c r="L2237" s="1">
        <v>1.5100000000000001E-2</v>
      </c>
      <c r="N2237">
        <v>17</v>
      </c>
      <c r="O2237">
        <v>44</v>
      </c>
      <c r="P2237">
        <v>968</v>
      </c>
    </row>
    <row r="2238" spans="1:16">
      <c r="A2238" t="s">
        <v>203</v>
      </c>
      <c r="B2238" t="s">
        <v>235</v>
      </c>
      <c r="C2238" t="s">
        <v>216</v>
      </c>
      <c r="D2238" s="1">
        <v>9.8100000000000007E-2</v>
      </c>
      <c r="E2238" s="1">
        <v>0.52470000000000006</v>
      </c>
      <c r="F2238" s="1">
        <v>0.24429999999999999</v>
      </c>
      <c r="G2238" s="1">
        <v>0.1759</v>
      </c>
      <c r="H2238" s="1">
        <v>0.11260000000000001</v>
      </c>
      <c r="I2238" s="1">
        <v>0.40949999999999998</v>
      </c>
      <c r="J2238" s="1">
        <v>9.8799999999999999E-2</v>
      </c>
      <c r="L2238" s="1">
        <v>0.1139</v>
      </c>
      <c r="N2238">
        <v>17</v>
      </c>
      <c r="O2238">
        <v>44</v>
      </c>
      <c r="P2238">
        <v>968</v>
      </c>
    </row>
    <row r="2239" spans="1:16">
      <c r="A2239" t="s">
        <v>205</v>
      </c>
      <c r="B2239" t="s">
        <v>236</v>
      </c>
      <c r="C2239" t="s">
        <v>718</v>
      </c>
      <c r="D2239" s="1">
        <v>0.75080000000000002</v>
      </c>
      <c r="E2239" s="1">
        <v>0.45529999999999998</v>
      </c>
      <c r="F2239" s="1">
        <v>0.67520000000000002</v>
      </c>
      <c r="G2239" s="1">
        <v>0.61529999999999996</v>
      </c>
      <c r="H2239" s="1">
        <v>0.81140000000000001</v>
      </c>
      <c r="I2239" s="1">
        <v>0.77110000000000001</v>
      </c>
      <c r="J2239" s="1">
        <v>0.5121</v>
      </c>
      <c r="K2239" s="1">
        <v>0.58530000000000004</v>
      </c>
      <c r="L2239" s="1">
        <v>0.94120000000000004</v>
      </c>
      <c r="M2239" s="1">
        <v>0.96850000000000003</v>
      </c>
      <c r="N2239">
        <v>27</v>
      </c>
      <c r="O2239">
        <v>32</v>
      </c>
      <c r="P2239">
        <v>968</v>
      </c>
    </row>
    <row r="2240" spans="1:16">
      <c r="A2240" t="s">
        <v>205</v>
      </c>
      <c r="B2240" t="s">
        <v>236</v>
      </c>
      <c r="C2240" t="s">
        <v>719</v>
      </c>
      <c r="D2240" s="1">
        <v>0.2082</v>
      </c>
      <c r="E2240" s="1">
        <v>0.13089999999999999</v>
      </c>
      <c r="F2240" s="1">
        <v>1.7899999999999999E-2</v>
      </c>
      <c r="G2240" s="1">
        <v>8.5599999999999996E-2</v>
      </c>
      <c r="H2240" s="1">
        <v>0.113</v>
      </c>
      <c r="J2240" s="1">
        <v>0.46060000000000001</v>
      </c>
      <c r="K2240" s="1">
        <v>0.41470000000000001</v>
      </c>
      <c r="L2240" s="1">
        <v>1.7899999999999999E-2</v>
      </c>
      <c r="M2240" s="1">
        <v>1.7899999999999999E-2</v>
      </c>
      <c r="N2240">
        <v>27</v>
      </c>
      <c r="O2240">
        <v>32</v>
      </c>
      <c r="P2240">
        <v>968</v>
      </c>
    </row>
    <row r="2241" spans="1:16">
      <c r="A2241" t="s">
        <v>205</v>
      </c>
      <c r="B2241" t="s">
        <v>236</v>
      </c>
      <c r="C2241" t="s">
        <v>216</v>
      </c>
      <c r="D2241" s="1">
        <v>4.1000000000000002E-2</v>
      </c>
      <c r="E2241" s="1">
        <v>0.26329999999999998</v>
      </c>
      <c r="F2241" s="1">
        <v>0.25929999999999997</v>
      </c>
      <c r="G2241" s="1">
        <v>0.2361</v>
      </c>
      <c r="I2241" s="1">
        <v>0.22889999999999999</v>
      </c>
      <c r="J2241" s="1">
        <v>2.7300000000000001E-2</v>
      </c>
      <c r="L2241" s="1">
        <v>4.1000000000000002E-2</v>
      </c>
      <c r="M2241" s="1">
        <v>1.37E-2</v>
      </c>
      <c r="N2241">
        <v>27</v>
      </c>
      <c r="O2241">
        <v>32</v>
      </c>
      <c r="P2241">
        <v>968</v>
      </c>
    </row>
    <row r="2242" spans="1:16">
      <c r="A2242" t="s">
        <v>205</v>
      </c>
      <c r="B2242" t="s">
        <v>235</v>
      </c>
      <c r="C2242" t="s">
        <v>718</v>
      </c>
      <c r="D2242" s="1">
        <v>0.74760000000000004</v>
      </c>
      <c r="E2242" s="1">
        <v>0.58540000000000003</v>
      </c>
      <c r="F2242" s="1">
        <v>0.97199999999999998</v>
      </c>
      <c r="G2242" s="1">
        <v>0.83009999999999995</v>
      </c>
      <c r="H2242" s="1">
        <v>0.70469999999999999</v>
      </c>
      <c r="I2242" s="1">
        <v>0.75129999999999997</v>
      </c>
      <c r="J2242" s="1">
        <v>0.69640000000000002</v>
      </c>
      <c r="K2242" s="1">
        <v>0.49309999999999998</v>
      </c>
      <c r="L2242" s="1">
        <v>0.80300000000000005</v>
      </c>
      <c r="M2242" s="1">
        <v>0.99219999999999997</v>
      </c>
      <c r="N2242">
        <v>127</v>
      </c>
      <c r="O2242">
        <v>58</v>
      </c>
      <c r="P2242">
        <v>968</v>
      </c>
    </row>
    <row r="2243" spans="1:16">
      <c r="A2243" t="s">
        <v>205</v>
      </c>
      <c r="B2243" t="s">
        <v>235</v>
      </c>
      <c r="C2243" t="s">
        <v>719</v>
      </c>
      <c r="D2243" s="1">
        <v>0.24940000000000001</v>
      </c>
      <c r="E2243" s="1">
        <v>0.1361</v>
      </c>
      <c r="G2243" s="1">
        <v>6.8999999999999999E-3</v>
      </c>
      <c r="H2243" s="1">
        <v>0.29530000000000001</v>
      </c>
      <c r="I2243" s="1">
        <v>1.03E-2</v>
      </c>
      <c r="J2243" s="1">
        <v>0.30359999999999998</v>
      </c>
      <c r="K2243" s="1">
        <v>0.50690000000000002</v>
      </c>
      <c r="L2243" s="1">
        <v>0.11899999999999999</v>
      </c>
      <c r="M2243" s="1">
        <v>3.8999999999999998E-3</v>
      </c>
      <c r="N2243">
        <v>127</v>
      </c>
      <c r="O2243">
        <v>58</v>
      </c>
      <c r="P2243">
        <v>968</v>
      </c>
    </row>
    <row r="2244" spans="1:16">
      <c r="A2244" t="s">
        <v>205</v>
      </c>
      <c r="B2244" t="s">
        <v>235</v>
      </c>
      <c r="C2244" t="s">
        <v>216</v>
      </c>
      <c r="D2244" s="1">
        <v>3.0000000000000001E-3</v>
      </c>
      <c r="E2244" s="1">
        <v>0.18659999999999999</v>
      </c>
      <c r="F2244" s="1">
        <v>2.8000000000000001E-2</v>
      </c>
      <c r="G2244" s="1">
        <v>0.16300000000000001</v>
      </c>
      <c r="I2244" s="1">
        <v>0.23449999999999999</v>
      </c>
      <c r="L2244" s="1">
        <v>7.4099999999999999E-2</v>
      </c>
      <c r="M2244" s="1">
        <v>3.8999999999999998E-3</v>
      </c>
      <c r="N2244">
        <v>127</v>
      </c>
      <c r="O2244">
        <v>58</v>
      </c>
      <c r="P2244">
        <v>968</v>
      </c>
    </row>
    <row r="2245" spans="1:16" s="26" customFormat="1">
      <c r="A2245" s="26" t="s">
        <v>206</v>
      </c>
      <c r="B2245" s="26" t="s">
        <v>236</v>
      </c>
      <c r="C2245" s="26" t="s">
        <v>718</v>
      </c>
      <c r="D2245" s="27">
        <v>0.66669999999999996</v>
      </c>
      <c r="E2245" s="27">
        <v>0.14530000000000001</v>
      </c>
      <c r="F2245" s="27">
        <v>0.70940000000000003</v>
      </c>
      <c r="G2245" s="27">
        <v>0.45529999999999998</v>
      </c>
      <c r="H2245" s="27">
        <v>0.72640000000000005</v>
      </c>
      <c r="I2245" s="27">
        <v>0.58109999999999995</v>
      </c>
      <c r="J2245" s="27">
        <v>0.82889999999999997</v>
      </c>
      <c r="K2245" s="27">
        <v>0.76919999999999999</v>
      </c>
      <c r="L2245" s="27">
        <v>0.85470000000000002</v>
      </c>
      <c r="M2245" s="27">
        <v>0.95720000000000005</v>
      </c>
      <c r="N2245" s="26">
        <v>2</v>
      </c>
      <c r="O2245" s="26">
        <v>21</v>
      </c>
      <c r="P2245" s="26">
        <v>968</v>
      </c>
    </row>
    <row r="2246" spans="1:16" s="26" customFormat="1">
      <c r="A2246" s="26" t="s">
        <v>206</v>
      </c>
      <c r="B2246" s="26" t="s">
        <v>236</v>
      </c>
      <c r="C2246" s="26" t="s">
        <v>719</v>
      </c>
      <c r="D2246" s="27">
        <v>0.14530000000000001</v>
      </c>
      <c r="E2246" s="27">
        <v>0.37609999999999999</v>
      </c>
      <c r="F2246" s="27">
        <v>5.9700000000000003E-2</v>
      </c>
      <c r="G2246" s="27">
        <v>0.39290000000000003</v>
      </c>
      <c r="H2246" s="27">
        <v>0.27360000000000001</v>
      </c>
      <c r="J2246" s="27">
        <v>8.5500000000000007E-2</v>
      </c>
      <c r="K2246" s="27">
        <v>0.23080000000000001</v>
      </c>
      <c r="L2246" s="27">
        <v>0.10249999999999999</v>
      </c>
      <c r="N2246" s="26">
        <v>2</v>
      </c>
      <c r="O2246" s="26">
        <v>21</v>
      </c>
      <c r="P2246" s="26">
        <v>968</v>
      </c>
    </row>
    <row r="2247" spans="1:16" s="26" customFormat="1">
      <c r="A2247" s="26" t="s">
        <v>206</v>
      </c>
      <c r="B2247" s="26" t="s">
        <v>236</v>
      </c>
      <c r="C2247" s="26" t="s">
        <v>216</v>
      </c>
      <c r="D2247" s="27">
        <v>0.18809999999999999</v>
      </c>
      <c r="E2247" s="27">
        <v>0.43580000000000002</v>
      </c>
      <c r="F2247" s="27">
        <v>0.1711</v>
      </c>
      <c r="G2247" s="27">
        <v>0.15179999999999999</v>
      </c>
      <c r="I2247" s="27">
        <v>0.41889999999999999</v>
      </c>
      <c r="J2247" s="27">
        <v>8.5500000000000007E-2</v>
      </c>
      <c r="L2247" s="27">
        <v>4.2799999999999998E-2</v>
      </c>
      <c r="M2247" s="27">
        <v>4.2799999999999998E-2</v>
      </c>
      <c r="N2247" s="26">
        <v>2</v>
      </c>
      <c r="O2247" s="26">
        <v>21</v>
      </c>
      <c r="P2247" s="26">
        <v>968</v>
      </c>
    </row>
    <row r="2248" spans="1:16">
      <c r="A2248" t="s">
        <v>206</v>
      </c>
      <c r="B2248" t="s">
        <v>235</v>
      </c>
      <c r="C2248" t="s">
        <v>718</v>
      </c>
      <c r="D2248" s="1">
        <v>0.95189999999999997</v>
      </c>
      <c r="E2248" s="1">
        <v>0.33</v>
      </c>
      <c r="F2248" s="1">
        <v>0.97599999999999998</v>
      </c>
      <c r="G2248" s="1">
        <v>0.82210000000000005</v>
      </c>
      <c r="H2248" s="1">
        <v>0.82140000000000002</v>
      </c>
      <c r="I2248" s="1">
        <v>0.64600000000000002</v>
      </c>
      <c r="J2248" s="1">
        <v>0.8659</v>
      </c>
      <c r="K2248" s="1">
        <v>0.7389</v>
      </c>
      <c r="L2248" s="1">
        <v>0.95879999999999999</v>
      </c>
      <c r="M2248" s="1">
        <v>1</v>
      </c>
      <c r="N2248">
        <v>6</v>
      </c>
      <c r="O2248">
        <v>47</v>
      </c>
      <c r="P2248">
        <v>968</v>
      </c>
    </row>
    <row r="2249" spans="1:16">
      <c r="A2249" t="s">
        <v>206</v>
      </c>
      <c r="B2249" t="s">
        <v>235</v>
      </c>
      <c r="C2249" t="s">
        <v>719</v>
      </c>
      <c r="D2249" s="1">
        <v>2.4E-2</v>
      </c>
      <c r="E2249" s="1">
        <v>3.44E-2</v>
      </c>
      <c r="H2249" s="1">
        <v>0.13059999999999999</v>
      </c>
      <c r="I2249" s="1">
        <v>1.72E-2</v>
      </c>
      <c r="J2249" s="1">
        <v>0.1341</v>
      </c>
      <c r="K2249" s="1">
        <v>0.2611</v>
      </c>
      <c r="N2249">
        <v>6</v>
      </c>
      <c r="O2249">
        <v>47</v>
      </c>
      <c r="P2249">
        <v>968</v>
      </c>
    </row>
    <row r="2250" spans="1:16">
      <c r="A2250" t="s">
        <v>206</v>
      </c>
      <c r="B2250" t="s">
        <v>235</v>
      </c>
      <c r="C2250" t="s">
        <v>216</v>
      </c>
      <c r="D2250" s="1">
        <v>2.4E-2</v>
      </c>
      <c r="E2250" s="1">
        <v>0.55310000000000004</v>
      </c>
      <c r="F2250" s="1">
        <v>2.4E-2</v>
      </c>
      <c r="G2250" s="1">
        <v>0.1779</v>
      </c>
      <c r="H2250" s="1">
        <v>2.4E-2</v>
      </c>
      <c r="I2250" s="1">
        <v>0.3196</v>
      </c>
      <c r="L2250" s="1">
        <v>4.1200000000000001E-2</v>
      </c>
      <c r="N2250">
        <v>6</v>
      </c>
      <c r="O2250">
        <v>47</v>
      </c>
      <c r="P2250">
        <v>968</v>
      </c>
    </row>
    <row r="2251" spans="1:16">
      <c r="A2251" t="s">
        <v>207</v>
      </c>
      <c r="B2251" t="s">
        <v>236</v>
      </c>
      <c r="C2251" t="s">
        <v>717</v>
      </c>
      <c r="D2251" s="1">
        <v>6.1000000000000004E-3</v>
      </c>
      <c r="E2251" s="1">
        <v>5.7000000000000002E-2</v>
      </c>
      <c r="G2251" s="1">
        <v>1.23E-2</v>
      </c>
      <c r="H2251" s="1">
        <v>1.4999999999999999E-2</v>
      </c>
      <c r="I2251" s="1">
        <v>1.83E-2</v>
      </c>
      <c r="N2251">
        <v>47</v>
      </c>
      <c r="O2251">
        <v>81</v>
      </c>
      <c r="P2251">
        <v>968</v>
      </c>
    </row>
    <row r="2252" spans="1:16">
      <c r="A2252" t="s">
        <v>207</v>
      </c>
      <c r="B2252" t="s">
        <v>236</v>
      </c>
      <c r="C2252" t="s">
        <v>718</v>
      </c>
      <c r="D2252" s="1">
        <v>0.79869999999999997</v>
      </c>
      <c r="E2252" s="1">
        <v>0.18920000000000001</v>
      </c>
      <c r="F2252" s="1">
        <v>0.79069999999999996</v>
      </c>
      <c r="G2252" s="1">
        <v>0.48799999999999999</v>
      </c>
      <c r="H2252" s="1">
        <v>0.87250000000000005</v>
      </c>
      <c r="I2252" s="1">
        <v>0.63329999999999997</v>
      </c>
      <c r="J2252" s="1">
        <v>0.75960000000000005</v>
      </c>
      <c r="K2252" s="1">
        <v>0.86660000000000004</v>
      </c>
      <c r="L2252" s="1">
        <v>0.9143</v>
      </c>
      <c r="M2252" s="1">
        <v>0.94350000000000001</v>
      </c>
      <c r="N2252">
        <v>47</v>
      </c>
      <c r="O2252">
        <v>81</v>
      </c>
      <c r="P2252">
        <v>968</v>
      </c>
    </row>
    <row r="2253" spans="1:16">
      <c r="A2253" t="s">
        <v>207</v>
      </c>
      <c r="B2253" t="s">
        <v>236</v>
      </c>
      <c r="C2253" t="s">
        <v>719</v>
      </c>
      <c r="D2253" s="1">
        <v>5.7000000000000002E-2</v>
      </c>
      <c r="E2253" s="1">
        <v>0.1958</v>
      </c>
      <c r="F2253" s="1">
        <v>8.3999999999999995E-3</v>
      </c>
      <c r="G2253" s="1">
        <v>0.21329999999999999</v>
      </c>
      <c r="H2253" s="1">
        <v>0.10639999999999999</v>
      </c>
      <c r="J2253" s="1">
        <v>0.21160000000000001</v>
      </c>
      <c r="K2253" s="1">
        <v>0.13339999999999999</v>
      </c>
      <c r="L2253" s="1">
        <v>0.05</v>
      </c>
      <c r="M2253" s="1">
        <v>5.0299999999999997E-2</v>
      </c>
      <c r="N2253">
        <v>47</v>
      </c>
      <c r="O2253">
        <v>81</v>
      </c>
      <c r="P2253">
        <v>968</v>
      </c>
    </row>
    <row r="2254" spans="1:16">
      <c r="A2254" t="s">
        <v>207</v>
      </c>
      <c r="B2254" t="s">
        <v>236</v>
      </c>
      <c r="C2254" t="s">
        <v>216</v>
      </c>
      <c r="D2254" s="1">
        <v>0.1381</v>
      </c>
      <c r="E2254" s="1">
        <v>0.55800000000000005</v>
      </c>
      <c r="F2254" s="1">
        <v>0.20100000000000001</v>
      </c>
      <c r="G2254" s="1">
        <v>0.2863</v>
      </c>
      <c r="H2254" s="1">
        <v>6.1000000000000004E-3</v>
      </c>
      <c r="I2254" s="1">
        <v>0.34839999999999999</v>
      </c>
      <c r="J2254" s="1">
        <v>2.8799999999999999E-2</v>
      </c>
      <c r="L2254" s="1">
        <v>3.56E-2</v>
      </c>
      <c r="M2254" s="1">
        <v>6.1000000000000004E-3</v>
      </c>
      <c r="N2254">
        <v>47</v>
      </c>
      <c r="O2254">
        <v>81</v>
      </c>
      <c r="P2254">
        <v>968</v>
      </c>
    </row>
    <row r="2255" spans="1:16">
      <c r="A2255" t="s">
        <v>207</v>
      </c>
      <c r="B2255" t="s">
        <v>235</v>
      </c>
      <c r="C2255" t="s">
        <v>717</v>
      </c>
      <c r="D2255" s="1">
        <v>4.3E-3</v>
      </c>
      <c r="E2255" s="1">
        <v>2.3099999999999999E-2</v>
      </c>
      <c r="N2255">
        <v>67</v>
      </c>
      <c r="O2255">
        <v>45</v>
      </c>
      <c r="P2255">
        <v>968</v>
      </c>
    </row>
    <row r="2256" spans="1:16">
      <c r="A2256" t="s">
        <v>207</v>
      </c>
      <c r="B2256" t="s">
        <v>235</v>
      </c>
      <c r="C2256" t="s">
        <v>718</v>
      </c>
      <c r="D2256" s="1">
        <v>0.74519999999999997</v>
      </c>
      <c r="E2256" s="1">
        <v>0.27710000000000001</v>
      </c>
      <c r="F2256" s="1">
        <v>0.82120000000000004</v>
      </c>
      <c r="G2256" s="1">
        <v>0.64149999999999996</v>
      </c>
      <c r="H2256" s="1">
        <v>0.3377</v>
      </c>
      <c r="I2256" s="1">
        <v>0.71199999999999997</v>
      </c>
      <c r="J2256" s="1">
        <v>0.65429999999999999</v>
      </c>
      <c r="K2256" s="1">
        <v>0.44450000000000001</v>
      </c>
      <c r="L2256" s="1">
        <v>0.90780000000000005</v>
      </c>
      <c r="M2256" s="1">
        <v>0.99039999999999995</v>
      </c>
      <c r="N2256">
        <v>67</v>
      </c>
      <c r="O2256">
        <v>45</v>
      </c>
      <c r="P2256">
        <v>968</v>
      </c>
    </row>
    <row r="2257" spans="1:16">
      <c r="A2257" t="s">
        <v>207</v>
      </c>
      <c r="B2257" t="s">
        <v>235</v>
      </c>
      <c r="C2257" t="s">
        <v>719</v>
      </c>
      <c r="D2257" s="1">
        <v>0.2505</v>
      </c>
      <c r="E2257" s="1">
        <v>0.18740000000000001</v>
      </c>
      <c r="F2257" s="1">
        <v>1.6000000000000001E-3</v>
      </c>
      <c r="G2257" s="1">
        <v>9.74E-2</v>
      </c>
      <c r="H2257" s="1">
        <v>0.66080000000000005</v>
      </c>
      <c r="I2257" s="1">
        <v>1.6000000000000001E-3</v>
      </c>
      <c r="J2257" s="1">
        <v>0.26740000000000003</v>
      </c>
      <c r="K2257" s="1">
        <v>0.55549999999999999</v>
      </c>
      <c r="L2257" s="1">
        <v>8.7900000000000006E-2</v>
      </c>
      <c r="M2257" s="1">
        <v>9.5999999999999992E-3</v>
      </c>
      <c r="N2257">
        <v>67</v>
      </c>
      <c r="O2257">
        <v>45</v>
      </c>
      <c r="P2257">
        <v>968</v>
      </c>
    </row>
    <row r="2258" spans="1:16" s="26" customFormat="1">
      <c r="A2258" s="26" t="s">
        <v>208</v>
      </c>
      <c r="B2258" s="26" t="s">
        <v>236</v>
      </c>
      <c r="C2258" s="26" t="s">
        <v>718</v>
      </c>
      <c r="D2258" s="27">
        <v>0.90910000000000002</v>
      </c>
      <c r="E2258" s="27">
        <v>9.0899999999999995E-2</v>
      </c>
      <c r="F2258" s="27">
        <v>0.72729999999999995</v>
      </c>
      <c r="G2258" s="27">
        <v>0.5</v>
      </c>
      <c r="H2258" s="27">
        <v>0.63639999999999997</v>
      </c>
      <c r="I2258" s="27">
        <v>0.54549999999999998</v>
      </c>
      <c r="J2258" s="27">
        <v>0.54549999999999998</v>
      </c>
      <c r="K2258" s="27">
        <v>0.72729999999999995</v>
      </c>
      <c r="L2258" s="27">
        <v>0.63639999999999997</v>
      </c>
      <c r="M2258" s="27">
        <v>1</v>
      </c>
      <c r="N2258" s="26">
        <v>7</v>
      </c>
      <c r="O2258" s="26">
        <v>11</v>
      </c>
      <c r="P2258" s="26">
        <v>968</v>
      </c>
    </row>
    <row r="2259" spans="1:16" s="26" customFormat="1">
      <c r="A2259" s="26" t="s">
        <v>208</v>
      </c>
      <c r="B2259" s="26" t="s">
        <v>236</v>
      </c>
      <c r="C2259" s="26" t="s">
        <v>719</v>
      </c>
      <c r="D2259" s="27">
        <v>9.0899999999999995E-2</v>
      </c>
      <c r="E2259" s="27">
        <v>9.0899999999999995E-2</v>
      </c>
      <c r="G2259" s="27">
        <v>0.375</v>
      </c>
      <c r="H2259" s="27">
        <v>0.36359999999999998</v>
      </c>
      <c r="J2259" s="27">
        <v>0.18179999999999999</v>
      </c>
      <c r="K2259" s="27">
        <v>0.2727</v>
      </c>
      <c r="L2259" s="27">
        <v>0.18179999999999999</v>
      </c>
      <c r="N2259" s="26">
        <v>7</v>
      </c>
      <c r="O2259" s="26">
        <v>11</v>
      </c>
      <c r="P2259" s="26">
        <v>968</v>
      </c>
    </row>
    <row r="2260" spans="1:16">
      <c r="A2260" t="s">
        <v>208</v>
      </c>
      <c r="B2260" t="s">
        <v>235</v>
      </c>
      <c r="C2260" t="s">
        <v>717</v>
      </c>
      <c r="D2260" s="1">
        <v>1.5900000000000001E-2</v>
      </c>
      <c r="E2260" s="1">
        <v>0.20630000000000001</v>
      </c>
      <c r="H2260" s="1">
        <v>4.7600000000000003E-2</v>
      </c>
      <c r="J2260" s="1">
        <v>1.5900000000000001E-2</v>
      </c>
      <c r="N2260">
        <v>41</v>
      </c>
      <c r="O2260">
        <v>63</v>
      </c>
      <c r="P2260">
        <v>968</v>
      </c>
    </row>
    <row r="2261" spans="1:16">
      <c r="A2261" t="s">
        <v>208</v>
      </c>
      <c r="B2261" t="s">
        <v>235</v>
      </c>
      <c r="C2261" t="s">
        <v>718</v>
      </c>
      <c r="D2261" s="1">
        <v>0.76190000000000002</v>
      </c>
      <c r="E2261" s="1">
        <v>0.30159999999999998</v>
      </c>
      <c r="F2261" s="1">
        <v>0.84130000000000005</v>
      </c>
      <c r="G2261" s="1">
        <v>0.70489999999999997</v>
      </c>
      <c r="H2261" s="1">
        <v>0.746</v>
      </c>
      <c r="I2261" s="1">
        <v>0.50790000000000002</v>
      </c>
      <c r="J2261" s="1">
        <v>0.73019999999999996</v>
      </c>
      <c r="K2261" s="1">
        <v>0.73019999999999996</v>
      </c>
      <c r="L2261" s="1">
        <v>0.98409999999999997</v>
      </c>
      <c r="M2261" s="1">
        <v>0.96830000000000005</v>
      </c>
      <c r="N2261">
        <v>41</v>
      </c>
      <c r="O2261">
        <v>63</v>
      </c>
      <c r="P2261">
        <v>968</v>
      </c>
    </row>
    <row r="2262" spans="1:16">
      <c r="A2262" t="s">
        <v>208</v>
      </c>
      <c r="B2262" t="s">
        <v>235</v>
      </c>
      <c r="C2262" t="s">
        <v>719</v>
      </c>
      <c r="D2262" s="1">
        <v>0.1111</v>
      </c>
      <c r="E2262" s="1">
        <v>0.1429</v>
      </c>
      <c r="G2262" s="1">
        <v>8.2000000000000003E-2</v>
      </c>
      <c r="H2262" s="1">
        <v>0.20630000000000001</v>
      </c>
      <c r="I2262" s="1">
        <v>1.5900000000000001E-2</v>
      </c>
      <c r="J2262" s="1">
        <v>0.17460000000000001</v>
      </c>
      <c r="K2262" s="1">
        <v>0.26979999999999998</v>
      </c>
      <c r="N2262">
        <v>41</v>
      </c>
      <c r="O2262">
        <v>63</v>
      </c>
      <c r="P2262">
        <v>968</v>
      </c>
    </row>
    <row r="2263" spans="1:16">
      <c r="A2263" t="s">
        <v>208</v>
      </c>
      <c r="B2263" t="s">
        <v>235</v>
      </c>
      <c r="C2263" t="s">
        <v>216</v>
      </c>
      <c r="D2263" s="1">
        <v>0.1111</v>
      </c>
      <c r="E2263" s="1">
        <v>0.34920000000000001</v>
      </c>
      <c r="F2263" s="1">
        <v>0.15870000000000001</v>
      </c>
      <c r="G2263" s="1">
        <v>0.21310000000000001</v>
      </c>
      <c r="I2263" s="1">
        <v>0.47620000000000001</v>
      </c>
      <c r="J2263" s="1">
        <v>7.9399999999999998E-2</v>
      </c>
      <c r="L2263" s="1">
        <v>1.5900000000000001E-2</v>
      </c>
      <c r="M2263" s="1">
        <v>3.1699999999999999E-2</v>
      </c>
      <c r="N2263">
        <v>41</v>
      </c>
      <c r="O2263">
        <v>63</v>
      </c>
      <c r="P2263">
        <v>968</v>
      </c>
    </row>
    <row r="2264" spans="1:16">
      <c r="A2264" t="s">
        <v>210</v>
      </c>
      <c r="B2264" t="s">
        <v>236</v>
      </c>
      <c r="C2264" t="s">
        <v>717</v>
      </c>
      <c r="D2264" s="1">
        <v>2.0299999999999999E-2</v>
      </c>
      <c r="E2264" s="1">
        <v>0.1447</v>
      </c>
      <c r="G2264" s="1">
        <v>4.4999999999999998E-2</v>
      </c>
      <c r="H2264" s="1">
        <v>2.0299999999999999E-2</v>
      </c>
      <c r="K2264" s="1">
        <v>2.0299999999999999E-2</v>
      </c>
      <c r="N2264">
        <v>2</v>
      </c>
      <c r="O2264">
        <v>38</v>
      </c>
      <c r="P2264">
        <v>968</v>
      </c>
    </row>
    <row r="2265" spans="1:16">
      <c r="A2265" t="s">
        <v>210</v>
      </c>
      <c r="B2265" t="s">
        <v>236</v>
      </c>
      <c r="C2265" t="s">
        <v>718</v>
      </c>
      <c r="D2265" s="1">
        <v>0.75119999999999998</v>
      </c>
      <c r="E2265" s="1">
        <v>0.27150000000000002</v>
      </c>
      <c r="F2265" s="1">
        <v>0.79190000000000005</v>
      </c>
      <c r="G2265" s="1">
        <v>0.56499999999999995</v>
      </c>
      <c r="H2265" s="1">
        <v>0.77390000000000003</v>
      </c>
      <c r="I2265" s="1">
        <v>0.60409999999999997</v>
      </c>
      <c r="J2265" s="1">
        <v>0.79430000000000001</v>
      </c>
      <c r="K2265" s="1">
        <v>0.71050000000000002</v>
      </c>
      <c r="L2265" s="1">
        <v>0.77390000000000003</v>
      </c>
      <c r="M2265" s="1">
        <v>0.93659999999999999</v>
      </c>
      <c r="N2265">
        <v>2</v>
      </c>
      <c r="O2265">
        <v>38</v>
      </c>
      <c r="P2265">
        <v>968</v>
      </c>
    </row>
    <row r="2266" spans="1:16">
      <c r="A2266" t="s">
        <v>210</v>
      </c>
      <c r="B2266" t="s">
        <v>236</v>
      </c>
      <c r="C2266" t="s">
        <v>719</v>
      </c>
      <c r="D2266" s="1">
        <v>0.1447</v>
      </c>
      <c r="E2266" s="1">
        <v>6.3399999999999998E-2</v>
      </c>
      <c r="G2266" s="1">
        <v>0.14879999999999999</v>
      </c>
      <c r="H2266" s="1">
        <v>0.1651</v>
      </c>
      <c r="J2266" s="1">
        <v>0.1651</v>
      </c>
      <c r="K2266" s="1">
        <v>0.26910000000000001</v>
      </c>
      <c r="L2266" s="1">
        <v>8.1299999999999997E-2</v>
      </c>
      <c r="M2266" s="1">
        <v>2.0299999999999999E-2</v>
      </c>
      <c r="N2266">
        <v>2</v>
      </c>
      <c r="O2266">
        <v>38</v>
      </c>
      <c r="P2266">
        <v>968</v>
      </c>
    </row>
    <row r="2267" spans="1:16">
      <c r="A2267" t="s">
        <v>210</v>
      </c>
      <c r="B2267" t="s">
        <v>236</v>
      </c>
      <c r="C2267" t="s">
        <v>216</v>
      </c>
      <c r="D2267" s="1">
        <v>8.3699999999999997E-2</v>
      </c>
      <c r="E2267" s="1">
        <v>0.52029999999999998</v>
      </c>
      <c r="F2267" s="1">
        <v>0.20810000000000001</v>
      </c>
      <c r="G2267" s="1">
        <v>0.2412</v>
      </c>
      <c r="H2267" s="1">
        <v>4.07E-2</v>
      </c>
      <c r="I2267" s="1">
        <v>0.39589999999999997</v>
      </c>
      <c r="J2267" s="1">
        <v>4.07E-2</v>
      </c>
      <c r="L2267" s="1">
        <v>0.1447</v>
      </c>
      <c r="M2267" s="1">
        <v>4.3099999999999999E-2</v>
      </c>
      <c r="N2267">
        <v>2</v>
      </c>
      <c r="O2267">
        <v>38</v>
      </c>
      <c r="P2267">
        <v>968</v>
      </c>
    </row>
    <row r="2268" spans="1:16">
      <c r="A2268" t="s">
        <v>210</v>
      </c>
      <c r="B2268" t="s">
        <v>235</v>
      </c>
      <c r="C2268" t="s">
        <v>717</v>
      </c>
      <c r="D2268" s="1">
        <v>4.7600000000000003E-2</v>
      </c>
      <c r="E2268" s="1">
        <v>0.14449999999999999</v>
      </c>
      <c r="G2268" s="1">
        <v>6.9099999999999995E-2</v>
      </c>
      <c r="H2268" s="1">
        <v>4.7600000000000003E-2</v>
      </c>
      <c r="I2268" s="1">
        <v>1.5299999999999999E-2</v>
      </c>
      <c r="K2268" s="1">
        <v>1.5299999999999999E-2</v>
      </c>
      <c r="N2268">
        <v>3</v>
      </c>
      <c r="O2268">
        <v>32</v>
      </c>
      <c r="P2268">
        <v>968</v>
      </c>
    </row>
    <row r="2269" spans="1:16">
      <c r="A2269" t="s">
        <v>210</v>
      </c>
      <c r="B2269" t="s">
        <v>235</v>
      </c>
      <c r="C2269" t="s">
        <v>718</v>
      </c>
      <c r="D2269" s="1">
        <v>0.75849999999999995</v>
      </c>
      <c r="E2269" s="1">
        <v>0.22620000000000001</v>
      </c>
      <c r="F2269" s="1">
        <v>0.93540000000000001</v>
      </c>
      <c r="G2269" s="1">
        <v>0.62</v>
      </c>
      <c r="H2269" s="1">
        <v>0.75849999999999995</v>
      </c>
      <c r="I2269" s="1">
        <v>0.5323</v>
      </c>
      <c r="J2269" s="1">
        <v>0.82320000000000004</v>
      </c>
      <c r="K2269" s="1">
        <v>0.72619999999999996</v>
      </c>
      <c r="L2269" s="1">
        <v>0.61219999999999997</v>
      </c>
      <c r="M2269" s="1">
        <v>0.9677</v>
      </c>
      <c r="N2269">
        <v>3</v>
      </c>
      <c r="O2269">
        <v>32</v>
      </c>
      <c r="P2269">
        <v>968</v>
      </c>
    </row>
    <row r="2270" spans="1:16">
      <c r="A2270" t="s">
        <v>210</v>
      </c>
      <c r="B2270" t="s">
        <v>235</v>
      </c>
      <c r="C2270" t="s">
        <v>719</v>
      </c>
      <c r="D2270" s="1">
        <v>0.16159999999999999</v>
      </c>
      <c r="E2270" s="1">
        <v>0.19389999999999999</v>
      </c>
      <c r="F2270" s="1">
        <v>3.2300000000000002E-2</v>
      </c>
      <c r="G2270" s="1">
        <v>3.4500000000000003E-2</v>
      </c>
      <c r="H2270" s="1">
        <v>0.19389999999999999</v>
      </c>
      <c r="J2270" s="1">
        <v>0.16159999999999999</v>
      </c>
      <c r="K2270" s="1">
        <v>0.25850000000000001</v>
      </c>
      <c r="L2270" s="1">
        <v>6.4600000000000005E-2</v>
      </c>
      <c r="M2270" s="1">
        <v>3.2300000000000002E-2</v>
      </c>
      <c r="N2270">
        <v>3</v>
      </c>
      <c r="O2270">
        <v>32</v>
      </c>
      <c r="P2270">
        <v>968</v>
      </c>
    </row>
    <row r="2271" spans="1:16">
      <c r="A2271" t="s">
        <v>210</v>
      </c>
      <c r="B2271" t="s">
        <v>235</v>
      </c>
      <c r="C2271" t="s">
        <v>216</v>
      </c>
      <c r="D2271" s="1">
        <v>3.2300000000000002E-2</v>
      </c>
      <c r="E2271" s="1">
        <v>0.43540000000000001</v>
      </c>
      <c r="F2271" s="1">
        <v>3.2300000000000002E-2</v>
      </c>
      <c r="G2271" s="1">
        <v>0.27639999999999998</v>
      </c>
      <c r="I2271" s="1">
        <v>0.45240000000000002</v>
      </c>
      <c r="J2271" s="1">
        <v>1.5299999999999999E-2</v>
      </c>
      <c r="L2271" s="1">
        <v>0.32319999999999999</v>
      </c>
      <c r="N2271">
        <v>3</v>
      </c>
      <c r="O2271">
        <v>32</v>
      </c>
      <c r="P2271">
        <v>968</v>
      </c>
    </row>
    <row r="2272" spans="1:16">
      <c r="A2272" t="s">
        <v>211</v>
      </c>
      <c r="B2272" t="s">
        <v>236</v>
      </c>
      <c r="C2272" t="s">
        <v>718</v>
      </c>
      <c r="D2272" s="1">
        <v>0.80449999999999999</v>
      </c>
      <c r="E2272" s="1">
        <v>0.18579999999999999</v>
      </c>
      <c r="F2272" s="1">
        <v>0.71750000000000003</v>
      </c>
      <c r="G2272" s="1">
        <v>0.59870000000000001</v>
      </c>
      <c r="H2272" s="1">
        <v>0.68779999999999997</v>
      </c>
      <c r="I2272" s="1">
        <v>0.59689999999999999</v>
      </c>
      <c r="J2272" s="1">
        <v>0.64439999999999997</v>
      </c>
      <c r="K2272" s="1">
        <v>0.64710000000000001</v>
      </c>
      <c r="L2272" s="1">
        <v>0.88149999999999995</v>
      </c>
      <c r="M2272" s="1">
        <v>0.86660000000000004</v>
      </c>
      <c r="N2272">
        <v>13</v>
      </c>
      <c r="O2272">
        <v>39</v>
      </c>
      <c r="P2272">
        <v>968</v>
      </c>
    </row>
    <row r="2273" spans="1:16">
      <c r="A2273" t="s">
        <v>211</v>
      </c>
      <c r="B2273" t="s">
        <v>236</v>
      </c>
      <c r="C2273" t="s">
        <v>719</v>
      </c>
      <c r="D2273" s="1">
        <v>0.19550000000000001</v>
      </c>
      <c r="E2273" s="1">
        <v>0.31519999999999998</v>
      </c>
      <c r="F2273" s="1">
        <v>3.5499999999999997E-2</v>
      </c>
      <c r="G2273" s="1">
        <v>0.15920000000000001</v>
      </c>
      <c r="H2273" s="1">
        <v>0.31219999999999998</v>
      </c>
      <c r="I2273" s="1">
        <v>2.3699999999999999E-2</v>
      </c>
      <c r="J2273" s="1">
        <v>0.24890000000000001</v>
      </c>
      <c r="K2273" s="1">
        <v>0.35289999999999999</v>
      </c>
      <c r="L2273" s="1">
        <v>0.11849999999999999</v>
      </c>
      <c r="M2273" s="1">
        <v>7.9100000000000004E-2</v>
      </c>
      <c r="N2273">
        <v>13</v>
      </c>
      <c r="O2273">
        <v>39</v>
      </c>
      <c r="P2273">
        <v>968</v>
      </c>
    </row>
    <row r="2274" spans="1:16">
      <c r="A2274" t="s">
        <v>211</v>
      </c>
      <c r="B2274" t="s">
        <v>235</v>
      </c>
      <c r="C2274" t="s">
        <v>718</v>
      </c>
      <c r="D2274" s="1">
        <v>0.83819999999999995</v>
      </c>
      <c r="E2274" s="1">
        <v>0.30609999999999998</v>
      </c>
      <c r="F2274" s="1">
        <v>0.82899999999999996</v>
      </c>
      <c r="G2274" s="1">
        <v>0.52410000000000001</v>
      </c>
      <c r="H2274" s="1">
        <v>0.66490000000000005</v>
      </c>
      <c r="I2274" s="1">
        <v>0.629</v>
      </c>
      <c r="J2274" s="1">
        <v>0.8538</v>
      </c>
      <c r="K2274" s="1">
        <v>0.65620000000000001</v>
      </c>
      <c r="L2274" s="1">
        <v>0.93579999999999997</v>
      </c>
      <c r="M2274" s="1">
        <v>0.98040000000000005</v>
      </c>
      <c r="N2274">
        <v>22</v>
      </c>
      <c r="O2274">
        <v>56</v>
      </c>
      <c r="P2274">
        <v>968</v>
      </c>
    </row>
    <row r="2275" spans="1:16">
      <c r="A2275" t="s">
        <v>211</v>
      </c>
      <c r="B2275" t="s">
        <v>235</v>
      </c>
      <c r="C2275" t="s">
        <v>719</v>
      </c>
      <c r="D2275" s="1">
        <v>0.1421</v>
      </c>
      <c r="E2275" s="1">
        <v>0.18890000000000001</v>
      </c>
      <c r="G2275" s="1">
        <v>0.17349999999999999</v>
      </c>
      <c r="H2275" s="1">
        <v>0.29580000000000001</v>
      </c>
      <c r="J2275" s="1">
        <v>2.6599999999999999E-2</v>
      </c>
      <c r="K2275" s="1">
        <v>0.34379999999999999</v>
      </c>
      <c r="L2275" s="1">
        <v>4.4499999999999998E-2</v>
      </c>
      <c r="M2275" s="1">
        <v>1.9599999999999999E-2</v>
      </c>
      <c r="N2275">
        <v>22</v>
      </c>
      <c r="O2275">
        <v>56</v>
      </c>
      <c r="P2275">
        <v>968</v>
      </c>
    </row>
    <row r="2276" spans="1:16">
      <c r="A2276" t="s">
        <v>211</v>
      </c>
      <c r="B2276" t="s">
        <v>235</v>
      </c>
      <c r="C2276" t="s">
        <v>216</v>
      </c>
      <c r="D2276" s="1">
        <v>1.9599999999999999E-2</v>
      </c>
      <c r="E2276" s="1">
        <v>0.46229999999999999</v>
      </c>
      <c r="F2276" s="1">
        <v>0.1265</v>
      </c>
      <c r="G2276" s="1">
        <v>0.3024</v>
      </c>
      <c r="H2276" s="1">
        <v>3.9300000000000002E-2</v>
      </c>
      <c r="I2276" s="1">
        <v>0.34439999999999998</v>
      </c>
      <c r="J2276" s="1">
        <v>9.4700000000000006E-2</v>
      </c>
      <c r="L2276" s="1">
        <v>1.9599999999999999E-2</v>
      </c>
      <c r="N2276">
        <v>22</v>
      </c>
      <c r="O2276">
        <v>56</v>
      </c>
      <c r="P2276">
        <v>968</v>
      </c>
    </row>
    <row r="2277" spans="1:16" s="26" customFormat="1">
      <c r="A2277" s="26" t="s">
        <v>212</v>
      </c>
      <c r="B2277" s="26" t="s">
        <v>236</v>
      </c>
      <c r="C2277" s="26" t="s">
        <v>718</v>
      </c>
      <c r="D2277" s="27">
        <v>0.66449999999999998</v>
      </c>
      <c r="E2277" s="27">
        <v>0.25069999999999998</v>
      </c>
      <c r="F2277" s="27">
        <v>0.77329999999999999</v>
      </c>
      <c r="G2277" s="27">
        <v>0.51039999999999996</v>
      </c>
      <c r="H2277" s="27">
        <v>0.59440000000000004</v>
      </c>
      <c r="I2277" s="27">
        <v>0.59409999999999996</v>
      </c>
      <c r="J2277" s="27">
        <v>0.71309999999999996</v>
      </c>
      <c r="K2277" s="27">
        <v>0.66449999999999998</v>
      </c>
      <c r="L2277" s="27">
        <v>0.875</v>
      </c>
      <c r="M2277" s="27">
        <v>0.91610000000000003</v>
      </c>
      <c r="N2277" s="26">
        <v>11</v>
      </c>
      <c r="O2277" s="26">
        <v>18</v>
      </c>
      <c r="P2277" s="26">
        <v>968</v>
      </c>
    </row>
    <row r="2278" spans="1:16" s="26" customFormat="1">
      <c r="A2278" s="26" t="s">
        <v>212</v>
      </c>
      <c r="B2278" s="26" t="s">
        <v>236</v>
      </c>
      <c r="C2278" s="26" t="s">
        <v>719</v>
      </c>
      <c r="D2278" s="27">
        <v>0.33550000000000002</v>
      </c>
      <c r="E2278" s="27">
        <v>8.3900000000000002E-2</v>
      </c>
      <c r="H2278" s="27">
        <v>0.3216</v>
      </c>
      <c r="J2278" s="27">
        <v>0.2029</v>
      </c>
      <c r="K2278" s="27">
        <v>0.25159999999999999</v>
      </c>
      <c r="L2278" s="27">
        <v>8.3900000000000002E-2</v>
      </c>
      <c r="M2278" s="27">
        <v>8.3900000000000002E-2</v>
      </c>
      <c r="N2278" s="26">
        <v>11</v>
      </c>
      <c r="O2278" s="26">
        <v>18</v>
      </c>
      <c r="P2278" s="26">
        <v>968</v>
      </c>
    </row>
    <row r="2279" spans="1:16">
      <c r="A2279" t="s">
        <v>212</v>
      </c>
      <c r="B2279" t="s">
        <v>235</v>
      </c>
      <c r="C2279" t="s">
        <v>717</v>
      </c>
      <c r="D2279" s="1">
        <v>6.4799999999999996E-2</v>
      </c>
      <c r="E2279" s="1">
        <v>0.12970000000000001</v>
      </c>
      <c r="H2279" s="1">
        <v>3.2399999999999998E-2</v>
      </c>
      <c r="K2279" s="1">
        <v>1.6199999999999999E-2</v>
      </c>
      <c r="N2279">
        <v>70</v>
      </c>
      <c r="O2279">
        <v>67</v>
      </c>
      <c r="P2279">
        <v>968</v>
      </c>
    </row>
    <row r="2280" spans="1:16">
      <c r="A2280" t="s">
        <v>212</v>
      </c>
      <c r="B2280" t="s">
        <v>235</v>
      </c>
      <c r="C2280" t="s">
        <v>718</v>
      </c>
      <c r="D2280" s="1">
        <v>0.77080000000000004</v>
      </c>
      <c r="E2280" s="1">
        <v>0.20050000000000001</v>
      </c>
      <c r="F2280" s="1">
        <v>0.86450000000000005</v>
      </c>
      <c r="G2280" s="1">
        <v>0.60550000000000004</v>
      </c>
      <c r="H2280" s="1">
        <v>0.75739999999999996</v>
      </c>
      <c r="I2280" s="1">
        <v>0.52510000000000001</v>
      </c>
      <c r="J2280" s="1">
        <v>0.71640000000000004</v>
      </c>
      <c r="K2280" s="1">
        <v>0.73460000000000003</v>
      </c>
      <c r="L2280" s="1">
        <v>0.88649999999999995</v>
      </c>
      <c r="M2280" s="1">
        <v>0.95140000000000002</v>
      </c>
      <c r="N2280">
        <v>70</v>
      </c>
      <c r="O2280">
        <v>67</v>
      </c>
      <c r="P2280">
        <v>968</v>
      </c>
    </row>
    <row r="2281" spans="1:16">
      <c r="A2281" t="s">
        <v>212</v>
      </c>
      <c r="B2281" t="s">
        <v>235</v>
      </c>
      <c r="C2281" t="s">
        <v>719</v>
      </c>
      <c r="D2281" s="1">
        <v>6.7100000000000007E-2</v>
      </c>
      <c r="E2281" s="1">
        <v>0.14810000000000001</v>
      </c>
      <c r="F2281" s="1">
        <v>1.6199999999999999E-2</v>
      </c>
      <c r="G2281" s="1">
        <v>6.8199999999999997E-2</v>
      </c>
      <c r="H2281" s="1">
        <v>0.17780000000000001</v>
      </c>
      <c r="J2281" s="1">
        <v>0.18060000000000001</v>
      </c>
      <c r="K2281" s="1">
        <v>0.2492</v>
      </c>
      <c r="L2281" s="1">
        <v>3.2399999999999998E-2</v>
      </c>
      <c r="M2281" s="1">
        <v>1.6199999999999999E-2</v>
      </c>
      <c r="N2281">
        <v>70</v>
      </c>
      <c r="O2281">
        <v>67</v>
      </c>
      <c r="P2281">
        <v>968</v>
      </c>
    </row>
    <row r="2282" spans="1:16">
      <c r="A2282" t="s">
        <v>212</v>
      </c>
      <c r="B2282" t="s">
        <v>235</v>
      </c>
      <c r="C2282" t="s">
        <v>216</v>
      </c>
      <c r="D2282" s="1">
        <v>9.7299999999999998E-2</v>
      </c>
      <c r="E2282" s="1">
        <v>0.52159999999999995</v>
      </c>
      <c r="F2282" s="1">
        <v>0.1193</v>
      </c>
      <c r="G2282" s="1">
        <v>0.32640000000000002</v>
      </c>
      <c r="H2282" s="1">
        <v>3.2399999999999998E-2</v>
      </c>
      <c r="I2282" s="1">
        <v>0.47489999999999999</v>
      </c>
      <c r="J2282" s="1">
        <v>0.1031</v>
      </c>
      <c r="L2282" s="1">
        <v>8.1100000000000005E-2</v>
      </c>
      <c r="M2282" s="1">
        <v>3.2399999999999998E-2</v>
      </c>
      <c r="N2282">
        <v>70</v>
      </c>
      <c r="O2282">
        <v>67</v>
      </c>
      <c r="P2282">
        <v>968</v>
      </c>
    </row>
    <row r="2284" spans="1:16">
      <c r="A2284" t="s">
        <v>721</v>
      </c>
    </row>
    <row r="2285" spans="1:16">
      <c r="A2285" t="s">
        <v>189</v>
      </c>
      <c r="B2285" t="s">
        <v>195</v>
      </c>
      <c r="C2285" t="s">
        <v>190</v>
      </c>
      <c r="D2285" t="s">
        <v>196</v>
      </c>
      <c r="E2285" t="s">
        <v>228</v>
      </c>
      <c r="F2285" t="s">
        <v>722</v>
      </c>
      <c r="G2285" t="s">
        <v>723</v>
      </c>
      <c r="H2285" t="s">
        <v>724</v>
      </c>
      <c r="I2285" t="s">
        <v>725</v>
      </c>
      <c r="J2285" t="s">
        <v>726</v>
      </c>
    </row>
    <row r="2286" spans="1:16">
      <c r="A2286" t="s">
        <v>197</v>
      </c>
      <c r="B2286">
        <v>660</v>
      </c>
      <c r="C2286" t="s">
        <v>198</v>
      </c>
      <c r="D2286">
        <v>660</v>
      </c>
      <c r="E2286" s="1">
        <v>7.2900000000000006E-2</v>
      </c>
      <c r="F2286" s="1">
        <v>4.1300000000000003E-2</v>
      </c>
      <c r="G2286" s="1">
        <v>0.13789999999999999</v>
      </c>
      <c r="H2286" s="1">
        <v>0.58250000000000002</v>
      </c>
      <c r="I2286" s="1">
        <v>0.45650000000000002</v>
      </c>
      <c r="J2286" s="1">
        <v>0.59360000000000002</v>
      </c>
    </row>
    <row r="2287" spans="1:16">
      <c r="A2287" t="s">
        <v>204</v>
      </c>
      <c r="B2287">
        <v>52</v>
      </c>
      <c r="C2287" t="s">
        <v>205</v>
      </c>
      <c r="D2287">
        <v>660</v>
      </c>
      <c r="E2287" s="1">
        <v>0.20580000000000001</v>
      </c>
      <c r="F2287" s="1">
        <v>5.4999999999999997E-3</v>
      </c>
      <c r="G2287" s="1">
        <v>9.8400000000000001E-2</v>
      </c>
      <c r="H2287" s="1">
        <v>0.49230000000000002</v>
      </c>
      <c r="I2287" s="1">
        <v>0.33700000000000002</v>
      </c>
      <c r="J2287" s="1">
        <v>0.48599999999999999</v>
      </c>
    </row>
    <row r="2288" spans="1:16">
      <c r="A2288" t="s">
        <v>204</v>
      </c>
      <c r="B2288">
        <v>46</v>
      </c>
      <c r="C2288" t="s">
        <v>206</v>
      </c>
      <c r="D2288">
        <v>660</v>
      </c>
      <c r="E2288" s="1">
        <v>0.1186</v>
      </c>
      <c r="F2288" s="1">
        <v>4.3200000000000002E-2</v>
      </c>
      <c r="G2288" s="1">
        <v>8.6300000000000002E-2</v>
      </c>
      <c r="H2288" s="1">
        <v>0.53600000000000003</v>
      </c>
      <c r="I2288" s="1">
        <v>0.42830000000000001</v>
      </c>
      <c r="J2288" s="1">
        <v>0.4748</v>
      </c>
    </row>
    <row r="2289" spans="1:11">
      <c r="A2289" t="s">
        <v>204</v>
      </c>
      <c r="B2289">
        <v>100</v>
      </c>
      <c r="C2289" t="s">
        <v>207</v>
      </c>
      <c r="D2289">
        <v>660</v>
      </c>
      <c r="E2289" s="1">
        <v>2.4400000000000002E-2</v>
      </c>
      <c r="F2289" s="1">
        <v>6.6799999999999998E-2</v>
      </c>
      <c r="G2289" s="1">
        <v>0.28249999999999997</v>
      </c>
      <c r="H2289" s="1">
        <v>0.66959999999999997</v>
      </c>
      <c r="I2289" s="1">
        <v>0.49669999999999997</v>
      </c>
      <c r="J2289" s="1">
        <v>0.74480000000000002</v>
      </c>
    </row>
    <row r="2290" spans="1:11">
      <c r="A2290" t="s">
        <v>204</v>
      </c>
      <c r="B2290">
        <v>58</v>
      </c>
      <c r="C2290" t="s">
        <v>208</v>
      </c>
      <c r="D2290">
        <v>660</v>
      </c>
      <c r="E2290" s="1">
        <v>8.6199999999999999E-2</v>
      </c>
      <c r="F2290" s="1">
        <v>1.72E-2</v>
      </c>
      <c r="G2290" s="1">
        <v>5.1700000000000003E-2</v>
      </c>
      <c r="H2290" s="1">
        <v>0.6552</v>
      </c>
      <c r="I2290" s="1">
        <v>0.4138</v>
      </c>
      <c r="J2290" s="1">
        <v>0.51719999999999999</v>
      </c>
    </row>
    <row r="2291" spans="1:11">
      <c r="A2291" t="s">
        <v>199</v>
      </c>
      <c r="B2291">
        <v>41</v>
      </c>
      <c r="C2291" t="s">
        <v>200</v>
      </c>
      <c r="D2291">
        <v>660</v>
      </c>
      <c r="E2291" s="1">
        <v>5.4000000000000003E-3</v>
      </c>
      <c r="F2291" s="1">
        <v>0.1176</v>
      </c>
      <c r="G2291" s="1">
        <v>0.1231</v>
      </c>
      <c r="H2291" s="1">
        <v>0.8498</v>
      </c>
      <c r="I2291" s="1">
        <v>0.28220000000000001</v>
      </c>
      <c r="J2291" s="1">
        <v>0.66569999999999996</v>
      </c>
    </row>
    <row r="2292" spans="1:11">
      <c r="A2292" t="s">
        <v>199</v>
      </c>
      <c r="B2292">
        <v>66</v>
      </c>
      <c r="C2292" t="s">
        <v>201</v>
      </c>
      <c r="D2292">
        <v>660</v>
      </c>
      <c r="E2292" s="1">
        <v>6.0600000000000001E-2</v>
      </c>
      <c r="F2292" s="1">
        <v>7.5800000000000006E-2</v>
      </c>
      <c r="G2292" s="1">
        <v>4.5499999999999999E-2</v>
      </c>
      <c r="H2292" s="1">
        <v>0.51519999999999999</v>
      </c>
      <c r="I2292" s="1">
        <v>0.48480000000000001</v>
      </c>
      <c r="J2292" s="1">
        <v>0.48480000000000001</v>
      </c>
    </row>
    <row r="2293" spans="1:11">
      <c r="A2293" t="s">
        <v>199</v>
      </c>
      <c r="B2293">
        <v>52</v>
      </c>
      <c r="C2293" t="s">
        <v>202</v>
      </c>
      <c r="D2293">
        <v>660</v>
      </c>
      <c r="E2293" s="1">
        <v>3.8100000000000002E-2</v>
      </c>
      <c r="F2293" s="1">
        <v>2.3199999999999998E-2</v>
      </c>
      <c r="G2293" s="1">
        <v>0.1293</v>
      </c>
      <c r="H2293" s="1">
        <v>0.53180000000000005</v>
      </c>
      <c r="I2293" s="1">
        <v>0.51919999999999999</v>
      </c>
      <c r="J2293" s="1">
        <v>0.65600000000000003</v>
      </c>
    </row>
    <row r="2294" spans="1:11">
      <c r="A2294" t="s">
        <v>199</v>
      </c>
      <c r="B2294">
        <v>55</v>
      </c>
      <c r="C2294" t="s">
        <v>203</v>
      </c>
      <c r="D2294">
        <v>660</v>
      </c>
      <c r="E2294" s="1">
        <v>0.17710000000000001</v>
      </c>
      <c r="F2294" s="1">
        <v>4.8000000000000001E-2</v>
      </c>
      <c r="G2294" s="1">
        <v>0.28860000000000002</v>
      </c>
      <c r="H2294" s="1">
        <v>0.49099999999999999</v>
      </c>
      <c r="I2294" s="1">
        <v>0.54700000000000004</v>
      </c>
      <c r="J2294" s="1">
        <v>0.62990000000000002</v>
      </c>
    </row>
    <row r="2295" spans="1:11">
      <c r="A2295" t="s">
        <v>209</v>
      </c>
      <c r="B2295">
        <v>55</v>
      </c>
      <c r="C2295" t="s">
        <v>210</v>
      </c>
      <c r="D2295">
        <v>660</v>
      </c>
      <c r="E2295" s="1">
        <v>7.0400000000000004E-2</v>
      </c>
      <c r="F2295" s="1">
        <v>9.4399999999999998E-2</v>
      </c>
      <c r="G2295" s="1">
        <v>2.3900000000000001E-2</v>
      </c>
      <c r="H2295" s="1">
        <v>0.61260000000000003</v>
      </c>
      <c r="I2295" s="1">
        <v>0.52959999999999996</v>
      </c>
      <c r="J2295" s="1">
        <v>0.48309999999999997</v>
      </c>
    </row>
    <row r="2296" spans="1:11">
      <c r="A2296" t="s">
        <v>209</v>
      </c>
      <c r="B2296">
        <v>64</v>
      </c>
      <c r="C2296" t="s">
        <v>211</v>
      </c>
      <c r="D2296">
        <v>660</v>
      </c>
      <c r="E2296" s="1">
        <v>7.4800000000000005E-2</v>
      </c>
      <c r="F2296" s="1">
        <v>1.72E-2</v>
      </c>
      <c r="G2296" s="1">
        <v>7.9299999999999995E-2</v>
      </c>
      <c r="H2296" s="1">
        <v>0.70230000000000004</v>
      </c>
      <c r="I2296" s="1">
        <v>0.43909999999999999</v>
      </c>
      <c r="J2296" s="1">
        <v>0.50839999999999996</v>
      </c>
    </row>
    <row r="2297" spans="1:11">
      <c r="A2297" t="s">
        <v>209</v>
      </c>
      <c r="B2297">
        <v>71</v>
      </c>
      <c r="C2297" t="s">
        <v>212</v>
      </c>
      <c r="D2297">
        <v>660</v>
      </c>
      <c r="E2297" s="1">
        <v>2.3E-2</v>
      </c>
      <c r="F2297" s="1">
        <v>1.5699999999999999E-2</v>
      </c>
      <c r="G2297" s="1">
        <v>0.17199999999999999</v>
      </c>
      <c r="H2297" s="1">
        <v>0.60399999999999998</v>
      </c>
      <c r="I2297" s="1">
        <v>0.45800000000000002</v>
      </c>
      <c r="J2297" s="1">
        <v>0.67179999999999995</v>
      </c>
    </row>
    <row r="2299" spans="1:11">
      <c r="A2299" t="s">
        <v>727</v>
      </c>
    </row>
    <row r="2300" spans="1:11">
      <c r="A2300" t="s">
        <v>214</v>
      </c>
      <c r="B2300" t="s">
        <v>189</v>
      </c>
      <c r="C2300" t="s">
        <v>195</v>
      </c>
      <c r="D2300" t="s">
        <v>190</v>
      </c>
      <c r="E2300" t="s">
        <v>196</v>
      </c>
      <c r="F2300" t="s">
        <v>228</v>
      </c>
      <c r="G2300" t="s">
        <v>722</v>
      </c>
      <c r="H2300" t="s">
        <v>723</v>
      </c>
      <c r="I2300" t="s">
        <v>724</v>
      </c>
      <c r="J2300" t="s">
        <v>725</v>
      </c>
      <c r="K2300" t="s">
        <v>726</v>
      </c>
    </row>
    <row r="2301" spans="1:11">
      <c r="A2301" t="s">
        <v>198</v>
      </c>
      <c r="B2301" t="s">
        <v>197</v>
      </c>
      <c r="C2301">
        <v>660</v>
      </c>
      <c r="D2301" t="s">
        <v>198</v>
      </c>
      <c r="E2301">
        <v>660</v>
      </c>
      <c r="F2301" s="1">
        <v>7.2900000000000006E-2</v>
      </c>
      <c r="G2301" s="1">
        <v>4.1300000000000003E-2</v>
      </c>
      <c r="H2301" s="1">
        <v>0.13789999999999999</v>
      </c>
      <c r="I2301" s="1">
        <v>0.58250000000000002</v>
      </c>
      <c r="J2301" s="1">
        <v>0.45650000000000002</v>
      </c>
      <c r="K2301" s="1">
        <v>0.59360000000000002</v>
      </c>
    </row>
    <row r="2302" spans="1:11" s="26" customFormat="1">
      <c r="A2302" s="26" t="s">
        <v>236</v>
      </c>
      <c r="B2302" s="26" t="s">
        <v>204</v>
      </c>
      <c r="C2302" s="26">
        <v>10</v>
      </c>
      <c r="D2302" s="26" t="s">
        <v>208</v>
      </c>
      <c r="E2302" s="26">
        <v>660</v>
      </c>
      <c r="F2302" s="27">
        <v>0.2</v>
      </c>
      <c r="H2302" s="27">
        <v>0.1</v>
      </c>
      <c r="I2302" s="27">
        <v>0.5</v>
      </c>
      <c r="J2302" s="27">
        <v>0.4</v>
      </c>
      <c r="K2302" s="27">
        <v>0.5</v>
      </c>
    </row>
    <row r="2303" spans="1:11" s="26" customFormat="1">
      <c r="A2303" s="26" t="s">
        <v>236</v>
      </c>
      <c r="B2303" s="26" t="s">
        <v>204</v>
      </c>
      <c r="C2303" s="26">
        <v>20</v>
      </c>
      <c r="D2303" s="26" t="s">
        <v>205</v>
      </c>
      <c r="E2303" s="26">
        <v>660</v>
      </c>
      <c r="F2303" s="27">
        <v>8.6300000000000002E-2</v>
      </c>
      <c r="G2303" s="27">
        <v>2.8799999999999999E-2</v>
      </c>
      <c r="H2303" s="27">
        <v>8.6300000000000002E-2</v>
      </c>
      <c r="I2303" s="27">
        <v>0.66979999999999995</v>
      </c>
      <c r="J2303" s="27">
        <v>0.41549999999999998</v>
      </c>
      <c r="K2303" s="27">
        <v>0.51070000000000004</v>
      </c>
    </row>
    <row r="2304" spans="1:11">
      <c r="A2304" t="s">
        <v>235</v>
      </c>
      <c r="B2304" t="s">
        <v>204</v>
      </c>
      <c r="C2304">
        <v>31</v>
      </c>
      <c r="D2304" t="s">
        <v>205</v>
      </c>
      <c r="E2304">
        <v>660</v>
      </c>
      <c r="F2304" s="1">
        <v>0.23580000000000001</v>
      </c>
      <c r="H2304" s="1">
        <v>0.1019</v>
      </c>
      <c r="I2304" s="1">
        <v>0.44640000000000002</v>
      </c>
      <c r="J2304" s="1">
        <v>0.31369999999999998</v>
      </c>
      <c r="K2304" s="1">
        <v>0.48349999999999999</v>
      </c>
    </row>
    <row r="2305" spans="1:11" s="26" customFormat="1">
      <c r="A2305" s="26" t="s">
        <v>236</v>
      </c>
      <c r="B2305" s="26" t="s">
        <v>204</v>
      </c>
      <c r="C2305" s="26">
        <v>14</v>
      </c>
      <c r="D2305" s="26" t="s">
        <v>206</v>
      </c>
      <c r="E2305" s="26">
        <v>660</v>
      </c>
      <c r="F2305" s="27">
        <v>0.1792</v>
      </c>
      <c r="G2305" s="27">
        <v>8.9599999999999999E-2</v>
      </c>
      <c r="I2305" s="27">
        <v>0.4491</v>
      </c>
      <c r="J2305" s="27">
        <v>0.47460000000000002</v>
      </c>
      <c r="K2305" s="27">
        <v>0.41039999999999999</v>
      </c>
    </row>
    <row r="2306" spans="1:11">
      <c r="A2306" t="s">
        <v>235</v>
      </c>
      <c r="B2306" t="s">
        <v>204</v>
      </c>
      <c r="C2306">
        <v>32</v>
      </c>
      <c r="D2306" t="s">
        <v>206</v>
      </c>
      <c r="E2306">
        <v>660</v>
      </c>
      <c r="F2306" s="1">
        <v>9.5000000000000001E-2</v>
      </c>
      <c r="G2306" s="1">
        <v>2.5000000000000001E-2</v>
      </c>
      <c r="H2306" s="1">
        <v>0.12</v>
      </c>
      <c r="I2306" s="1">
        <v>0.56989999999999996</v>
      </c>
      <c r="J2306" s="1">
        <v>0.41020000000000001</v>
      </c>
      <c r="K2306" s="1">
        <v>0.5</v>
      </c>
    </row>
    <row r="2307" spans="1:11">
      <c r="A2307" t="s">
        <v>236</v>
      </c>
      <c r="B2307" t="s">
        <v>204</v>
      </c>
      <c r="C2307">
        <v>66</v>
      </c>
      <c r="D2307" t="s">
        <v>207</v>
      </c>
      <c r="E2307">
        <v>660</v>
      </c>
      <c r="F2307" s="1">
        <v>4.3200000000000002E-2</v>
      </c>
      <c r="G2307" s="1">
        <v>0.15429999999999999</v>
      </c>
      <c r="H2307" s="1">
        <v>0.21729999999999999</v>
      </c>
      <c r="I2307" s="1">
        <v>0.56140000000000001</v>
      </c>
      <c r="J2307" s="1">
        <v>0.53420000000000001</v>
      </c>
      <c r="K2307" s="1">
        <v>0.7571</v>
      </c>
    </row>
    <row r="2308" spans="1:11" s="26" customFormat="1">
      <c r="A2308" s="26" t="s">
        <v>235</v>
      </c>
      <c r="B2308" s="26" t="s">
        <v>204</v>
      </c>
      <c r="C2308" s="26">
        <v>29</v>
      </c>
      <c r="D2308" s="26" t="s">
        <v>207</v>
      </c>
      <c r="E2308" s="26">
        <v>660</v>
      </c>
      <c r="F2308" s="27">
        <v>4.4000000000000003E-3</v>
      </c>
      <c r="H2308" s="27">
        <v>0.3286</v>
      </c>
      <c r="I2308" s="27">
        <v>0.75029999999999997</v>
      </c>
      <c r="J2308" s="27">
        <v>0.47470000000000001</v>
      </c>
      <c r="K2308" s="27">
        <v>0.73870000000000002</v>
      </c>
    </row>
    <row r="2309" spans="1:11">
      <c r="A2309" t="s">
        <v>235</v>
      </c>
      <c r="B2309" t="s">
        <v>204</v>
      </c>
      <c r="C2309">
        <v>48</v>
      </c>
      <c r="D2309" t="s">
        <v>208</v>
      </c>
      <c r="E2309">
        <v>660</v>
      </c>
      <c r="F2309" s="1">
        <v>6.25E-2</v>
      </c>
      <c r="G2309" s="1">
        <v>2.0799999999999999E-2</v>
      </c>
      <c r="H2309" s="1">
        <v>4.1700000000000001E-2</v>
      </c>
      <c r="I2309" s="1">
        <v>0.6875</v>
      </c>
      <c r="J2309" s="1">
        <v>0.41670000000000001</v>
      </c>
      <c r="K2309" s="1">
        <v>0.52080000000000004</v>
      </c>
    </row>
    <row r="2310" spans="1:11" s="26" customFormat="1">
      <c r="A2310" s="26" t="s">
        <v>236</v>
      </c>
      <c r="B2310" s="26" t="s">
        <v>199</v>
      </c>
      <c r="C2310" s="26">
        <v>22</v>
      </c>
      <c r="D2310" s="26" t="s">
        <v>203</v>
      </c>
      <c r="E2310" s="26">
        <v>660</v>
      </c>
      <c r="F2310" s="27">
        <v>0.27200000000000002</v>
      </c>
      <c r="G2310" s="27">
        <v>3.1899999999999998E-2</v>
      </c>
      <c r="H2310" s="27">
        <v>0.1527</v>
      </c>
      <c r="I2310" s="27">
        <v>0.61619999999999997</v>
      </c>
      <c r="J2310" s="27">
        <v>0.60729999999999995</v>
      </c>
      <c r="K2310" s="27">
        <v>0.46710000000000002</v>
      </c>
    </row>
    <row r="2311" spans="1:11">
      <c r="A2311" t="s">
        <v>235</v>
      </c>
      <c r="B2311" t="s">
        <v>199</v>
      </c>
      <c r="C2311">
        <v>32</v>
      </c>
      <c r="D2311" t="s">
        <v>203</v>
      </c>
      <c r="E2311">
        <v>660</v>
      </c>
      <c r="F2311" s="1">
        <v>0.13900000000000001</v>
      </c>
      <c r="G2311" s="1">
        <v>5.91E-2</v>
      </c>
      <c r="H2311" s="1">
        <v>0.31609999999999999</v>
      </c>
      <c r="I2311" s="1">
        <v>0.45590000000000003</v>
      </c>
      <c r="J2311" s="1">
        <v>0.54849999999999999</v>
      </c>
      <c r="K2311" s="1">
        <v>0.69120000000000004</v>
      </c>
    </row>
    <row r="2312" spans="1:11">
      <c r="A2312" t="s">
        <v>235</v>
      </c>
      <c r="B2312" t="s">
        <v>199</v>
      </c>
      <c r="C2312">
        <v>31</v>
      </c>
      <c r="D2312" t="s">
        <v>202</v>
      </c>
      <c r="E2312">
        <v>660</v>
      </c>
      <c r="F2312" s="1">
        <v>6.59E-2</v>
      </c>
      <c r="G2312" s="1">
        <v>4.0300000000000002E-2</v>
      </c>
      <c r="H2312" s="1">
        <v>0.18290000000000001</v>
      </c>
      <c r="I2312" s="1">
        <v>0.55449999999999999</v>
      </c>
      <c r="J2312" s="1">
        <v>0.47739999999999999</v>
      </c>
      <c r="K2312" s="1">
        <v>0.65549999999999997</v>
      </c>
    </row>
    <row r="2313" spans="1:11" s="26" customFormat="1">
      <c r="A2313" s="26" t="s">
        <v>236</v>
      </c>
      <c r="B2313" s="26" t="s">
        <v>199</v>
      </c>
      <c r="C2313" s="26">
        <v>11</v>
      </c>
      <c r="D2313" s="26" t="s">
        <v>200</v>
      </c>
      <c r="E2313" s="26">
        <v>660</v>
      </c>
      <c r="G2313" s="27">
        <v>0.33210000000000001</v>
      </c>
      <c r="H2313" s="27">
        <v>0.33210000000000001</v>
      </c>
      <c r="I2313" s="27">
        <v>0.65249999999999997</v>
      </c>
      <c r="J2313" s="27">
        <v>0.2384</v>
      </c>
      <c r="K2313" s="27">
        <v>0.65249999999999997</v>
      </c>
    </row>
    <row r="2314" spans="1:11" s="26" customFormat="1">
      <c r="A2314" s="26" t="s">
        <v>235</v>
      </c>
      <c r="B2314" s="26" t="s">
        <v>199</v>
      </c>
      <c r="C2314" s="26">
        <v>28</v>
      </c>
      <c r="D2314" s="26" t="s">
        <v>200</v>
      </c>
      <c r="E2314" s="26">
        <v>660</v>
      </c>
      <c r="F2314" s="27">
        <v>8.5000000000000006E-3</v>
      </c>
      <c r="H2314" s="27">
        <v>8.5000000000000006E-3</v>
      </c>
      <c r="I2314" s="27">
        <v>0.96179999999999999</v>
      </c>
      <c r="J2314" s="27">
        <v>0.30449999999999999</v>
      </c>
      <c r="K2314" s="27">
        <v>0.67869999999999997</v>
      </c>
    </row>
    <row r="2315" spans="1:11" s="26" customFormat="1">
      <c r="A2315" s="26" t="s">
        <v>236</v>
      </c>
      <c r="B2315" s="26" t="s">
        <v>199</v>
      </c>
      <c r="C2315" s="26">
        <v>20</v>
      </c>
      <c r="D2315" s="26" t="s">
        <v>202</v>
      </c>
      <c r="E2315" s="26">
        <v>660</v>
      </c>
      <c r="H2315" s="27">
        <v>5.9299999999999999E-2</v>
      </c>
      <c r="I2315" s="27">
        <v>0.53039999999999998</v>
      </c>
      <c r="J2315" s="27">
        <v>0.55120000000000002</v>
      </c>
      <c r="K2315" s="27">
        <v>0.6956</v>
      </c>
    </row>
    <row r="2316" spans="1:11">
      <c r="A2316" t="s">
        <v>235</v>
      </c>
      <c r="B2316" t="s">
        <v>199</v>
      </c>
      <c r="C2316">
        <v>66</v>
      </c>
      <c r="D2316" t="s">
        <v>201</v>
      </c>
      <c r="E2316">
        <v>660</v>
      </c>
      <c r="F2316" s="1">
        <v>6.0600000000000001E-2</v>
      </c>
      <c r="G2316" s="1">
        <v>7.5800000000000006E-2</v>
      </c>
      <c r="H2316" s="1">
        <v>4.5499999999999999E-2</v>
      </c>
      <c r="I2316" s="1">
        <v>0.51519999999999999</v>
      </c>
      <c r="J2316" s="1">
        <v>0.48480000000000001</v>
      </c>
      <c r="K2316" s="1">
        <v>0.48480000000000001</v>
      </c>
    </row>
    <row r="2317" spans="1:11" s="26" customFormat="1">
      <c r="A2317" s="26" t="s">
        <v>236</v>
      </c>
      <c r="B2317" s="26" t="s">
        <v>209</v>
      </c>
      <c r="C2317" s="26">
        <v>25</v>
      </c>
      <c r="D2317" s="26" t="s">
        <v>211</v>
      </c>
      <c r="E2317" s="26">
        <v>660</v>
      </c>
      <c r="F2317" s="27">
        <v>9.8400000000000001E-2</v>
      </c>
      <c r="H2317" s="27">
        <v>1.9E-2</v>
      </c>
      <c r="I2317" s="27">
        <v>0.75560000000000005</v>
      </c>
      <c r="J2317" s="27">
        <v>0.36980000000000002</v>
      </c>
      <c r="K2317" s="27">
        <v>0.39219999999999999</v>
      </c>
    </row>
    <row r="2318" spans="1:11">
      <c r="A2318" t="s">
        <v>235</v>
      </c>
      <c r="B2318" t="s">
        <v>209</v>
      </c>
      <c r="C2318">
        <v>37</v>
      </c>
      <c r="D2318" t="s">
        <v>211</v>
      </c>
      <c r="E2318">
        <v>660</v>
      </c>
      <c r="F2318" s="1">
        <v>6.8099999999999994E-2</v>
      </c>
      <c r="G2318" s="1">
        <v>2.69E-2</v>
      </c>
      <c r="H2318" s="1">
        <v>0.1148</v>
      </c>
      <c r="I2318" s="1">
        <v>0.65549999999999997</v>
      </c>
      <c r="J2318" s="1">
        <v>0.46949999999999997</v>
      </c>
      <c r="K2318" s="1">
        <v>0.53280000000000005</v>
      </c>
    </row>
    <row r="2319" spans="1:11">
      <c r="A2319" t="s">
        <v>235</v>
      </c>
      <c r="B2319" t="s">
        <v>209</v>
      </c>
      <c r="C2319">
        <v>58</v>
      </c>
      <c r="D2319" t="s">
        <v>212</v>
      </c>
      <c r="E2319">
        <v>660</v>
      </c>
      <c r="F2319" s="1">
        <v>1.8599999999999998E-2</v>
      </c>
      <c r="H2319" s="1">
        <v>0.1925</v>
      </c>
      <c r="I2319" s="1">
        <v>0.60950000000000004</v>
      </c>
      <c r="J2319" s="1">
        <v>0.48060000000000003</v>
      </c>
      <c r="K2319" s="1">
        <v>0.67059999999999997</v>
      </c>
    </row>
    <row r="2320" spans="1:11" s="26" customFormat="1">
      <c r="A2320" s="26" t="s">
        <v>236</v>
      </c>
      <c r="B2320" s="26" t="s">
        <v>209</v>
      </c>
      <c r="C2320" s="26">
        <v>13</v>
      </c>
      <c r="D2320" s="26" t="s">
        <v>212</v>
      </c>
      <c r="E2320" s="26">
        <v>660</v>
      </c>
      <c r="F2320" s="27">
        <v>5.4699999999999999E-2</v>
      </c>
      <c r="G2320" s="27">
        <v>0.12959999999999999</v>
      </c>
      <c r="H2320" s="27">
        <v>2.3599999999999999E-2</v>
      </c>
      <c r="I2320" s="27">
        <v>0.56410000000000005</v>
      </c>
      <c r="J2320" s="27">
        <v>0.29430000000000001</v>
      </c>
      <c r="K2320" s="27">
        <v>0.6804</v>
      </c>
    </row>
    <row r="2321" spans="1:11" s="26" customFormat="1">
      <c r="A2321" s="26" t="s">
        <v>235</v>
      </c>
      <c r="B2321" s="26" t="s">
        <v>209</v>
      </c>
      <c r="C2321" s="26">
        <v>23</v>
      </c>
      <c r="D2321" s="26" t="s">
        <v>210</v>
      </c>
      <c r="E2321" s="26">
        <v>660</v>
      </c>
      <c r="F2321" s="27">
        <v>4.4499999999999998E-2</v>
      </c>
      <c r="G2321" s="27">
        <v>8.8999999999999996E-2</v>
      </c>
      <c r="I2321" s="27">
        <v>0.623</v>
      </c>
      <c r="J2321" s="27">
        <v>0.55500000000000005</v>
      </c>
      <c r="K2321" s="27">
        <v>0.64400000000000002</v>
      </c>
    </row>
    <row r="2322" spans="1:11" s="26" customFormat="1">
      <c r="A2322" s="26" t="s">
        <v>236</v>
      </c>
      <c r="B2322" s="26" t="s">
        <v>209</v>
      </c>
      <c r="C2322" s="26">
        <v>29</v>
      </c>
      <c r="D2322" s="26" t="s">
        <v>210</v>
      </c>
      <c r="E2322" s="26">
        <v>660</v>
      </c>
      <c r="F2322" s="27">
        <v>8.4699999999999998E-2</v>
      </c>
      <c r="G2322" s="27">
        <v>0.1118</v>
      </c>
      <c r="H2322" s="27">
        <v>5.7500000000000002E-2</v>
      </c>
      <c r="I2322" s="27">
        <v>0.61019999999999996</v>
      </c>
      <c r="J2322" s="27">
        <v>0.52880000000000005</v>
      </c>
      <c r="K2322" s="27">
        <v>0.3291</v>
      </c>
    </row>
    <row r="2324" spans="1:11">
      <c r="A2324" t="s">
        <v>728</v>
      </c>
    </row>
    <row r="2325" spans="1:11">
      <c r="A2325" t="s">
        <v>189</v>
      </c>
      <c r="B2325" t="s">
        <v>195</v>
      </c>
      <c r="C2325" t="s">
        <v>190</v>
      </c>
      <c r="D2325" t="s">
        <v>196</v>
      </c>
      <c r="E2325" t="s">
        <v>729</v>
      </c>
      <c r="F2325" t="s">
        <v>730</v>
      </c>
      <c r="G2325" t="s">
        <v>731</v>
      </c>
      <c r="H2325" t="s">
        <v>732</v>
      </c>
    </row>
    <row r="2326" spans="1:11">
      <c r="A2326" t="s">
        <v>197</v>
      </c>
      <c r="B2326">
        <v>963</v>
      </c>
      <c r="C2326" t="s">
        <v>198</v>
      </c>
      <c r="D2326">
        <v>963</v>
      </c>
      <c r="E2326" s="1">
        <v>0.33489999999999998</v>
      </c>
      <c r="F2326" s="1">
        <v>6.6900000000000001E-2</v>
      </c>
      <c r="G2326" s="1">
        <v>0.30230000000000001</v>
      </c>
      <c r="H2326" s="1">
        <v>0.2959</v>
      </c>
    </row>
    <row r="2327" spans="1:11">
      <c r="A2327" t="s">
        <v>204</v>
      </c>
      <c r="B2327">
        <v>90</v>
      </c>
      <c r="C2327" t="s">
        <v>205</v>
      </c>
      <c r="D2327">
        <v>963</v>
      </c>
      <c r="E2327" s="1">
        <v>0.20699999999999999</v>
      </c>
      <c r="F2327" s="1">
        <v>7.6999999999999999E-2</v>
      </c>
      <c r="G2327" s="1">
        <v>0.51090000000000002</v>
      </c>
      <c r="H2327" s="1">
        <v>0.2051</v>
      </c>
    </row>
    <row r="2328" spans="1:11">
      <c r="A2328" t="s">
        <v>204</v>
      </c>
      <c r="B2328">
        <v>72</v>
      </c>
      <c r="C2328" t="s">
        <v>206</v>
      </c>
      <c r="D2328">
        <v>963</v>
      </c>
      <c r="E2328" s="1">
        <v>0.33029999999999998</v>
      </c>
      <c r="F2328" s="1">
        <v>3.9600000000000003E-2</v>
      </c>
      <c r="G2328" s="1">
        <v>0.30230000000000001</v>
      </c>
      <c r="H2328" s="1">
        <v>0.32779999999999998</v>
      </c>
    </row>
    <row r="2329" spans="1:11">
      <c r="A2329" t="s">
        <v>204</v>
      </c>
      <c r="B2329">
        <v>131</v>
      </c>
      <c r="C2329" t="s">
        <v>207</v>
      </c>
      <c r="D2329">
        <v>963</v>
      </c>
      <c r="E2329" s="1">
        <v>0.36820000000000003</v>
      </c>
      <c r="F2329" s="1">
        <v>1.6899999999999998E-2</v>
      </c>
      <c r="G2329" s="1">
        <v>0.22889999999999999</v>
      </c>
      <c r="H2329" s="1">
        <v>0.38590000000000002</v>
      </c>
    </row>
    <row r="2330" spans="1:11">
      <c r="A2330" t="s">
        <v>204</v>
      </c>
      <c r="B2330">
        <v>74</v>
      </c>
      <c r="C2330" t="s">
        <v>208</v>
      </c>
      <c r="D2330">
        <v>963</v>
      </c>
      <c r="E2330" s="1">
        <v>0.47299999999999998</v>
      </c>
      <c r="F2330" s="1">
        <v>6.7599999999999993E-2</v>
      </c>
      <c r="G2330" s="1">
        <v>0.18920000000000001</v>
      </c>
      <c r="H2330" s="1">
        <v>0.27029999999999998</v>
      </c>
    </row>
    <row r="2331" spans="1:11">
      <c r="A2331" t="s">
        <v>199</v>
      </c>
      <c r="B2331">
        <v>73</v>
      </c>
      <c r="C2331" t="s">
        <v>200</v>
      </c>
      <c r="D2331">
        <v>963</v>
      </c>
      <c r="E2331" s="1">
        <v>0.32390000000000002</v>
      </c>
      <c r="F2331" s="1">
        <v>5.2699999999999997E-2</v>
      </c>
      <c r="G2331" s="1">
        <v>0.22009999999999999</v>
      </c>
      <c r="H2331" s="1">
        <v>0.4032</v>
      </c>
    </row>
    <row r="2332" spans="1:11">
      <c r="A2332" t="s">
        <v>199</v>
      </c>
      <c r="B2332">
        <v>95</v>
      </c>
      <c r="C2332" t="s">
        <v>201</v>
      </c>
      <c r="D2332">
        <v>963</v>
      </c>
      <c r="E2332" s="1">
        <v>0.37890000000000001</v>
      </c>
      <c r="F2332" s="1">
        <v>6.3200000000000006E-2</v>
      </c>
      <c r="G2332" s="1">
        <v>0.24210000000000001</v>
      </c>
      <c r="H2332" s="1">
        <v>0.31580000000000003</v>
      </c>
    </row>
    <row r="2333" spans="1:11">
      <c r="A2333" t="s">
        <v>199</v>
      </c>
      <c r="B2333">
        <v>98</v>
      </c>
      <c r="C2333" t="s">
        <v>202</v>
      </c>
      <c r="D2333">
        <v>963</v>
      </c>
      <c r="E2333" s="1">
        <v>0.24279999999999999</v>
      </c>
      <c r="F2333" s="1">
        <v>6.3600000000000004E-2</v>
      </c>
      <c r="G2333" s="1">
        <v>0.40989999999999999</v>
      </c>
      <c r="H2333" s="1">
        <v>0.28370000000000001</v>
      </c>
    </row>
    <row r="2334" spans="1:11">
      <c r="A2334" t="s">
        <v>199</v>
      </c>
      <c r="B2334">
        <v>77</v>
      </c>
      <c r="C2334" t="s">
        <v>203</v>
      </c>
      <c r="D2334">
        <v>963</v>
      </c>
      <c r="E2334" s="1">
        <v>0.37469999999999998</v>
      </c>
      <c r="F2334" s="1">
        <v>9.8699999999999996E-2</v>
      </c>
      <c r="G2334" s="1">
        <v>0.2238</v>
      </c>
      <c r="H2334" s="1">
        <v>0.30280000000000001</v>
      </c>
    </row>
    <row r="2335" spans="1:11">
      <c r="A2335" t="s">
        <v>209</v>
      </c>
      <c r="B2335">
        <v>74</v>
      </c>
      <c r="C2335" t="s">
        <v>210</v>
      </c>
      <c r="D2335">
        <v>963</v>
      </c>
      <c r="E2335" s="1">
        <v>0.27689999999999998</v>
      </c>
      <c r="F2335" s="1">
        <v>0.27050000000000002</v>
      </c>
      <c r="G2335" s="1">
        <v>0.2185</v>
      </c>
      <c r="H2335" s="1">
        <v>0.23419999999999999</v>
      </c>
    </row>
    <row r="2336" spans="1:11">
      <c r="A2336" t="s">
        <v>209</v>
      </c>
      <c r="B2336">
        <v>95</v>
      </c>
      <c r="C2336" t="s">
        <v>211</v>
      </c>
      <c r="D2336">
        <v>963</v>
      </c>
      <c r="E2336" s="1">
        <v>0.40210000000000001</v>
      </c>
      <c r="F2336" s="1">
        <v>3.2000000000000001E-2</v>
      </c>
      <c r="G2336" s="1">
        <v>0.24210000000000001</v>
      </c>
      <c r="H2336" s="1">
        <v>0.32379999999999998</v>
      </c>
    </row>
    <row r="2337" spans="1:9">
      <c r="A2337" t="s">
        <v>209</v>
      </c>
      <c r="B2337">
        <v>84</v>
      </c>
      <c r="C2337" t="s">
        <v>212</v>
      </c>
      <c r="D2337">
        <v>963</v>
      </c>
      <c r="E2337" s="1">
        <v>0.46229999999999999</v>
      </c>
      <c r="F2337" s="1">
        <v>0.12939999999999999</v>
      </c>
      <c r="G2337" s="1">
        <v>0.11169999999999999</v>
      </c>
      <c r="H2337" s="1">
        <v>0.29659999999999997</v>
      </c>
    </row>
    <row r="2339" spans="1:9">
      <c r="A2339" t="s">
        <v>733</v>
      </c>
    </row>
    <row r="2340" spans="1:9">
      <c r="A2340" t="s">
        <v>214</v>
      </c>
      <c r="B2340" t="s">
        <v>189</v>
      </c>
      <c r="C2340" t="s">
        <v>195</v>
      </c>
      <c r="D2340" t="s">
        <v>190</v>
      </c>
      <c r="E2340" t="s">
        <v>196</v>
      </c>
      <c r="F2340" t="s">
        <v>729</v>
      </c>
      <c r="G2340" t="s">
        <v>730</v>
      </c>
      <c r="H2340" t="s">
        <v>731</v>
      </c>
      <c r="I2340" t="s">
        <v>732</v>
      </c>
    </row>
    <row r="2341" spans="1:9">
      <c r="A2341" t="s">
        <v>198</v>
      </c>
      <c r="B2341" t="s">
        <v>197</v>
      </c>
      <c r="C2341">
        <v>963</v>
      </c>
      <c r="D2341" t="s">
        <v>198</v>
      </c>
      <c r="E2341">
        <v>963</v>
      </c>
      <c r="F2341" s="1">
        <v>0.33489999999999998</v>
      </c>
      <c r="G2341" s="1">
        <v>6.6900000000000001E-2</v>
      </c>
      <c r="H2341" s="1">
        <v>0.30230000000000001</v>
      </c>
      <c r="I2341" s="1">
        <v>0.2959</v>
      </c>
    </row>
    <row r="2342" spans="1:9">
      <c r="A2342" t="s">
        <v>235</v>
      </c>
      <c r="B2342" t="s">
        <v>204</v>
      </c>
      <c r="C2342">
        <v>63</v>
      </c>
      <c r="D2342" t="s">
        <v>208</v>
      </c>
      <c r="E2342">
        <v>963</v>
      </c>
      <c r="F2342" s="1">
        <v>0.46029999999999999</v>
      </c>
      <c r="G2342" s="1">
        <v>4.7600000000000003E-2</v>
      </c>
      <c r="H2342" s="1">
        <v>0.20630000000000001</v>
      </c>
      <c r="I2342" s="1">
        <v>0.28570000000000001</v>
      </c>
    </row>
    <row r="2343" spans="1:9">
      <c r="A2343" t="s">
        <v>236</v>
      </c>
      <c r="B2343" t="s">
        <v>204</v>
      </c>
      <c r="C2343">
        <v>32</v>
      </c>
      <c r="D2343" t="s">
        <v>205</v>
      </c>
      <c r="E2343">
        <v>963</v>
      </c>
      <c r="F2343" s="1">
        <v>0.29089999999999999</v>
      </c>
      <c r="G2343" s="1">
        <v>5.4699999999999999E-2</v>
      </c>
      <c r="H2343" s="1">
        <v>0.4637</v>
      </c>
      <c r="I2343" s="1">
        <v>0.1908</v>
      </c>
    </row>
    <row r="2344" spans="1:9">
      <c r="A2344" t="s">
        <v>235</v>
      </c>
      <c r="B2344" t="s">
        <v>204</v>
      </c>
      <c r="C2344">
        <v>57</v>
      </c>
      <c r="D2344" t="s">
        <v>205</v>
      </c>
      <c r="E2344">
        <v>963</v>
      </c>
      <c r="F2344" s="1">
        <v>0.18640000000000001</v>
      </c>
      <c r="G2344" s="1">
        <v>8.2100000000000006E-2</v>
      </c>
      <c r="H2344" s="1">
        <v>0.52270000000000005</v>
      </c>
      <c r="I2344" s="1">
        <v>0.20880000000000001</v>
      </c>
    </row>
    <row r="2345" spans="1:9" s="26" customFormat="1">
      <c r="A2345" s="26" t="s">
        <v>236</v>
      </c>
      <c r="B2345" s="26" t="s">
        <v>204</v>
      </c>
      <c r="C2345" s="26">
        <v>21</v>
      </c>
      <c r="D2345" s="26" t="s">
        <v>206</v>
      </c>
      <c r="E2345" s="26">
        <v>963</v>
      </c>
      <c r="F2345" s="27">
        <v>0.37609999999999999</v>
      </c>
      <c r="G2345" s="27">
        <v>4.2799999999999998E-2</v>
      </c>
      <c r="H2345" s="27">
        <v>0.24779999999999999</v>
      </c>
      <c r="I2345" s="27">
        <v>0.33329999999999999</v>
      </c>
    </row>
    <row r="2346" spans="1:9">
      <c r="A2346" t="s">
        <v>235</v>
      </c>
      <c r="B2346" t="s">
        <v>204</v>
      </c>
      <c r="C2346">
        <v>47</v>
      </c>
      <c r="D2346" t="s">
        <v>206</v>
      </c>
      <c r="E2346">
        <v>963</v>
      </c>
      <c r="F2346" s="1">
        <v>0.3196</v>
      </c>
      <c r="G2346" s="1">
        <v>4.1200000000000001E-2</v>
      </c>
      <c r="H2346" s="1">
        <v>0.28870000000000001</v>
      </c>
      <c r="I2346" s="1">
        <v>0.35039999999999999</v>
      </c>
    </row>
    <row r="2347" spans="1:9">
      <c r="A2347" t="s">
        <v>236</v>
      </c>
      <c r="B2347" t="s">
        <v>204</v>
      </c>
      <c r="C2347">
        <v>81</v>
      </c>
      <c r="D2347" t="s">
        <v>207</v>
      </c>
      <c r="E2347">
        <v>963</v>
      </c>
      <c r="F2347" s="1">
        <v>0.35830000000000001</v>
      </c>
      <c r="G2347" s="1">
        <v>3.56E-2</v>
      </c>
      <c r="H2347" s="1">
        <v>0.16789999999999999</v>
      </c>
      <c r="I2347" s="1">
        <v>0.43819999999999998</v>
      </c>
    </row>
    <row r="2348" spans="1:9">
      <c r="A2348" t="s">
        <v>235</v>
      </c>
      <c r="B2348" t="s">
        <v>204</v>
      </c>
      <c r="C2348">
        <v>45</v>
      </c>
      <c r="D2348" t="s">
        <v>207</v>
      </c>
      <c r="E2348">
        <v>963</v>
      </c>
      <c r="F2348" s="1">
        <v>0.36480000000000001</v>
      </c>
      <c r="G2348" s="1">
        <v>4.3E-3</v>
      </c>
      <c r="H2348" s="1">
        <v>0.27679999999999999</v>
      </c>
      <c r="I2348" s="1">
        <v>0.35410000000000003</v>
      </c>
    </row>
    <row r="2349" spans="1:9" s="26" customFormat="1">
      <c r="A2349" s="26" t="s">
        <v>236</v>
      </c>
      <c r="B2349" s="26" t="s">
        <v>204</v>
      </c>
      <c r="C2349" s="26">
        <v>11</v>
      </c>
      <c r="D2349" s="26" t="s">
        <v>208</v>
      </c>
      <c r="E2349" s="26">
        <v>963</v>
      </c>
      <c r="F2349" s="27">
        <v>0.54549999999999998</v>
      </c>
      <c r="G2349" s="27">
        <v>0.18179999999999999</v>
      </c>
      <c r="H2349" s="27">
        <v>9.0899999999999995E-2</v>
      </c>
      <c r="I2349" s="27">
        <v>0.18179999999999999</v>
      </c>
    </row>
    <row r="2350" spans="1:9">
      <c r="A2350" t="s">
        <v>235</v>
      </c>
      <c r="B2350" t="s">
        <v>199</v>
      </c>
      <c r="C2350">
        <v>44</v>
      </c>
      <c r="D2350" t="s">
        <v>203</v>
      </c>
      <c r="E2350">
        <v>963</v>
      </c>
      <c r="F2350" s="1">
        <v>0.40949999999999998</v>
      </c>
      <c r="G2350" s="1">
        <v>0.1139</v>
      </c>
      <c r="H2350" s="1">
        <v>0.1895</v>
      </c>
      <c r="I2350" s="1">
        <v>0.28710000000000002</v>
      </c>
    </row>
    <row r="2351" spans="1:9">
      <c r="A2351" t="s">
        <v>236</v>
      </c>
      <c r="B2351" t="s">
        <v>199</v>
      </c>
      <c r="C2351">
        <v>32</v>
      </c>
      <c r="D2351" t="s">
        <v>203</v>
      </c>
      <c r="E2351">
        <v>963</v>
      </c>
      <c r="F2351" s="1">
        <v>0.26290000000000002</v>
      </c>
      <c r="G2351" s="1">
        <v>7.8799999999999995E-2</v>
      </c>
      <c r="H2351" s="1">
        <v>0.30349999999999999</v>
      </c>
      <c r="I2351" s="1">
        <v>0.3548</v>
      </c>
    </row>
    <row r="2352" spans="1:9">
      <c r="A2352" t="s">
        <v>235</v>
      </c>
      <c r="B2352" t="s">
        <v>199</v>
      </c>
      <c r="C2352">
        <v>60</v>
      </c>
      <c r="D2352" t="s">
        <v>202</v>
      </c>
      <c r="E2352">
        <v>963</v>
      </c>
      <c r="F2352" s="1">
        <v>0.33300000000000002</v>
      </c>
      <c r="G2352" s="1">
        <v>2.3599999999999999E-2</v>
      </c>
      <c r="H2352" s="1">
        <v>0.39329999999999998</v>
      </c>
      <c r="I2352" s="1">
        <v>0.25009999999999999</v>
      </c>
    </row>
    <row r="2353" spans="1:22" s="26" customFormat="1">
      <c r="A2353" s="26" t="s">
        <v>236</v>
      </c>
      <c r="B2353" s="26" t="s">
        <v>199</v>
      </c>
      <c r="C2353" s="26">
        <v>24</v>
      </c>
      <c r="D2353" s="26" t="s">
        <v>200</v>
      </c>
      <c r="E2353" s="26">
        <v>963</v>
      </c>
      <c r="F2353" s="27">
        <v>0.2208</v>
      </c>
      <c r="G2353" s="27">
        <v>3.3999999999999998E-3</v>
      </c>
      <c r="H2353" s="27">
        <v>0.29380000000000001</v>
      </c>
      <c r="I2353" s="27">
        <v>0.48199999999999998</v>
      </c>
    </row>
    <row r="2354" spans="1:22">
      <c r="A2354" t="s">
        <v>235</v>
      </c>
      <c r="B2354" t="s">
        <v>199</v>
      </c>
      <c r="C2354">
        <v>46</v>
      </c>
      <c r="D2354" t="s">
        <v>200</v>
      </c>
      <c r="E2354">
        <v>963</v>
      </c>
      <c r="F2354" s="1">
        <v>0.41889999999999999</v>
      </c>
      <c r="G2354" s="1">
        <v>9.7299999999999998E-2</v>
      </c>
      <c r="H2354" s="1">
        <v>0.15640000000000001</v>
      </c>
      <c r="I2354" s="1">
        <v>0.32750000000000001</v>
      </c>
    </row>
    <row r="2355" spans="1:22">
      <c r="A2355" t="s">
        <v>236</v>
      </c>
      <c r="B2355" t="s">
        <v>199</v>
      </c>
      <c r="C2355">
        <v>37</v>
      </c>
      <c r="D2355" t="s">
        <v>202</v>
      </c>
      <c r="E2355">
        <v>963</v>
      </c>
      <c r="F2355" s="1">
        <v>0.12540000000000001</v>
      </c>
      <c r="G2355" s="1">
        <v>8.8400000000000006E-2</v>
      </c>
      <c r="H2355" s="1">
        <v>0.44650000000000001</v>
      </c>
      <c r="I2355" s="1">
        <v>0.3397</v>
      </c>
    </row>
    <row r="2356" spans="1:22">
      <c r="A2356" t="s">
        <v>235</v>
      </c>
      <c r="B2356" t="s">
        <v>199</v>
      </c>
      <c r="C2356">
        <v>95</v>
      </c>
      <c r="D2356" t="s">
        <v>201</v>
      </c>
      <c r="E2356">
        <v>963</v>
      </c>
      <c r="F2356" s="1">
        <v>0.37890000000000001</v>
      </c>
      <c r="G2356" s="1">
        <v>6.3200000000000006E-2</v>
      </c>
      <c r="H2356" s="1">
        <v>0.24210000000000001</v>
      </c>
      <c r="I2356" s="1">
        <v>0.31580000000000003</v>
      </c>
    </row>
    <row r="2357" spans="1:22">
      <c r="A2357" t="s">
        <v>236</v>
      </c>
      <c r="B2357" t="s">
        <v>209</v>
      </c>
      <c r="C2357">
        <v>38</v>
      </c>
      <c r="D2357" t="s">
        <v>211</v>
      </c>
      <c r="E2357">
        <v>963</v>
      </c>
      <c r="F2357" s="1">
        <v>0.372</v>
      </c>
      <c r="G2357" s="1">
        <v>5.5E-2</v>
      </c>
      <c r="H2357" s="1">
        <v>0.28010000000000002</v>
      </c>
      <c r="I2357" s="1">
        <v>0.29289999999999999</v>
      </c>
    </row>
    <row r="2358" spans="1:22">
      <c r="A2358" t="s">
        <v>235</v>
      </c>
      <c r="B2358" t="s">
        <v>209</v>
      </c>
      <c r="C2358">
        <v>55</v>
      </c>
      <c r="D2358" t="s">
        <v>211</v>
      </c>
      <c r="E2358">
        <v>963</v>
      </c>
      <c r="F2358" s="1">
        <v>0.41499999999999998</v>
      </c>
      <c r="G2358" s="1">
        <v>0.02</v>
      </c>
      <c r="H2358" s="1">
        <v>0.23200000000000001</v>
      </c>
      <c r="I2358" s="1">
        <v>0.33300000000000002</v>
      </c>
    </row>
    <row r="2359" spans="1:22">
      <c r="A2359" t="s">
        <v>235</v>
      </c>
      <c r="B2359" t="s">
        <v>209</v>
      </c>
      <c r="C2359">
        <v>66</v>
      </c>
      <c r="D2359" t="s">
        <v>212</v>
      </c>
      <c r="E2359">
        <v>963</v>
      </c>
      <c r="F2359" s="1">
        <v>0.4849</v>
      </c>
      <c r="G2359" s="1">
        <v>0.13009999999999999</v>
      </c>
      <c r="H2359" s="1">
        <v>9.8199999999999996E-2</v>
      </c>
      <c r="I2359" s="1">
        <v>0.28689999999999999</v>
      </c>
    </row>
    <row r="2360" spans="1:22" s="26" customFormat="1">
      <c r="A2360" s="26" t="s">
        <v>236</v>
      </c>
      <c r="B2360" s="26" t="s">
        <v>209</v>
      </c>
      <c r="C2360" s="26">
        <v>18</v>
      </c>
      <c r="D2360" s="26" t="s">
        <v>212</v>
      </c>
      <c r="E2360" s="26">
        <v>963</v>
      </c>
      <c r="F2360" s="27">
        <v>0.32190000000000002</v>
      </c>
      <c r="G2360" s="27">
        <v>0.125</v>
      </c>
      <c r="H2360" s="27">
        <v>0.19620000000000001</v>
      </c>
      <c r="I2360" s="27">
        <v>0.3569</v>
      </c>
    </row>
    <row r="2361" spans="1:22">
      <c r="A2361" t="s">
        <v>236</v>
      </c>
      <c r="B2361" t="s">
        <v>209</v>
      </c>
      <c r="C2361">
        <v>38</v>
      </c>
      <c r="D2361" t="s">
        <v>210</v>
      </c>
      <c r="E2361">
        <v>963</v>
      </c>
      <c r="F2361" s="1">
        <v>0.35289999999999999</v>
      </c>
      <c r="G2361" s="1">
        <v>0.20810000000000001</v>
      </c>
      <c r="H2361" s="1">
        <v>0.21049999999999999</v>
      </c>
      <c r="I2361" s="1">
        <v>0.22850000000000001</v>
      </c>
    </row>
    <row r="2362" spans="1:22">
      <c r="A2362" t="s">
        <v>235</v>
      </c>
      <c r="B2362" t="s">
        <v>209</v>
      </c>
      <c r="C2362">
        <v>32</v>
      </c>
      <c r="D2362" t="s">
        <v>210</v>
      </c>
      <c r="E2362">
        <v>963</v>
      </c>
      <c r="F2362" s="1">
        <v>0.24149999999999999</v>
      </c>
      <c r="G2362" s="1">
        <v>0.33839999999999998</v>
      </c>
      <c r="H2362" s="1">
        <v>0.22620000000000001</v>
      </c>
      <c r="I2362" s="1">
        <v>0.19389999999999999</v>
      </c>
    </row>
    <row r="2364" spans="1:22">
      <c r="A2364" t="s">
        <v>734</v>
      </c>
    </row>
    <row r="2365" spans="1:22">
      <c r="A2365" t="s">
        <v>189</v>
      </c>
      <c r="B2365" t="s">
        <v>195</v>
      </c>
      <c r="C2365" t="s">
        <v>190</v>
      </c>
      <c r="D2365" t="s">
        <v>196</v>
      </c>
      <c r="E2365" t="s">
        <v>735</v>
      </c>
      <c r="F2365" t="s">
        <v>736</v>
      </c>
      <c r="G2365" t="s">
        <v>737</v>
      </c>
      <c r="H2365" t="s">
        <v>228</v>
      </c>
      <c r="I2365" t="s">
        <v>738</v>
      </c>
      <c r="J2365" t="s">
        <v>739</v>
      </c>
      <c r="K2365" t="s">
        <v>276</v>
      </c>
      <c r="L2365" t="s">
        <v>278</v>
      </c>
      <c r="M2365" t="s">
        <v>223</v>
      </c>
      <c r="N2365" t="s">
        <v>740</v>
      </c>
      <c r="O2365" t="s">
        <v>741</v>
      </c>
      <c r="P2365" t="s">
        <v>742</v>
      </c>
      <c r="Q2365" t="s">
        <v>743</v>
      </c>
      <c r="R2365" t="s">
        <v>744</v>
      </c>
      <c r="S2365" t="s">
        <v>745</v>
      </c>
      <c r="T2365" t="s">
        <v>746</v>
      </c>
      <c r="U2365" t="s">
        <v>747</v>
      </c>
      <c r="V2365" t="s">
        <v>748</v>
      </c>
    </row>
    <row r="2366" spans="1:22">
      <c r="A2366" t="s">
        <v>197</v>
      </c>
      <c r="B2366">
        <v>964</v>
      </c>
      <c r="C2366" t="s">
        <v>198</v>
      </c>
      <c r="D2366">
        <v>964</v>
      </c>
      <c r="E2366" s="1">
        <v>3.04E-2</v>
      </c>
      <c r="F2366" s="1">
        <v>0.14030000000000001</v>
      </c>
      <c r="G2366" s="1">
        <v>8.5000000000000006E-3</v>
      </c>
      <c r="H2366" s="1">
        <v>1.61E-2</v>
      </c>
      <c r="I2366" s="1">
        <v>0</v>
      </c>
      <c r="J2366" s="1">
        <v>1.2200000000000001E-2</v>
      </c>
      <c r="K2366" s="1">
        <v>0.2218</v>
      </c>
      <c r="L2366" s="1">
        <v>2.5999999999999999E-3</v>
      </c>
      <c r="M2366" s="1">
        <v>2.3999999999999998E-3</v>
      </c>
      <c r="N2366" s="1">
        <v>1.54E-2</v>
      </c>
      <c r="O2366" s="1">
        <v>5.5599999999999997E-2</v>
      </c>
      <c r="P2366" s="1">
        <v>1.46E-2</v>
      </c>
      <c r="Q2366" s="1">
        <v>1.77E-2</v>
      </c>
      <c r="R2366" s="1">
        <v>3.0000000000000001E-3</v>
      </c>
      <c r="S2366" s="1">
        <v>4.1000000000000003E-3</v>
      </c>
      <c r="T2366" s="1">
        <v>0.59740000000000004</v>
      </c>
      <c r="U2366" s="1">
        <v>0.64439999999999997</v>
      </c>
      <c r="V2366" s="1">
        <v>0.62129999999999996</v>
      </c>
    </row>
    <row r="2367" spans="1:22">
      <c r="A2367" t="s">
        <v>204</v>
      </c>
      <c r="B2367">
        <v>91</v>
      </c>
      <c r="C2367" t="s">
        <v>205</v>
      </c>
      <c r="D2367">
        <v>964</v>
      </c>
      <c r="E2367" s="1">
        <v>3.6700000000000003E-2</v>
      </c>
      <c r="F2367" s="1">
        <v>0.22900000000000001</v>
      </c>
      <c r="G2367" s="1">
        <v>1.2E-2</v>
      </c>
      <c r="J2367" s="1">
        <v>4.1799999999999997E-2</v>
      </c>
      <c r="K2367" s="1">
        <v>0.21490000000000001</v>
      </c>
      <c r="N2367" s="1">
        <v>2.3999999999999998E-3</v>
      </c>
      <c r="O2367" s="1">
        <v>3.9199999999999999E-2</v>
      </c>
      <c r="P2367" s="1">
        <v>2.0899999999999998E-2</v>
      </c>
      <c r="Q2367" s="1">
        <v>5.7599999999999998E-2</v>
      </c>
      <c r="T2367" s="1">
        <v>0.57669999999999999</v>
      </c>
      <c r="U2367" s="1">
        <v>0.62250000000000005</v>
      </c>
      <c r="V2367" s="1">
        <v>0.55610000000000004</v>
      </c>
    </row>
    <row r="2368" spans="1:22">
      <c r="A2368" t="s">
        <v>204</v>
      </c>
      <c r="B2368">
        <v>71</v>
      </c>
      <c r="C2368" t="s">
        <v>206</v>
      </c>
      <c r="D2368">
        <v>964</v>
      </c>
      <c r="F2368" s="1">
        <v>1.18E-2</v>
      </c>
      <c r="H2368" s="1">
        <v>4.4900000000000002E-2</v>
      </c>
      <c r="J2368" s="1">
        <v>2.8400000000000002E-2</v>
      </c>
      <c r="K2368" s="1">
        <v>0.12529999999999999</v>
      </c>
      <c r="N2368" s="1">
        <v>4.02E-2</v>
      </c>
      <c r="O2368" s="1">
        <v>2.3699999999999999E-2</v>
      </c>
      <c r="P2368" s="1">
        <v>1.18E-2</v>
      </c>
      <c r="Q2368" s="1">
        <v>6.8599999999999994E-2</v>
      </c>
      <c r="T2368" s="1">
        <v>0.68799999999999994</v>
      </c>
      <c r="U2368" s="1">
        <v>0.70450000000000002</v>
      </c>
      <c r="V2368" s="1">
        <v>0.72819999999999996</v>
      </c>
    </row>
    <row r="2369" spans="1:23">
      <c r="A2369" t="s">
        <v>204</v>
      </c>
      <c r="B2369">
        <v>131</v>
      </c>
      <c r="C2369" t="s">
        <v>207</v>
      </c>
      <c r="D2369">
        <v>964</v>
      </c>
      <c r="E2369" s="1">
        <v>9.5799999999999996E-2</v>
      </c>
      <c r="F2369" s="1">
        <v>0.39029999999999998</v>
      </c>
      <c r="G2369" s="1">
        <v>4.8999999999999998E-3</v>
      </c>
      <c r="H2369" s="1">
        <v>1.17E-2</v>
      </c>
      <c r="J2369" s="1">
        <v>5.7999999999999996E-3</v>
      </c>
      <c r="K2369" s="1">
        <v>5.45E-2</v>
      </c>
      <c r="L2369" s="1">
        <v>3.5999999999999999E-3</v>
      </c>
      <c r="M2369" s="1">
        <v>2.5000000000000001E-3</v>
      </c>
      <c r="N2369" s="1">
        <v>1.1900000000000001E-2</v>
      </c>
      <c r="O2369" s="1">
        <v>0.1946</v>
      </c>
      <c r="P2369" s="1">
        <v>9.4000000000000004E-3</v>
      </c>
      <c r="Q2369" s="1">
        <v>8.9999999999999998E-4</v>
      </c>
      <c r="T2369" s="1">
        <v>0.87260000000000004</v>
      </c>
      <c r="U2369" s="1">
        <v>0.88839999999999997</v>
      </c>
      <c r="V2369" s="1">
        <v>0.88360000000000005</v>
      </c>
    </row>
    <row r="2370" spans="1:23">
      <c r="A2370" t="s">
        <v>204</v>
      </c>
      <c r="B2370">
        <v>73</v>
      </c>
      <c r="C2370" t="s">
        <v>208</v>
      </c>
      <c r="D2370">
        <v>964</v>
      </c>
      <c r="F2370" s="1">
        <v>1.37E-2</v>
      </c>
      <c r="G2370" s="1">
        <v>1.37E-2</v>
      </c>
      <c r="H2370" s="1">
        <v>1.37E-2</v>
      </c>
      <c r="K2370" s="1">
        <v>8.2199999999999995E-2</v>
      </c>
      <c r="O2370" s="1">
        <v>1.37E-2</v>
      </c>
      <c r="P2370" s="1">
        <v>4.1099999999999998E-2</v>
      </c>
      <c r="Q2370" s="1">
        <v>1.37E-2</v>
      </c>
      <c r="R2370" s="1">
        <v>1.37E-2</v>
      </c>
      <c r="T2370" s="1">
        <v>0.67120000000000002</v>
      </c>
      <c r="U2370" s="1">
        <v>0.83560000000000001</v>
      </c>
      <c r="V2370" s="1">
        <v>0.79449999999999998</v>
      </c>
    </row>
    <row r="2371" spans="1:23">
      <c r="A2371" t="s">
        <v>199</v>
      </c>
      <c r="B2371">
        <v>73</v>
      </c>
      <c r="C2371" t="s">
        <v>200</v>
      </c>
      <c r="D2371">
        <v>964</v>
      </c>
      <c r="E2371" s="1">
        <v>1.5299999999999999E-2</v>
      </c>
      <c r="F2371" s="1">
        <v>6.1699999999999998E-2</v>
      </c>
      <c r="G2371" s="1">
        <v>1.5299999999999999E-2</v>
      </c>
      <c r="H2371" s="1">
        <v>3.2000000000000002E-3</v>
      </c>
      <c r="I2371" s="1">
        <v>1.6000000000000001E-3</v>
      </c>
      <c r="J2371" s="1">
        <v>1.6000000000000001E-3</v>
      </c>
      <c r="K2371" s="1">
        <v>0.32619999999999999</v>
      </c>
      <c r="L2371" s="1">
        <v>1.6000000000000001E-3</v>
      </c>
      <c r="N2371" s="1">
        <v>9.4399999999999998E-2</v>
      </c>
      <c r="O2371" s="1">
        <v>1.6000000000000001E-3</v>
      </c>
      <c r="T2371" s="1">
        <v>0.35310000000000002</v>
      </c>
      <c r="U2371" s="1">
        <v>0.37309999999999999</v>
      </c>
      <c r="V2371" s="1">
        <v>0.55779999999999996</v>
      </c>
    </row>
    <row r="2372" spans="1:23">
      <c r="A2372" t="s">
        <v>199</v>
      </c>
      <c r="B2372">
        <v>96</v>
      </c>
      <c r="C2372" t="s">
        <v>201</v>
      </c>
      <c r="D2372">
        <v>964</v>
      </c>
      <c r="E2372" s="1">
        <v>2.0799999999999999E-2</v>
      </c>
      <c r="F2372" s="1">
        <v>8.3299999999999999E-2</v>
      </c>
      <c r="G2372" s="1">
        <v>1.04E-2</v>
      </c>
      <c r="H2372" s="1">
        <v>4.1700000000000001E-2</v>
      </c>
      <c r="K2372" s="1">
        <v>0.23960000000000001</v>
      </c>
      <c r="M2372" s="1">
        <v>1.04E-2</v>
      </c>
      <c r="N2372" s="1">
        <v>1.04E-2</v>
      </c>
      <c r="O2372" s="1">
        <v>3.1199999999999999E-2</v>
      </c>
      <c r="T2372" s="1">
        <v>0.55210000000000004</v>
      </c>
      <c r="U2372" s="1">
        <v>0.58330000000000004</v>
      </c>
      <c r="V2372" s="1">
        <v>0.58330000000000004</v>
      </c>
    </row>
    <row r="2373" spans="1:23">
      <c r="A2373" t="s">
        <v>199</v>
      </c>
      <c r="B2373">
        <v>98</v>
      </c>
      <c r="C2373" t="s">
        <v>202</v>
      </c>
      <c r="D2373">
        <v>964</v>
      </c>
      <c r="E2373" s="1">
        <v>8.5000000000000006E-3</v>
      </c>
      <c r="F2373" s="1">
        <v>4.4699999999999997E-2</v>
      </c>
      <c r="G2373" s="1">
        <v>1.35E-2</v>
      </c>
      <c r="J2373" s="1">
        <v>1.2200000000000001E-2</v>
      </c>
      <c r="K2373" s="1">
        <v>0.44700000000000001</v>
      </c>
      <c r="N2373" s="1">
        <v>4.0599999999999997E-2</v>
      </c>
      <c r="O2373" s="1">
        <v>4.9799999999999997E-2</v>
      </c>
      <c r="P2373" s="1">
        <v>1.35E-2</v>
      </c>
      <c r="Q2373" s="1">
        <v>1.35E-2</v>
      </c>
      <c r="S2373" s="1">
        <v>1.2200000000000001E-2</v>
      </c>
      <c r="T2373" s="1">
        <v>0.3654</v>
      </c>
      <c r="U2373" s="1">
        <v>0.43669999999999998</v>
      </c>
      <c r="V2373" s="1">
        <v>0.41899999999999998</v>
      </c>
    </row>
    <row r="2374" spans="1:23">
      <c r="A2374" t="s">
        <v>199</v>
      </c>
      <c r="B2374">
        <v>76</v>
      </c>
      <c r="C2374" t="s">
        <v>203</v>
      </c>
      <c r="D2374">
        <v>964</v>
      </c>
      <c r="F2374" s="1">
        <v>1.9099999999999999E-2</v>
      </c>
      <c r="H2374" s="1">
        <v>6.3700000000000007E-2</v>
      </c>
      <c r="J2374" s="1">
        <v>9.5999999999999992E-3</v>
      </c>
      <c r="K2374" s="1">
        <v>0.17430000000000001</v>
      </c>
      <c r="L2374" s="1">
        <v>5.4100000000000002E-2</v>
      </c>
      <c r="O2374" s="1">
        <v>9.5999999999999992E-3</v>
      </c>
      <c r="P2374" s="1">
        <v>7.4999999999999997E-3</v>
      </c>
      <c r="T2374" s="1">
        <v>0.63139999999999996</v>
      </c>
      <c r="U2374" s="1">
        <v>0.7157</v>
      </c>
      <c r="V2374" s="1">
        <v>0.57440000000000002</v>
      </c>
    </row>
    <row r="2375" spans="1:23">
      <c r="A2375" t="s">
        <v>209</v>
      </c>
      <c r="B2375">
        <v>73</v>
      </c>
      <c r="C2375" t="s">
        <v>210</v>
      </c>
      <c r="D2375">
        <v>964</v>
      </c>
      <c r="H2375" s="1">
        <v>4.3099999999999999E-2</v>
      </c>
      <c r="J2375" s="1">
        <v>3.4700000000000002E-2</v>
      </c>
      <c r="K2375" s="1">
        <v>0.17330000000000001</v>
      </c>
      <c r="N2375" s="1">
        <v>1.78E-2</v>
      </c>
      <c r="O2375" s="1">
        <v>8.3999999999999995E-3</v>
      </c>
      <c r="P2375" s="1">
        <v>1.78E-2</v>
      </c>
      <c r="T2375" s="1">
        <v>0.58860000000000001</v>
      </c>
      <c r="U2375" s="1">
        <v>0.56240000000000001</v>
      </c>
      <c r="V2375" s="1">
        <v>0.61580000000000001</v>
      </c>
    </row>
    <row r="2376" spans="1:23">
      <c r="A2376" t="s">
        <v>209</v>
      </c>
      <c r="B2376">
        <v>97</v>
      </c>
      <c r="C2376" t="s">
        <v>211</v>
      </c>
      <c r="D2376">
        <v>964</v>
      </c>
      <c r="E2376" s="1">
        <v>1.9400000000000001E-2</v>
      </c>
      <c r="F2376" s="1">
        <v>3.2500000000000001E-2</v>
      </c>
      <c r="H2376" s="1">
        <v>4.1999999999999997E-3</v>
      </c>
      <c r="K2376" s="1">
        <v>0.2913</v>
      </c>
      <c r="N2376" s="1">
        <v>8.5000000000000006E-3</v>
      </c>
      <c r="O2376" s="1">
        <v>2.1899999999999999E-2</v>
      </c>
      <c r="P2376" s="1">
        <v>1.6299999999999999E-2</v>
      </c>
      <c r="Q2376" s="1">
        <v>1.2E-2</v>
      </c>
      <c r="R2376" s="1">
        <v>1.2E-2</v>
      </c>
      <c r="S2376" s="1">
        <v>1.6299999999999999E-2</v>
      </c>
      <c r="T2376" s="1">
        <v>0.5716</v>
      </c>
      <c r="U2376" s="1">
        <v>0.58040000000000003</v>
      </c>
      <c r="V2376" s="1">
        <v>0.57369999999999999</v>
      </c>
    </row>
    <row r="2377" spans="1:23">
      <c r="A2377" t="s">
        <v>209</v>
      </c>
      <c r="B2377">
        <v>85</v>
      </c>
      <c r="C2377" t="s">
        <v>212</v>
      </c>
      <c r="D2377">
        <v>964</v>
      </c>
      <c r="E2377" s="1">
        <v>1.4E-2</v>
      </c>
      <c r="F2377" s="1">
        <v>4.99E-2</v>
      </c>
      <c r="H2377" s="1">
        <v>1.9599999999999999E-2</v>
      </c>
      <c r="K2377" s="1">
        <v>0.18790000000000001</v>
      </c>
      <c r="N2377" s="1">
        <v>1.4E-2</v>
      </c>
      <c r="O2377" s="1">
        <v>1.4800000000000001E-2</v>
      </c>
      <c r="P2377" s="1">
        <v>2.7400000000000001E-2</v>
      </c>
      <c r="Q2377" s="1">
        <v>1.34E-2</v>
      </c>
      <c r="R2377" s="1">
        <v>1.4E-2</v>
      </c>
      <c r="S2377" s="1">
        <v>1.4E-2</v>
      </c>
      <c r="T2377" s="1">
        <v>0.65249999999999997</v>
      </c>
      <c r="U2377" s="1">
        <v>0.6895</v>
      </c>
      <c r="V2377" s="1">
        <v>0.65669999999999995</v>
      </c>
    </row>
    <row r="2379" spans="1:23">
      <c r="A2379" t="s">
        <v>749</v>
      </c>
    </row>
    <row r="2380" spans="1:23">
      <c r="A2380" t="s">
        <v>214</v>
      </c>
      <c r="B2380" t="s">
        <v>189</v>
      </c>
      <c r="C2380" t="s">
        <v>195</v>
      </c>
      <c r="D2380" t="s">
        <v>190</v>
      </c>
      <c r="E2380" t="s">
        <v>196</v>
      </c>
      <c r="F2380" t="s">
        <v>735</v>
      </c>
      <c r="G2380" t="s">
        <v>736</v>
      </c>
      <c r="H2380" t="s">
        <v>737</v>
      </c>
      <c r="I2380" t="s">
        <v>228</v>
      </c>
      <c r="J2380" t="s">
        <v>738</v>
      </c>
      <c r="K2380" t="s">
        <v>739</v>
      </c>
      <c r="L2380" t="s">
        <v>276</v>
      </c>
      <c r="M2380" t="s">
        <v>278</v>
      </c>
      <c r="N2380" t="s">
        <v>223</v>
      </c>
      <c r="O2380" t="s">
        <v>740</v>
      </c>
      <c r="P2380" t="s">
        <v>741</v>
      </c>
      <c r="Q2380" t="s">
        <v>742</v>
      </c>
      <c r="R2380" t="s">
        <v>743</v>
      </c>
      <c r="S2380" t="s">
        <v>744</v>
      </c>
      <c r="T2380" t="s">
        <v>745</v>
      </c>
      <c r="U2380" t="s">
        <v>746</v>
      </c>
      <c r="V2380" t="s">
        <v>747</v>
      </c>
      <c r="W2380" t="s">
        <v>748</v>
      </c>
    </row>
    <row r="2381" spans="1:23">
      <c r="A2381" t="s">
        <v>198</v>
      </c>
      <c r="B2381" t="s">
        <v>197</v>
      </c>
      <c r="C2381">
        <v>964</v>
      </c>
      <c r="D2381" t="s">
        <v>198</v>
      </c>
      <c r="E2381">
        <v>964</v>
      </c>
      <c r="F2381" s="1">
        <v>3.04E-2</v>
      </c>
      <c r="G2381" s="1">
        <v>0.14030000000000001</v>
      </c>
      <c r="H2381" s="1">
        <v>8.5000000000000006E-3</v>
      </c>
      <c r="I2381" s="1">
        <v>1.61E-2</v>
      </c>
      <c r="J2381" s="1">
        <v>0</v>
      </c>
      <c r="K2381" s="1">
        <v>1.2200000000000001E-2</v>
      </c>
      <c r="L2381" s="1">
        <v>0.2218</v>
      </c>
      <c r="M2381" s="1">
        <v>2.5999999999999999E-3</v>
      </c>
      <c r="N2381" s="1">
        <v>2.3999999999999998E-3</v>
      </c>
      <c r="O2381" s="1">
        <v>1.54E-2</v>
      </c>
      <c r="P2381" s="1">
        <v>5.5599999999999997E-2</v>
      </c>
      <c r="Q2381" s="1">
        <v>1.46E-2</v>
      </c>
      <c r="R2381" s="1">
        <v>1.77E-2</v>
      </c>
      <c r="S2381" s="1">
        <v>3.0000000000000001E-3</v>
      </c>
      <c r="T2381" s="1">
        <v>4.1000000000000003E-3</v>
      </c>
      <c r="U2381" s="1">
        <v>0.59740000000000004</v>
      </c>
      <c r="V2381" s="1">
        <v>0.64439999999999997</v>
      </c>
      <c r="W2381" s="1">
        <v>0.62129999999999996</v>
      </c>
    </row>
    <row r="2382" spans="1:23" s="26" customFormat="1">
      <c r="A2382" s="26" t="s">
        <v>217</v>
      </c>
      <c r="B2382" s="26" t="s">
        <v>204</v>
      </c>
      <c r="C2382" s="26">
        <v>15</v>
      </c>
      <c r="D2382" s="26" t="s">
        <v>208</v>
      </c>
      <c r="E2382" s="26">
        <v>964</v>
      </c>
      <c r="L2382" s="27">
        <v>6.6699999999999995E-2</v>
      </c>
      <c r="U2382" s="27">
        <v>0.73329999999999995</v>
      </c>
      <c r="V2382" s="27">
        <v>0.8</v>
      </c>
      <c r="W2382" s="27">
        <v>0.86670000000000003</v>
      </c>
    </row>
    <row r="2383" spans="1:23" s="26" customFormat="1">
      <c r="A2383" s="26" t="s">
        <v>217</v>
      </c>
      <c r="B2383" s="26" t="s">
        <v>204</v>
      </c>
      <c r="C2383" s="26">
        <v>27</v>
      </c>
      <c r="D2383" s="26" t="s">
        <v>205</v>
      </c>
      <c r="E2383" s="26">
        <v>964</v>
      </c>
      <c r="G2383" s="27">
        <v>0.27079999999999999</v>
      </c>
      <c r="L2383" s="27">
        <v>0.39489999999999997</v>
      </c>
      <c r="U2383" s="27">
        <v>0.34310000000000002</v>
      </c>
      <c r="V2383" s="27">
        <v>0.29170000000000001</v>
      </c>
      <c r="W2383" s="27">
        <v>0.29170000000000001</v>
      </c>
    </row>
    <row r="2384" spans="1:23">
      <c r="A2384" t="s">
        <v>218</v>
      </c>
      <c r="B2384" t="s">
        <v>204</v>
      </c>
      <c r="C2384">
        <v>64</v>
      </c>
      <c r="D2384" t="s">
        <v>205</v>
      </c>
      <c r="E2384">
        <v>964</v>
      </c>
      <c r="F2384" s="1">
        <v>4.8399999999999999E-2</v>
      </c>
      <c r="G2384" s="1">
        <v>0.2157</v>
      </c>
      <c r="H2384" s="1">
        <v>1.5800000000000002E-2</v>
      </c>
      <c r="K2384" s="1">
        <v>5.5E-2</v>
      </c>
      <c r="L2384" s="1">
        <v>0.15759999999999999</v>
      </c>
      <c r="O2384" s="1">
        <v>3.2000000000000002E-3</v>
      </c>
      <c r="P2384" s="1">
        <v>5.16E-2</v>
      </c>
      <c r="Q2384" s="1">
        <v>2.75E-2</v>
      </c>
      <c r="R2384" s="1">
        <v>7.5999999999999998E-2</v>
      </c>
      <c r="U2384" s="1">
        <v>0.65100000000000002</v>
      </c>
      <c r="V2384" s="1">
        <v>0.7278</v>
      </c>
      <c r="W2384" s="1">
        <v>0.64029999999999998</v>
      </c>
    </row>
    <row r="2385" spans="1:23" s="26" customFormat="1">
      <c r="A2385" s="26" t="s">
        <v>217</v>
      </c>
      <c r="B2385" s="26" t="s">
        <v>204</v>
      </c>
      <c r="C2385" s="26">
        <v>11</v>
      </c>
      <c r="D2385" s="26" t="s">
        <v>206</v>
      </c>
      <c r="E2385" s="26">
        <v>964</v>
      </c>
      <c r="G2385" s="27">
        <v>8.2000000000000003E-2</v>
      </c>
      <c r="L2385" s="27">
        <v>0.11459999999999999</v>
      </c>
      <c r="O2385" s="27">
        <v>8.2000000000000003E-2</v>
      </c>
      <c r="P2385" s="27">
        <v>8.2000000000000003E-2</v>
      </c>
      <c r="Q2385" s="27">
        <v>8.2000000000000003E-2</v>
      </c>
      <c r="U2385" s="27">
        <v>0.88539999999999996</v>
      </c>
      <c r="V2385" s="27">
        <v>0.8034</v>
      </c>
      <c r="W2385" s="27">
        <v>0.88539999999999996</v>
      </c>
    </row>
    <row r="2386" spans="1:23">
      <c r="A2386" t="s">
        <v>218</v>
      </c>
      <c r="B2386" t="s">
        <v>204</v>
      </c>
      <c r="C2386">
        <v>60</v>
      </c>
      <c r="D2386" t="s">
        <v>206</v>
      </c>
      <c r="E2386">
        <v>964</v>
      </c>
      <c r="I2386" s="1">
        <v>5.2499999999999998E-2</v>
      </c>
      <c r="K2386" s="1">
        <v>3.32E-2</v>
      </c>
      <c r="L2386" s="1">
        <v>0.12709999999999999</v>
      </c>
      <c r="O2386" s="1">
        <v>3.32E-2</v>
      </c>
      <c r="P2386" s="1">
        <v>1.38E-2</v>
      </c>
      <c r="R2386" s="1">
        <v>8.0100000000000005E-2</v>
      </c>
      <c r="U2386" s="1">
        <v>0.65469999999999995</v>
      </c>
      <c r="V2386" s="1">
        <v>0.68779999999999997</v>
      </c>
      <c r="W2386" s="1">
        <v>0.7016</v>
      </c>
    </row>
    <row r="2387" spans="1:23" s="26" customFormat="1">
      <c r="A2387" s="26" t="s">
        <v>217</v>
      </c>
      <c r="B2387" s="26" t="s">
        <v>204</v>
      </c>
      <c r="C2387" s="26">
        <v>23</v>
      </c>
      <c r="D2387" s="26" t="s">
        <v>207</v>
      </c>
      <c r="E2387" s="26">
        <v>964</v>
      </c>
      <c r="F2387" s="27">
        <v>0.17949999999999999</v>
      </c>
      <c r="G2387" s="27">
        <v>0.71799999999999997</v>
      </c>
      <c r="K2387" s="27">
        <v>3.3999999999999998E-3</v>
      </c>
      <c r="L2387" s="27">
        <v>2.3699999999999999E-2</v>
      </c>
      <c r="O2387" s="27">
        <v>3.3999999999999998E-3</v>
      </c>
      <c r="P2387" s="27">
        <v>0.1704</v>
      </c>
      <c r="Q2387" s="27">
        <v>1.34E-2</v>
      </c>
      <c r="R2387" s="27">
        <v>3.3999999999999998E-3</v>
      </c>
      <c r="U2387" s="27">
        <v>0.94920000000000004</v>
      </c>
      <c r="V2387" s="27">
        <v>0.94350000000000001</v>
      </c>
      <c r="W2387" s="27">
        <v>0.92510000000000003</v>
      </c>
    </row>
    <row r="2388" spans="1:23">
      <c r="A2388" t="s">
        <v>218</v>
      </c>
      <c r="B2388" t="s">
        <v>204</v>
      </c>
      <c r="C2388">
        <v>108</v>
      </c>
      <c r="D2388" t="s">
        <v>207</v>
      </c>
      <c r="E2388">
        <v>964</v>
      </c>
      <c r="F2388" s="1">
        <v>6.54E-2</v>
      </c>
      <c r="G2388" s="1">
        <v>0.27110000000000001</v>
      </c>
      <c r="H2388" s="1">
        <v>6.7000000000000002E-3</v>
      </c>
      <c r="I2388" s="1">
        <v>1.5900000000000001E-2</v>
      </c>
      <c r="K2388" s="1">
        <v>6.7000000000000002E-3</v>
      </c>
      <c r="L2388" s="1">
        <v>6.5699999999999995E-2</v>
      </c>
      <c r="M2388" s="1">
        <v>4.8999999999999998E-3</v>
      </c>
      <c r="N2388" s="1">
        <v>3.3999999999999998E-3</v>
      </c>
      <c r="O2388" s="1">
        <v>1.4999999999999999E-2</v>
      </c>
      <c r="P2388" s="1">
        <v>0.2034</v>
      </c>
      <c r="Q2388" s="1">
        <v>8.0000000000000002E-3</v>
      </c>
      <c r="U2388" s="1">
        <v>0.84470000000000001</v>
      </c>
      <c r="V2388" s="1">
        <v>0.86829999999999996</v>
      </c>
      <c r="W2388" s="1">
        <v>0.86850000000000005</v>
      </c>
    </row>
    <row r="2389" spans="1:23">
      <c r="A2389" t="s">
        <v>218</v>
      </c>
      <c r="B2389" t="s">
        <v>204</v>
      </c>
      <c r="C2389">
        <v>58</v>
      </c>
      <c r="D2389" t="s">
        <v>208</v>
      </c>
      <c r="E2389">
        <v>964</v>
      </c>
      <c r="G2389" s="1">
        <v>1.72E-2</v>
      </c>
      <c r="H2389" s="1">
        <v>1.72E-2</v>
      </c>
      <c r="I2389" s="1">
        <v>1.72E-2</v>
      </c>
      <c r="L2389" s="1">
        <v>8.6199999999999999E-2</v>
      </c>
      <c r="P2389" s="1">
        <v>1.72E-2</v>
      </c>
      <c r="Q2389" s="1">
        <v>5.1700000000000003E-2</v>
      </c>
      <c r="R2389" s="1">
        <v>1.72E-2</v>
      </c>
      <c r="S2389" s="1">
        <v>1.72E-2</v>
      </c>
      <c r="U2389" s="1">
        <v>0.6552</v>
      </c>
      <c r="V2389" s="1">
        <v>0.8448</v>
      </c>
      <c r="W2389" s="1">
        <v>0.77590000000000003</v>
      </c>
    </row>
    <row r="2390" spans="1:23" s="26" customFormat="1">
      <c r="A2390" s="26" t="s">
        <v>217</v>
      </c>
      <c r="B2390" s="26" t="s">
        <v>199</v>
      </c>
      <c r="C2390" s="26">
        <v>12</v>
      </c>
      <c r="D2390" s="26" t="s">
        <v>203</v>
      </c>
      <c r="E2390" s="26">
        <v>964</v>
      </c>
      <c r="G2390" s="27">
        <v>4.53E-2</v>
      </c>
      <c r="I2390" s="27">
        <v>0.12820000000000001</v>
      </c>
      <c r="L2390" s="27">
        <v>1.38E-2</v>
      </c>
      <c r="M2390" s="27">
        <v>0.12820000000000001</v>
      </c>
      <c r="Q2390" s="27">
        <v>3.5400000000000001E-2</v>
      </c>
      <c r="U2390" s="27">
        <v>0.76729999999999998</v>
      </c>
      <c r="V2390" s="27">
        <v>0.8579</v>
      </c>
      <c r="W2390" s="27">
        <v>0.76729999999999998</v>
      </c>
    </row>
    <row r="2391" spans="1:23">
      <c r="A2391" t="s">
        <v>218</v>
      </c>
      <c r="B2391" t="s">
        <v>199</v>
      </c>
      <c r="C2391">
        <v>64</v>
      </c>
      <c r="D2391" t="s">
        <v>203</v>
      </c>
      <c r="E2391">
        <v>964</v>
      </c>
      <c r="G2391" s="1">
        <v>1.21E-2</v>
      </c>
      <c r="I2391" s="1">
        <v>4.6399999999999997E-2</v>
      </c>
      <c r="K2391" s="1">
        <v>1.21E-2</v>
      </c>
      <c r="L2391" s="1">
        <v>0.21729999999999999</v>
      </c>
      <c r="M2391" s="1">
        <v>3.4299999999999997E-2</v>
      </c>
      <c r="P2391" s="1">
        <v>1.21E-2</v>
      </c>
      <c r="U2391" s="1">
        <v>0.59499999999999997</v>
      </c>
      <c r="V2391" s="1">
        <v>0.67769999999999997</v>
      </c>
      <c r="W2391" s="1">
        <v>0.52280000000000004</v>
      </c>
    </row>
    <row r="2392" spans="1:23">
      <c r="A2392" t="s">
        <v>218</v>
      </c>
      <c r="B2392" t="s">
        <v>199</v>
      </c>
      <c r="C2392">
        <v>71</v>
      </c>
      <c r="D2392" t="s">
        <v>202</v>
      </c>
      <c r="E2392">
        <v>964</v>
      </c>
      <c r="F2392" s="1">
        <v>1.2E-2</v>
      </c>
      <c r="G2392" s="1">
        <v>4.9299999999999997E-2</v>
      </c>
      <c r="H2392" s="1">
        <v>1.9099999999999999E-2</v>
      </c>
      <c r="K2392" s="1">
        <v>1.72E-2</v>
      </c>
      <c r="L2392" s="1">
        <v>0.38740000000000002</v>
      </c>
      <c r="O2392" s="1">
        <v>1.9099999999999999E-2</v>
      </c>
      <c r="P2392" s="1">
        <v>2.3900000000000001E-2</v>
      </c>
      <c r="T2392" s="1">
        <v>1.72E-2</v>
      </c>
      <c r="U2392" s="1">
        <v>0.42570000000000002</v>
      </c>
      <c r="V2392" s="1">
        <v>0.48159999999999997</v>
      </c>
      <c r="W2392" s="1">
        <v>0.46860000000000002</v>
      </c>
    </row>
    <row r="2393" spans="1:23" s="26" customFormat="1">
      <c r="A2393" s="26" t="s">
        <v>217</v>
      </c>
      <c r="B2393" s="26" t="s">
        <v>199</v>
      </c>
      <c r="C2393" s="26">
        <v>13</v>
      </c>
      <c r="D2393" s="26" t="s">
        <v>200</v>
      </c>
      <c r="E2393" s="26">
        <v>964</v>
      </c>
      <c r="L2393" s="27">
        <v>4.3299999999999998E-2</v>
      </c>
      <c r="U2393" s="27">
        <v>4.3299999999999998E-2</v>
      </c>
      <c r="V2393" s="27">
        <v>0.3831</v>
      </c>
      <c r="W2393" s="27">
        <v>0.63859999999999995</v>
      </c>
    </row>
    <row r="2394" spans="1:23">
      <c r="A2394" t="s">
        <v>218</v>
      </c>
      <c r="B2394" t="s">
        <v>199</v>
      </c>
      <c r="C2394">
        <v>80</v>
      </c>
      <c r="D2394" t="s">
        <v>201</v>
      </c>
      <c r="E2394">
        <v>964</v>
      </c>
      <c r="G2394" s="1">
        <v>0.05</v>
      </c>
      <c r="H2394" s="1">
        <v>1.2500000000000001E-2</v>
      </c>
      <c r="I2394" s="1">
        <v>2.5000000000000001E-2</v>
      </c>
      <c r="L2394" s="1">
        <v>0.26250000000000001</v>
      </c>
      <c r="N2394" s="1">
        <v>1.2500000000000001E-2</v>
      </c>
      <c r="P2394" s="1">
        <v>2.5000000000000001E-2</v>
      </c>
      <c r="U2394" s="1">
        <v>0.57499999999999996</v>
      </c>
      <c r="V2394" s="1">
        <v>0.58750000000000002</v>
      </c>
      <c r="W2394" s="1">
        <v>0.57499999999999996</v>
      </c>
    </row>
    <row r="2395" spans="1:23">
      <c r="A2395" t="s">
        <v>218</v>
      </c>
      <c r="B2395" t="s">
        <v>199</v>
      </c>
      <c r="C2395">
        <v>60</v>
      </c>
      <c r="D2395" t="s">
        <v>200</v>
      </c>
      <c r="E2395">
        <v>964</v>
      </c>
      <c r="F2395" s="1">
        <v>1.7899999999999999E-2</v>
      </c>
      <c r="G2395" s="1">
        <v>7.22E-2</v>
      </c>
      <c r="H2395" s="1">
        <v>1.7899999999999999E-2</v>
      </c>
      <c r="I2395" s="1">
        <v>3.7000000000000002E-3</v>
      </c>
      <c r="J2395" s="1">
        <v>1.8E-3</v>
      </c>
      <c r="K2395" s="1">
        <v>1.8E-3</v>
      </c>
      <c r="L2395" s="1">
        <v>0.3745</v>
      </c>
      <c r="M2395" s="1">
        <v>1.8E-3</v>
      </c>
      <c r="O2395" s="1">
        <v>0.1105</v>
      </c>
      <c r="P2395" s="1">
        <v>1.8E-3</v>
      </c>
      <c r="U2395" s="1">
        <v>0.40600000000000003</v>
      </c>
      <c r="V2395" s="1">
        <v>0.37140000000000001</v>
      </c>
      <c r="W2395" s="1">
        <v>0.54400000000000004</v>
      </c>
    </row>
    <row r="2396" spans="1:23" s="26" customFormat="1">
      <c r="A2396" s="26" t="s">
        <v>217</v>
      </c>
      <c r="B2396" s="26" t="s">
        <v>199</v>
      </c>
      <c r="C2396" s="26">
        <v>27</v>
      </c>
      <c r="D2396" s="26" t="s">
        <v>202</v>
      </c>
      <c r="E2396" s="26">
        <v>964</v>
      </c>
      <c r="G2396" s="27">
        <v>3.3300000000000003E-2</v>
      </c>
      <c r="L2396" s="27">
        <v>0.59350000000000003</v>
      </c>
      <c r="O2396" s="27">
        <v>9.3700000000000006E-2</v>
      </c>
      <c r="P2396" s="27">
        <v>0.1134</v>
      </c>
      <c r="Q2396" s="27">
        <v>4.6899999999999997E-2</v>
      </c>
      <c r="R2396" s="27">
        <v>4.6899999999999997E-2</v>
      </c>
      <c r="U2396" s="27">
        <v>0.21690000000000001</v>
      </c>
      <c r="V2396" s="27">
        <v>0.32629999999999998</v>
      </c>
      <c r="W2396" s="27">
        <v>0.29709999999999998</v>
      </c>
    </row>
    <row r="2397" spans="1:23" s="26" customFormat="1">
      <c r="A2397" s="26" t="s">
        <v>217</v>
      </c>
      <c r="B2397" s="26" t="s">
        <v>199</v>
      </c>
      <c r="C2397" s="26">
        <v>16</v>
      </c>
      <c r="D2397" s="26" t="s">
        <v>201</v>
      </c>
      <c r="E2397" s="26">
        <v>964</v>
      </c>
      <c r="F2397" s="27">
        <v>0.125</v>
      </c>
      <c r="G2397" s="27">
        <v>0.25</v>
      </c>
      <c r="I2397" s="27">
        <v>0.125</v>
      </c>
      <c r="L2397" s="27">
        <v>0.125</v>
      </c>
      <c r="O2397" s="27">
        <v>6.25E-2</v>
      </c>
      <c r="P2397" s="27">
        <v>6.25E-2</v>
      </c>
      <c r="U2397" s="27">
        <v>0.4375</v>
      </c>
      <c r="V2397" s="27">
        <v>0.5625</v>
      </c>
      <c r="W2397" s="27">
        <v>0.625</v>
      </c>
    </row>
    <row r="2398" spans="1:23">
      <c r="A2398" t="s">
        <v>218</v>
      </c>
      <c r="B2398" t="s">
        <v>209</v>
      </c>
      <c r="C2398">
        <v>76</v>
      </c>
      <c r="D2398" t="s">
        <v>211</v>
      </c>
      <c r="E2398">
        <v>964</v>
      </c>
      <c r="G2398" s="1">
        <v>3.1E-2</v>
      </c>
      <c r="I2398" s="1">
        <v>5.4999999999999997E-3</v>
      </c>
      <c r="L2398" s="1">
        <v>0.3473</v>
      </c>
      <c r="O2398" s="1">
        <v>5.4999999999999997E-3</v>
      </c>
      <c r="P2398" s="1">
        <v>2.8299999999999999E-2</v>
      </c>
      <c r="Q2398" s="1">
        <v>1.55E-2</v>
      </c>
      <c r="R2398" s="1">
        <v>1.55E-2</v>
      </c>
      <c r="S2398" s="1">
        <v>1.55E-2</v>
      </c>
      <c r="T2398" s="1">
        <v>2.1000000000000001E-2</v>
      </c>
      <c r="U2398" s="1">
        <v>0.54869999999999997</v>
      </c>
      <c r="V2398" s="1">
        <v>0.5474</v>
      </c>
      <c r="W2398" s="1">
        <v>0.54010000000000002</v>
      </c>
    </row>
    <row r="2399" spans="1:23" s="26" customFormat="1">
      <c r="A2399" s="26" t="s">
        <v>217</v>
      </c>
      <c r="B2399" s="26" t="s">
        <v>209</v>
      </c>
      <c r="C2399" s="26">
        <v>21</v>
      </c>
      <c r="D2399" s="26" t="s">
        <v>211</v>
      </c>
      <c r="E2399" s="26">
        <v>964</v>
      </c>
      <c r="F2399" s="27">
        <v>8.6599999999999996E-2</v>
      </c>
      <c r="G2399" s="27">
        <v>3.7699999999999997E-2</v>
      </c>
      <c r="L2399" s="27">
        <v>9.7600000000000006E-2</v>
      </c>
      <c r="O2399" s="27">
        <v>1.8800000000000001E-2</v>
      </c>
      <c r="Q2399" s="27">
        <v>1.8800000000000001E-2</v>
      </c>
      <c r="U2399" s="27">
        <v>0.65039999999999998</v>
      </c>
      <c r="V2399" s="27">
        <v>0.69440000000000002</v>
      </c>
      <c r="W2399" s="27">
        <v>0.68979999999999997</v>
      </c>
    </row>
    <row r="2400" spans="1:23">
      <c r="A2400" t="s">
        <v>218</v>
      </c>
      <c r="B2400" t="s">
        <v>209</v>
      </c>
      <c r="C2400">
        <v>71</v>
      </c>
      <c r="D2400" t="s">
        <v>212</v>
      </c>
      <c r="E2400">
        <v>964</v>
      </c>
      <c r="F2400" s="1">
        <v>1.6899999999999998E-2</v>
      </c>
      <c r="G2400" s="1">
        <v>4.3499999999999997E-2</v>
      </c>
      <c r="I2400" s="1">
        <v>2.3800000000000002E-2</v>
      </c>
      <c r="L2400" s="1">
        <v>0.17050000000000001</v>
      </c>
      <c r="O2400" s="1">
        <v>1.6899999999999998E-2</v>
      </c>
      <c r="P2400" s="1">
        <v>1.7899999999999999E-2</v>
      </c>
      <c r="Q2400" s="1">
        <v>1.6299999999999999E-2</v>
      </c>
      <c r="R2400" s="1">
        <v>1.6299999999999999E-2</v>
      </c>
      <c r="S2400" s="1">
        <v>1.6899999999999998E-2</v>
      </c>
      <c r="T2400" s="1">
        <v>1.6899999999999998E-2</v>
      </c>
      <c r="U2400" s="1">
        <v>0.68720000000000003</v>
      </c>
      <c r="V2400" s="1">
        <v>0.71499999999999997</v>
      </c>
      <c r="W2400" s="1">
        <v>0.6754</v>
      </c>
    </row>
    <row r="2401" spans="1:23" s="26" customFormat="1">
      <c r="A2401" s="26" t="s">
        <v>217</v>
      </c>
      <c r="B2401" s="26" t="s">
        <v>209</v>
      </c>
      <c r="C2401" s="26">
        <v>14</v>
      </c>
      <c r="D2401" s="26" t="s">
        <v>212</v>
      </c>
      <c r="E2401" s="26">
        <v>964</v>
      </c>
      <c r="G2401" s="27">
        <v>8.0399999999999999E-2</v>
      </c>
      <c r="L2401" s="27">
        <v>0.27089999999999997</v>
      </c>
      <c r="Q2401" s="27">
        <v>8.0399999999999999E-2</v>
      </c>
      <c r="U2401" s="27">
        <v>0.48780000000000001</v>
      </c>
      <c r="V2401" s="27">
        <v>0.56820000000000004</v>
      </c>
      <c r="W2401" s="27">
        <v>0.56820000000000004</v>
      </c>
    </row>
    <row r="2402" spans="1:23" s="26" customFormat="1">
      <c r="A2402" s="26" t="s">
        <v>217</v>
      </c>
      <c r="B2402" s="26" t="s">
        <v>209</v>
      </c>
      <c r="C2402" s="26">
        <v>16</v>
      </c>
      <c r="D2402" s="26" t="s">
        <v>210</v>
      </c>
      <c r="E2402" s="26">
        <v>964</v>
      </c>
      <c r="L2402" s="27">
        <v>6.5500000000000003E-2</v>
      </c>
      <c r="Q2402" s="27">
        <v>6.9400000000000003E-2</v>
      </c>
      <c r="U2402" s="27">
        <v>0.51829999999999998</v>
      </c>
      <c r="V2402" s="27">
        <v>0.5877</v>
      </c>
      <c r="W2402" s="27">
        <v>0.72640000000000005</v>
      </c>
    </row>
    <row r="2403" spans="1:23">
      <c r="A2403" t="s">
        <v>218</v>
      </c>
      <c r="B2403" t="s">
        <v>209</v>
      </c>
      <c r="C2403">
        <v>57</v>
      </c>
      <c r="D2403" t="s">
        <v>210</v>
      </c>
      <c r="E2403">
        <v>964</v>
      </c>
      <c r="I2403" s="1">
        <v>5.8000000000000003E-2</v>
      </c>
      <c r="K2403" s="1">
        <v>4.6600000000000003E-2</v>
      </c>
      <c r="L2403" s="1">
        <v>0.21049999999999999</v>
      </c>
      <c r="O2403" s="1">
        <v>2.4E-2</v>
      </c>
      <c r="P2403" s="1">
        <v>1.1299999999999999E-2</v>
      </c>
      <c r="U2403" s="1">
        <v>0.6129</v>
      </c>
      <c r="V2403" s="1">
        <v>0.55359999999999998</v>
      </c>
      <c r="W2403" s="1">
        <v>0.5776</v>
      </c>
    </row>
    <row r="2405" spans="1:23">
      <c r="A2405" t="s">
        <v>750</v>
      </c>
    </row>
    <row r="2406" spans="1:23">
      <c r="A2406" t="s">
        <v>214</v>
      </c>
      <c r="B2406" t="s">
        <v>189</v>
      </c>
      <c r="C2406" t="s">
        <v>195</v>
      </c>
      <c r="D2406" t="s">
        <v>190</v>
      </c>
      <c r="E2406" t="s">
        <v>196</v>
      </c>
      <c r="F2406" t="s">
        <v>735</v>
      </c>
      <c r="G2406" t="s">
        <v>736</v>
      </c>
      <c r="H2406" t="s">
        <v>737</v>
      </c>
      <c r="I2406" t="s">
        <v>228</v>
      </c>
      <c r="J2406" t="s">
        <v>738</v>
      </c>
      <c r="K2406" t="s">
        <v>739</v>
      </c>
      <c r="L2406" t="s">
        <v>276</v>
      </c>
      <c r="M2406" t="s">
        <v>278</v>
      </c>
      <c r="N2406" t="s">
        <v>223</v>
      </c>
      <c r="O2406" t="s">
        <v>740</v>
      </c>
      <c r="P2406" t="s">
        <v>741</v>
      </c>
      <c r="Q2406" t="s">
        <v>742</v>
      </c>
      <c r="R2406" t="s">
        <v>743</v>
      </c>
      <c r="S2406" t="s">
        <v>744</v>
      </c>
      <c r="T2406" t="s">
        <v>745</v>
      </c>
      <c r="U2406" t="s">
        <v>746</v>
      </c>
      <c r="V2406" t="s">
        <v>747</v>
      </c>
      <c r="W2406" t="s">
        <v>748</v>
      </c>
    </row>
    <row r="2407" spans="1:23">
      <c r="A2407" t="s">
        <v>198</v>
      </c>
      <c r="B2407" t="s">
        <v>197</v>
      </c>
      <c r="C2407">
        <v>964</v>
      </c>
      <c r="D2407" t="s">
        <v>198</v>
      </c>
      <c r="E2407">
        <v>964</v>
      </c>
      <c r="F2407" s="1">
        <v>3.04E-2</v>
      </c>
      <c r="G2407" s="1">
        <v>0.14030000000000001</v>
      </c>
      <c r="H2407" s="1">
        <v>8.5000000000000006E-3</v>
      </c>
      <c r="I2407" s="1">
        <v>1.61E-2</v>
      </c>
      <c r="J2407" s="1">
        <v>0</v>
      </c>
      <c r="K2407" s="1">
        <v>1.2200000000000001E-2</v>
      </c>
      <c r="L2407" s="1">
        <v>0.2218</v>
      </c>
      <c r="M2407" s="1">
        <v>2.5999999999999999E-3</v>
      </c>
      <c r="N2407" s="1">
        <v>2.3999999999999998E-3</v>
      </c>
      <c r="O2407" s="1">
        <v>1.54E-2</v>
      </c>
      <c r="P2407" s="1">
        <v>5.5599999999999997E-2</v>
      </c>
      <c r="Q2407" s="1">
        <v>1.46E-2</v>
      </c>
      <c r="R2407" s="1">
        <v>1.77E-2</v>
      </c>
      <c r="S2407" s="1">
        <v>3.0000000000000001E-3</v>
      </c>
      <c r="T2407" s="1">
        <v>4.1000000000000003E-3</v>
      </c>
      <c r="U2407" s="1">
        <v>0.59740000000000004</v>
      </c>
      <c r="V2407" s="1">
        <v>0.64439999999999997</v>
      </c>
      <c r="W2407" s="1">
        <v>0.62129999999999996</v>
      </c>
    </row>
    <row r="2408" spans="1:23">
      <c r="A2408" t="s">
        <v>235</v>
      </c>
      <c r="B2408" t="s">
        <v>204</v>
      </c>
      <c r="C2408">
        <v>62</v>
      </c>
      <c r="D2408" t="s">
        <v>208</v>
      </c>
      <c r="E2408">
        <v>964</v>
      </c>
      <c r="G2408" s="1">
        <v>1.61E-2</v>
      </c>
      <c r="I2408" s="1">
        <v>1.61E-2</v>
      </c>
      <c r="L2408" s="1">
        <v>9.6799999999999997E-2</v>
      </c>
      <c r="P2408" s="1">
        <v>1.61E-2</v>
      </c>
      <c r="Q2408" s="1">
        <v>3.2300000000000002E-2</v>
      </c>
      <c r="R2408" s="1">
        <v>1.61E-2</v>
      </c>
      <c r="S2408" s="1">
        <v>1.61E-2</v>
      </c>
      <c r="U2408" s="1">
        <v>0.6613</v>
      </c>
      <c r="V2408" s="1">
        <v>0.8548</v>
      </c>
      <c r="W2408" s="1">
        <v>0.80649999999999999</v>
      </c>
    </row>
    <row r="2409" spans="1:23">
      <c r="A2409" t="s">
        <v>236</v>
      </c>
      <c r="B2409" t="s">
        <v>204</v>
      </c>
      <c r="C2409">
        <v>32</v>
      </c>
      <c r="D2409" t="s">
        <v>205</v>
      </c>
      <c r="E2409">
        <v>964</v>
      </c>
      <c r="G2409" s="1">
        <v>0.20649999999999999</v>
      </c>
      <c r="L2409" s="1">
        <v>0.3695</v>
      </c>
      <c r="P2409" s="1">
        <v>1.37E-2</v>
      </c>
      <c r="U2409" s="1">
        <v>0.49009999999999998</v>
      </c>
      <c r="V2409" s="1">
        <v>0.63049999999999995</v>
      </c>
      <c r="W2409" s="1">
        <v>0.59899999999999998</v>
      </c>
    </row>
    <row r="2410" spans="1:23">
      <c r="A2410" t="s">
        <v>235</v>
      </c>
      <c r="B2410" t="s">
        <v>204</v>
      </c>
      <c r="C2410">
        <v>58</v>
      </c>
      <c r="D2410" t="s">
        <v>205</v>
      </c>
      <c r="E2410">
        <v>964</v>
      </c>
      <c r="F2410" s="1">
        <v>4.48E-2</v>
      </c>
      <c r="G2410" s="1">
        <v>0.2346</v>
      </c>
      <c r="H2410" s="1">
        <v>1.46E-2</v>
      </c>
      <c r="K2410" s="1">
        <v>5.0900000000000001E-2</v>
      </c>
      <c r="L2410" s="1">
        <v>0.18190000000000001</v>
      </c>
      <c r="O2410" s="1">
        <v>3.0000000000000001E-3</v>
      </c>
      <c r="P2410" s="1">
        <v>4.48E-2</v>
      </c>
      <c r="Q2410" s="1">
        <v>2.5499999999999998E-2</v>
      </c>
      <c r="R2410" s="1">
        <v>7.0300000000000001E-2</v>
      </c>
      <c r="U2410" s="1">
        <v>0.59719999999999995</v>
      </c>
      <c r="V2410" s="1">
        <v>0.61970000000000003</v>
      </c>
      <c r="W2410" s="1">
        <v>0.54549999999999998</v>
      </c>
    </row>
    <row r="2411" spans="1:23" s="26" customFormat="1">
      <c r="A2411" s="26" t="s">
        <v>236</v>
      </c>
      <c r="B2411" s="26" t="s">
        <v>204</v>
      </c>
      <c r="C2411" s="26">
        <v>21</v>
      </c>
      <c r="D2411" s="26" t="s">
        <v>206</v>
      </c>
      <c r="E2411" s="26">
        <v>964</v>
      </c>
      <c r="K2411" s="27">
        <v>4.2799999999999998E-2</v>
      </c>
      <c r="L2411" s="27">
        <v>0.1711</v>
      </c>
      <c r="P2411" s="27">
        <v>4.2799999999999998E-2</v>
      </c>
      <c r="R2411" s="27">
        <v>0.10249999999999999</v>
      </c>
      <c r="U2411" s="27">
        <v>0.74339999999999995</v>
      </c>
      <c r="V2411" s="27">
        <v>0.68359999999999999</v>
      </c>
      <c r="W2411" s="27">
        <v>0.68359999999999999</v>
      </c>
    </row>
    <row r="2412" spans="1:23">
      <c r="A2412" t="s">
        <v>235</v>
      </c>
      <c r="B2412" t="s">
        <v>204</v>
      </c>
      <c r="C2412">
        <v>46</v>
      </c>
      <c r="D2412" t="s">
        <v>206</v>
      </c>
      <c r="E2412">
        <v>964</v>
      </c>
      <c r="G2412" s="1">
        <v>1.7600000000000001E-2</v>
      </c>
      <c r="I2412" s="1">
        <v>6.6900000000000001E-2</v>
      </c>
      <c r="K2412" s="1">
        <v>2.46E-2</v>
      </c>
      <c r="L2412" s="1">
        <v>0.11609999999999999</v>
      </c>
      <c r="O2412" s="1">
        <v>4.2299999999999997E-2</v>
      </c>
      <c r="P2412" s="1">
        <v>1.7600000000000001E-2</v>
      </c>
      <c r="Q2412" s="1">
        <v>1.7600000000000001E-2</v>
      </c>
      <c r="R2412" s="1">
        <v>4.2299999999999997E-2</v>
      </c>
      <c r="U2412" s="1">
        <v>0.65859999999999996</v>
      </c>
      <c r="V2412" s="1">
        <v>0.70779999999999998</v>
      </c>
      <c r="W2412" s="1">
        <v>0.74309999999999998</v>
      </c>
    </row>
    <row r="2413" spans="1:23">
      <c r="A2413" t="s">
        <v>236</v>
      </c>
      <c r="B2413" t="s">
        <v>204</v>
      </c>
      <c r="C2413">
        <v>81</v>
      </c>
      <c r="D2413" t="s">
        <v>207</v>
      </c>
      <c r="E2413">
        <v>964</v>
      </c>
      <c r="F2413" s="1">
        <v>0.22789999999999999</v>
      </c>
      <c r="G2413" s="1">
        <v>0.36720000000000003</v>
      </c>
      <c r="I2413" s="1">
        <v>1.9900000000000001E-2</v>
      </c>
      <c r="L2413" s="1">
        <v>9.3399999999999997E-2</v>
      </c>
      <c r="N2413" s="1">
        <v>6.1000000000000004E-3</v>
      </c>
      <c r="O2413" s="1">
        <v>8.8000000000000005E-3</v>
      </c>
      <c r="P2413" s="1">
        <v>0.23769999999999999</v>
      </c>
      <c r="Q2413" s="1">
        <v>8.8000000000000005E-3</v>
      </c>
      <c r="U2413" s="1">
        <v>0.78790000000000004</v>
      </c>
      <c r="V2413" s="1">
        <v>0.82289999999999996</v>
      </c>
      <c r="W2413" s="1">
        <v>0.79290000000000005</v>
      </c>
    </row>
    <row r="2414" spans="1:23">
      <c r="A2414" t="s">
        <v>235</v>
      </c>
      <c r="B2414" t="s">
        <v>204</v>
      </c>
      <c r="C2414">
        <v>45</v>
      </c>
      <c r="D2414" t="s">
        <v>207</v>
      </c>
      <c r="E2414">
        <v>964</v>
      </c>
      <c r="F2414" s="1">
        <v>5.8999999999999999E-3</v>
      </c>
      <c r="G2414" s="1">
        <v>0.41560000000000002</v>
      </c>
      <c r="H2414" s="1">
        <v>8.5000000000000006E-3</v>
      </c>
      <c r="K2414" s="1">
        <v>0.01</v>
      </c>
      <c r="L2414" s="1">
        <v>2.86E-2</v>
      </c>
      <c r="M2414" s="1">
        <v>6.1999999999999998E-3</v>
      </c>
      <c r="O2414" s="1">
        <v>1.43E-2</v>
      </c>
      <c r="P2414" s="1">
        <v>0.1691</v>
      </c>
      <c r="Q2414" s="1">
        <v>0.01</v>
      </c>
      <c r="R2414" s="1">
        <v>1.6000000000000001E-3</v>
      </c>
      <c r="U2414" s="1">
        <v>0.93500000000000005</v>
      </c>
      <c r="V2414" s="1">
        <v>0.93769999999999998</v>
      </c>
      <c r="W2414" s="1">
        <v>0.95040000000000002</v>
      </c>
    </row>
    <row r="2415" spans="1:23" s="26" customFormat="1">
      <c r="A2415" s="26" t="s">
        <v>236</v>
      </c>
      <c r="B2415" s="26" t="s">
        <v>204</v>
      </c>
      <c r="C2415" s="26">
        <v>11</v>
      </c>
      <c r="D2415" s="26" t="s">
        <v>208</v>
      </c>
      <c r="E2415" s="26">
        <v>964</v>
      </c>
      <c r="H2415" s="27">
        <v>9.0899999999999995E-2</v>
      </c>
      <c r="Q2415" s="27">
        <v>9.0899999999999995E-2</v>
      </c>
      <c r="U2415" s="27">
        <v>0.72729999999999995</v>
      </c>
      <c r="V2415" s="27">
        <v>0.72729999999999995</v>
      </c>
      <c r="W2415" s="27">
        <v>0.72729999999999995</v>
      </c>
    </row>
    <row r="2416" spans="1:23">
      <c r="A2416" t="s">
        <v>235</v>
      </c>
      <c r="B2416" t="s">
        <v>199</v>
      </c>
      <c r="C2416">
        <v>44</v>
      </c>
      <c r="D2416" t="s">
        <v>203</v>
      </c>
      <c r="E2416">
        <v>964</v>
      </c>
      <c r="G2416" s="1">
        <v>3.0300000000000001E-2</v>
      </c>
      <c r="I2416" s="1">
        <v>4.2799999999999998E-2</v>
      </c>
      <c r="K2416" s="1">
        <v>1.5100000000000001E-2</v>
      </c>
      <c r="L2416" s="1">
        <v>0.14680000000000001</v>
      </c>
      <c r="M2416" s="1">
        <v>4.2799999999999998E-2</v>
      </c>
      <c r="P2416" s="1">
        <v>1.5100000000000001E-2</v>
      </c>
      <c r="Q2416" s="1">
        <v>1.18E-2</v>
      </c>
      <c r="U2416" s="1">
        <v>0.75309999999999999</v>
      </c>
      <c r="V2416" s="1">
        <v>0.75239999999999996</v>
      </c>
      <c r="W2416" s="1">
        <v>0.65969999999999995</v>
      </c>
    </row>
    <row r="2417" spans="1:23">
      <c r="A2417" t="s">
        <v>236</v>
      </c>
      <c r="B2417" t="s">
        <v>199</v>
      </c>
      <c r="C2417">
        <v>31</v>
      </c>
      <c r="D2417" t="s">
        <v>203</v>
      </c>
      <c r="E2417">
        <v>964</v>
      </c>
      <c r="I2417" s="1">
        <v>0.1075</v>
      </c>
      <c r="L2417" s="1">
        <v>0.23930000000000001</v>
      </c>
      <c r="U2417" s="1">
        <v>0.37619999999999998</v>
      </c>
      <c r="V2417" s="1">
        <v>0.62509999999999999</v>
      </c>
      <c r="W2417" s="1">
        <v>0.38229999999999997</v>
      </c>
    </row>
    <row r="2418" spans="1:23">
      <c r="A2418" t="s">
        <v>235</v>
      </c>
      <c r="B2418" t="s">
        <v>199</v>
      </c>
      <c r="C2418">
        <v>60</v>
      </c>
      <c r="D2418" t="s">
        <v>202</v>
      </c>
      <c r="E2418">
        <v>964</v>
      </c>
      <c r="F2418" s="1">
        <v>1.4800000000000001E-2</v>
      </c>
      <c r="G2418" s="1">
        <v>5.4699999999999999E-2</v>
      </c>
      <c r="K2418" s="1">
        <v>2.1299999999999999E-2</v>
      </c>
      <c r="L2418" s="1">
        <v>0.42449999999999999</v>
      </c>
      <c r="O2418" s="1">
        <v>2.3599999999999999E-2</v>
      </c>
      <c r="P2418" s="1">
        <v>8.6800000000000002E-2</v>
      </c>
      <c r="Q2418" s="1">
        <v>2.3599999999999999E-2</v>
      </c>
      <c r="R2418" s="1">
        <v>2.3599999999999999E-2</v>
      </c>
      <c r="T2418" s="1">
        <v>2.1299999999999999E-2</v>
      </c>
      <c r="U2418" s="1">
        <v>0.32650000000000001</v>
      </c>
      <c r="V2418" s="1">
        <v>0.43340000000000001</v>
      </c>
      <c r="W2418" s="1">
        <v>0.40989999999999999</v>
      </c>
    </row>
    <row r="2419" spans="1:23" s="26" customFormat="1">
      <c r="A2419" s="26" t="s">
        <v>236</v>
      </c>
      <c r="B2419" s="26" t="s">
        <v>199</v>
      </c>
      <c r="C2419" s="26">
        <v>24</v>
      </c>
      <c r="D2419" s="26" t="s">
        <v>200</v>
      </c>
      <c r="E2419" s="26">
        <v>964</v>
      </c>
      <c r="I2419" s="27">
        <v>3.3999999999999998E-3</v>
      </c>
      <c r="L2419" s="27">
        <v>0.56240000000000001</v>
      </c>
      <c r="U2419" s="27">
        <v>0.2235</v>
      </c>
      <c r="V2419" s="27">
        <v>0.15720000000000001</v>
      </c>
      <c r="W2419" s="27">
        <v>0.30280000000000001</v>
      </c>
    </row>
    <row r="2420" spans="1:23">
      <c r="A2420" t="s">
        <v>235</v>
      </c>
      <c r="B2420" t="s">
        <v>199</v>
      </c>
      <c r="C2420">
        <v>46</v>
      </c>
      <c r="D2420" t="s">
        <v>200</v>
      </c>
      <c r="E2420">
        <v>964</v>
      </c>
      <c r="F2420" s="1">
        <v>2.9100000000000001E-2</v>
      </c>
      <c r="G2420" s="1">
        <v>0.1174</v>
      </c>
      <c r="H2420" s="1">
        <v>2.9100000000000001E-2</v>
      </c>
      <c r="I2420" s="1">
        <v>3.0000000000000001E-3</v>
      </c>
      <c r="J2420" s="1">
        <v>3.0000000000000001E-3</v>
      </c>
      <c r="K2420" s="1">
        <v>3.0000000000000001E-3</v>
      </c>
      <c r="L2420" s="1">
        <v>0.10929999999999999</v>
      </c>
      <c r="M2420" s="1">
        <v>3.0000000000000001E-3</v>
      </c>
      <c r="O2420" s="1">
        <v>0.17949999999999999</v>
      </c>
      <c r="P2420" s="1">
        <v>3.0000000000000001E-3</v>
      </c>
      <c r="U2420" s="1">
        <v>0.47199999999999998</v>
      </c>
      <c r="V2420" s="1">
        <v>0.56920000000000004</v>
      </c>
      <c r="W2420" s="1">
        <v>0.79049999999999998</v>
      </c>
    </row>
    <row r="2421" spans="1:23">
      <c r="A2421" t="s">
        <v>236</v>
      </c>
      <c r="B2421" t="s">
        <v>199</v>
      </c>
      <c r="C2421">
        <v>37</v>
      </c>
      <c r="D2421" t="s">
        <v>202</v>
      </c>
      <c r="E2421">
        <v>964</v>
      </c>
      <c r="G2421" s="1">
        <v>3.2300000000000002E-2</v>
      </c>
      <c r="H2421" s="1">
        <v>3.2800000000000003E-2</v>
      </c>
      <c r="L2421" s="1">
        <v>0.4929</v>
      </c>
      <c r="O2421" s="1">
        <v>6.5600000000000006E-2</v>
      </c>
      <c r="U2421" s="1">
        <v>0.39850000000000002</v>
      </c>
      <c r="V2421" s="1">
        <v>0.4229</v>
      </c>
      <c r="W2421" s="1">
        <v>0.41270000000000001</v>
      </c>
    </row>
    <row r="2422" spans="1:23">
      <c r="A2422" t="s">
        <v>235</v>
      </c>
      <c r="B2422" t="s">
        <v>199</v>
      </c>
      <c r="C2422">
        <v>96</v>
      </c>
      <c r="D2422" t="s">
        <v>201</v>
      </c>
      <c r="E2422">
        <v>964</v>
      </c>
      <c r="F2422" s="1">
        <v>2.0799999999999999E-2</v>
      </c>
      <c r="G2422" s="1">
        <v>8.3299999999999999E-2</v>
      </c>
      <c r="H2422" s="1">
        <v>1.04E-2</v>
      </c>
      <c r="I2422" s="1">
        <v>4.1700000000000001E-2</v>
      </c>
      <c r="L2422" s="1">
        <v>0.23960000000000001</v>
      </c>
      <c r="N2422" s="1">
        <v>1.04E-2</v>
      </c>
      <c r="O2422" s="1">
        <v>1.04E-2</v>
      </c>
      <c r="P2422" s="1">
        <v>3.1199999999999999E-2</v>
      </c>
      <c r="U2422" s="1">
        <v>0.55210000000000004</v>
      </c>
      <c r="V2422" s="1">
        <v>0.58330000000000004</v>
      </c>
      <c r="W2422" s="1">
        <v>0.58330000000000004</v>
      </c>
    </row>
    <row r="2423" spans="1:23">
      <c r="A2423" t="s">
        <v>236</v>
      </c>
      <c r="B2423" t="s">
        <v>209</v>
      </c>
      <c r="C2423">
        <v>39</v>
      </c>
      <c r="D2423" t="s">
        <v>211</v>
      </c>
      <c r="E2423">
        <v>964</v>
      </c>
      <c r="G2423" s="1">
        <v>1.18E-2</v>
      </c>
      <c r="I2423" s="1">
        <v>1.18E-2</v>
      </c>
      <c r="L2423" s="1">
        <v>0.44290000000000002</v>
      </c>
      <c r="O2423" s="1">
        <v>2.3699999999999999E-2</v>
      </c>
      <c r="P2423" s="1">
        <v>2.76E-2</v>
      </c>
      <c r="U2423" s="1">
        <v>0.42970000000000003</v>
      </c>
      <c r="V2423" s="1">
        <v>0.49399999999999999</v>
      </c>
      <c r="W2423" s="1">
        <v>0.50580000000000003</v>
      </c>
    </row>
    <row r="2424" spans="1:23">
      <c r="A2424" t="s">
        <v>235</v>
      </c>
      <c r="B2424" t="s">
        <v>209</v>
      </c>
      <c r="C2424">
        <v>56</v>
      </c>
      <c r="D2424" t="s">
        <v>211</v>
      </c>
      <c r="E2424">
        <v>964</v>
      </c>
      <c r="F2424" s="1">
        <v>3.1800000000000002E-2</v>
      </c>
      <c r="G2424" s="1">
        <v>4.6199999999999998E-2</v>
      </c>
      <c r="L2424" s="1">
        <v>0.2172</v>
      </c>
      <c r="P2424" s="1">
        <v>1.9599999999999999E-2</v>
      </c>
      <c r="Q2424" s="1">
        <v>2.6599999999999999E-2</v>
      </c>
      <c r="R2424" s="1">
        <v>1.9599999999999999E-2</v>
      </c>
      <c r="S2424" s="1">
        <v>1.9599999999999999E-2</v>
      </c>
      <c r="T2424" s="1">
        <v>2.6599999999999999E-2</v>
      </c>
      <c r="U2424" s="1">
        <v>0.63319999999999999</v>
      </c>
      <c r="V2424" s="1">
        <v>0.63490000000000002</v>
      </c>
      <c r="W2424" s="1">
        <v>0.61699999999999999</v>
      </c>
    </row>
    <row r="2425" spans="1:23">
      <c r="A2425" t="s">
        <v>235</v>
      </c>
      <c r="B2425" t="s">
        <v>209</v>
      </c>
      <c r="C2425">
        <v>67</v>
      </c>
      <c r="D2425" t="s">
        <v>212</v>
      </c>
      <c r="E2425">
        <v>964</v>
      </c>
      <c r="F2425" s="1">
        <v>1.6199999999999999E-2</v>
      </c>
      <c r="G2425" s="1">
        <v>4.9500000000000002E-2</v>
      </c>
      <c r="I2425" s="1">
        <v>1.6199999999999999E-2</v>
      </c>
      <c r="L2425" s="1">
        <v>0.1512</v>
      </c>
      <c r="O2425" s="1">
        <v>1.6199999999999999E-2</v>
      </c>
      <c r="P2425" s="1">
        <v>1.7100000000000001E-2</v>
      </c>
      <c r="Q2425" s="1">
        <v>3.1800000000000002E-2</v>
      </c>
      <c r="R2425" s="1">
        <v>1.5599999999999999E-2</v>
      </c>
      <c r="S2425" s="1">
        <v>1.6199999999999999E-2</v>
      </c>
      <c r="T2425" s="1">
        <v>1.6199999999999999E-2</v>
      </c>
      <c r="U2425" s="1">
        <v>0.69489999999999996</v>
      </c>
      <c r="V2425" s="1">
        <v>0.72160000000000002</v>
      </c>
      <c r="W2425" s="1">
        <v>0.6835</v>
      </c>
    </row>
    <row r="2426" spans="1:23" s="26" customFormat="1">
      <c r="A2426" s="26" t="s">
        <v>236</v>
      </c>
      <c r="B2426" s="26" t="s">
        <v>209</v>
      </c>
      <c r="C2426" s="26">
        <v>18</v>
      </c>
      <c r="D2426" s="26" t="s">
        <v>212</v>
      </c>
      <c r="E2426" s="26">
        <v>964</v>
      </c>
      <c r="G2426" s="27">
        <v>5.2499999999999998E-2</v>
      </c>
      <c r="I2426" s="27">
        <v>4.1099999999999998E-2</v>
      </c>
      <c r="L2426" s="27">
        <v>0.41699999999999998</v>
      </c>
      <c r="U2426" s="27">
        <v>0.3881</v>
      </c>
      <c r="V2426" s="27">
        <v>0.4894</v>
      </c>
      <c r="W2426" s="27">
        <v>0.4894</v>
      </c>
    </row>
    <row r="2427" spans="1:23">
      <c r="A2427" t="s">
        <v>236</v>
      </c>
      <c r="B2427" t="s">
        <v>209</v>
      </c>
      <c r="C2427">
        <v>37</v>
      </c>
      <c r="D2427" t="s">
        <v>210</v>
      </c>
      <c r="E2427">
        <v>964</v>
      </c>
      <c r="I2427" s="1">
        <v>6.2300000000000001E-2</v>
      </c>
      <c r="K2427" s="1">
        <v>2.0799999999999999E-2</v>
      </c>
      <c r="L2427" s="1">
        <v>0.2979</v>
      </c>
      <c r="P2427" s="1">
        <v>2.0799999999999999E-2</v>
      </c>
      <c r="U2427" s="1">
        <v>0.61899999999999999</v>
      </c>
      <c r="V2427" s="1">
        <v>0.44569999999999999</v>
      </c>
      <c r="W2427" s="1">
        <v>0.44569999999999999</v>
      </c>
    </row>
    <row r="2428" spans="1:23">
      <c r="A2428" t="s">
        <v>235</v>
      </c>
      <c r="B2428" t="s">
        <v>209</v>
      </c>
      <c r="C2428">
        <v>32</v>
      </c>
      <c r="D2428" t="s">
        <v>210</v>
      </c>
      <c r="E2428">
        <v>964</v>
      </c>
      <c r="I2428" s="1">
        <v>3.2300000000000002E-2</v>
      </c>
      <c r="K2428" s="1">
        <v>4.7600000000000003E-2</v>
      </c>
      <c r="L2428" s="1">
        <v>3.2300000000000002E-2</v>
      </c>
      <c r="O2428" s="1">
        <v>3.2300000000000002E-2</v>
      </c>
      <c r="Q2428" s="1">
        <v>3.2300000000000002E-2</v>
      </c>
      <c r="U2428" s="1">
        <v>0.59689999999999999</v>
      </c>
      <c r="V2428" s="1">
        <v>0.67679999999999996</v>
      </c>
      <c r="W2428" s="1">
        <v>0.77380000000000004</v>
      </c>
    </row>
    <row r="2430" spans="1:23">
      <c r="A2430" t="s">
        <v>751</v>
      </c>
    </row>
    <row r="2431" spans="1:23">
      <c r="A2431" t="s">
        <v>189</v>
      </c>
      <c r="B2431" t="s">
        <v>195</v>
      </c>
      <c r="C2431" t="s">
        <v>190</v>
      </c>
      <c r="D2431" t="s">
        <v>196</v>
      </c>
      <c r="E2431" t="s">
        <v>752</v>
      </c>
      <c r="F2431" t="s">
        <v>753</v>
      </c>
      <c r="G2431" t="s">
        <v>754</v>
      </c>
      <c r="H2431" t="s">
        <v>755</v>
      </c>
      <c r="I2431" t="s">
        <v>756</v>
      </c>
      <c r="J2431" t="s">
        <v>757</v>
      </c>
      <c r="K2431" t="s">
        <v>758</v>
      </c>
    </row>
    <row r="2432" spans="1:23" s="26" customFormat="1">
      <c r="A2432" s="26" t="s">
        <v>197</v>
      </c>
      <c r="B2432" s="26">
        <v>18</v>
      </c>
      <c r="C2432" s="26" t="s">
        <v>198</v>
      </c>
      <c r="D2432" s="26">
        <v>18</v>
      </c>
      <c r="E2432" s="27">
        <v>0.1089</v>
      </c>
      <c r="F2432" s="27">
        <v>1.83E-2</v>
      </c>
      <c r="G2432" s="27">
        <v>0.12889999999999999</v>
      </c>
      <c r="H2432" s="27">
        <v>0.82369999999999999</v>
      </c>
      <c r="I2432" s="27">
        <v>6.4999999999999997E-3</v>
      </c>
      <c r="J2432" s="27">
        <v>4.8300000000000003E-2</v>
      </c>
      <c r="K2432" s="27">
        <v>0.1285</v>
      </c>
    </row>
    <row r="2433" spans="1:11" s="26" customFormat="1">
      <c r="A2433" s="26" t="s">
        <v>204</v>
      </c>
      <c r="B2433" s="26">
        <v>2</v>
      </c>
      <c r="C2433" s="26" t="s">
        <v>205</v>
      </c>
      <c r="D2433" s="26">
        <v>18</v>
      </c>
      <c r="H2433" s="27">
        <v>1</v>
      </c>
    </row>
    <row r="2434" spans="1:11" s="26" customFormat="1">
      <c r="A2434" s="26" t="s">
        <v>204</v>
      </c>
      <c r="B2434" s="26">
        <v>1</v>
      </c>
      <c r="C2434" s="26" t="s">
        <v>206</v>
      </c>
      <c r="D2434" s="26">
        <v>18</v>
      </c>
      <c r="I2434" s="27">
        <v>1</v>
      </c>
      <c r="J2434" s="27">
        <v>1</v>
      </c>
    </row>
    <row r="2435" spans="1:11" s="26" customFormat="1">
      <c r="A2435" s="26" t="s">
        <v>204</v>
      </c>
      <c r="B2435" s="26">
        <v>2</v>
      </c>
      <c r="C2435" s="26" t="s">
        <v>207</v>
      </c>
      <c r="D2435" s="26">
        <v>18</v>
      </c>
      <c r="E2435" s="27">
        <v>0.57830000000000004</v>
      </c>
      <c r="G2435" s="27">
        <v>0.57830000000000004</v>
      </c>
      <c r="H2435" s="27">
        <v>1</v>
      </c>
      <c r="K2435" s="27">
        <v>0.57830000000000004</v>
      </c>
    </row>
    <row r="2436" spans="1:11" s="26" customFormat="1">
      <c r="A2436" s="26" t="s">
        <v>204</v>
      </c>
      <c r="B2436" s="26">
        <v>4</v>
      </c>
      <c r="C2436" s="26" t="s">
        <v>208</v>
      </c>
      <c r="D2436" s="26">
        <v>18</v>
      </c>
      <c r="H2436" s="27">
        <v>0.75</v>
      </c>
      <c r="J2436" s="27">
        <v>0.25</v>
      </c>
      <c r="K2436" s="27">
        <v>0.25</v>
      </c>
    </row>
    <row r="2437" spans="1:11" s="26" customFormat="1">
      <c r="A2437" s="26" t="s">
        <v>199</v>
      </c>
      <c r="B2437" s="26">
        <v>1</v>
      </c>
      <c r="C2437" s="26" t="s">
        <v>200</v>
      </c>
      <c r="D2437" s="26">
        <v>18</v>
      </c>
      <c r="G2437" s="27">
        <v>1</v>
      </c>
      <c r="H2437" s="27">
        <v>1</v>
      </c>
    </row>
    <row r="2438" spans="1:11" s="26" customFormat="1">
      <c r="A2438" s="26" t="s">
        <v>199</v>
      </c>
      <c r="B2438" s="26">
        <v>1</v>
      </c>
      <c r="C2438" s="26" t="s">
        <v>201</v>
      </c>
      <c r="D2438" s="26">
        <v>18</v>
      </c>
      <c r="H2438" s="27">
        <v>1</v>
      </c>
    </row>
    <row r="2439" spans="1:11" s="26" customFormat="1">
      <c r="A2439" s="26" t="s">
        <v>199</v>
      </c>
      <c r="B2439" s="26">
        <v>2</v>
      </c>
      <c r="C2439" s="26" t="s">
        <v>202</v>
      </c>
      <c r="D2439" s="26">
        <v>18</v>
      </c>
      <c r="H2439" s="27">
        <v>1</v>
      </c>
    </row>
    <row r="2440" spans="1:11" s="26" customFormat="1">
      <c r="A2440" s="26" t="s">
        <v>199</v>
      </c>
      <c r="B2440" s="26">
        <v>1</v>
      </c>
      <c r="C2440" s="26" t="s">
        <v>203</v>
      </c>
      <c r="D2440" s="26">
        <v>18</v>
      </c>
      <c r="F2440" s="27">
        <v>1</v>
      </c>
      <c r="K2440" s="27">
        <v>1</v>
      </c>
    </row>
    <row r="2441" spans="1:11" s="26" customFormat="1">
      <c r="A2441" s="26" t="s">
        <v>209</v>
      </c>
      <c r="B2441" s="26">
        <v>1</v>
      </c>
      <c r="C2441" s="26" t="s">
        <v>210</v>
      </c>
      <c r="D2441" s="26">
        <v>18</v>
      </c>
      <c r="F2441" s="27">
        <v>1</v>
      </c>
    </row>
    <row r="2442" spans="1:11" s="26" customFormat="1">
      <c r="A2442" s="26" t="s">
        <v>209</v>
      </c>
      <c r="B2442" s="26">
        <v>2</v>
      </c>
      <c r="C2442" s="26" t="s">
        <v>211</v>
      </c>
      <c r="D2442" s="26">
        <v>18</v>
      </c>
      <c r="K2442" s="27">
        <v>1</v>
      </c>
    </row>
    <row r="2443" spans="1:11" s="26" customFormat="1">
      <c r="A2443" s="26" t="s">
        <v>209</v>
      </c>
      <c r="B2443" s="26">
        <v>1</v>
      </c>
      <c r="C2443" s="26" t="s">
        <v>212</v>
      </c>
      <c r="D2443" s="26">
        <v>18</v>
      </c>
      <c r="E2443" s="27">
        <v>1</v>
      </c>
      <c r="G2443" s="27">
        <v>1</v>
      </c>
    </row>
    <row r="2445" spans="1:11">
      <c r="A2445" t="s">
        <v>759</v>
      </c>
    </row>
    <row r="2446" spans="1:11">
      <c r="A2446" t="s">
        <v>189</v>
      </c>
      <c r="B2446" t="s">
        <v>195</v>
      </c>
      <c r="C2446" t="s">
        <v>190</v>
      </c>
      <c r="D2446" t="s">
        <v>196</v>
      </c>
      <c r="E2446" t="s">
        <v>760</v>
      </c>
      <c r="F2446" t="s">
        <v>761</v>
      </c>
      <c r="G2446" t="s">
        <v>762</v>
      </c>
      <c r="H2446" t="s">
        <v>763</v>
      </c>
      <c r="I2446" t="s">
        <v>223</v>
      </c>
      <c r="J2446" t="s">
        <v>764</v>
      </c>
    </row>
    <row r="2447" spans="1:11">
      <c r="A2447" t="s">
        <v>197</v>
      </c>
      <c r="B2447">
        <v>962</v>
      </c>
      <c r="C2447" t="s">
        <v>198</v>
      </c>
      <c r="D2447">
        <v>962</v>
      </c>
      <c r="E2447" s="1">
        <v>5.0900000000000001E-2</v>
      </c>
      <c r="F2447" s="1">
        <v>1.4500000000000001E-2</v>
      </c>
      <c r="G2447" s="1">
        <v>2.6700000000000002E-2</v>
      </c>
      <c r="H2447" s="1">
        <v>0.82140000000000002</v>
      </c>
      <c r="I2447" s="1">
        <v>4.4000000000000003E-3</v>
      </c>
      <c r="J2447" s="1">
        <v>8.2000000000000003E-2</v>
      </c>
    </row>
    <row r="2448" spans="1:11">
      <c r="A2448" t="s">
        <v>204</v>
      </c>
      <c r="B2448">
        <v>91</v>
      </c>
      <c r="C2448" t="s">
        <v>205</v>
      </c>
      <c r="D2448">
        <v>962</v>
      </c>
      <c r="E2448" s="1">
        <v>1.6899999999999998E-2</v>
      </c>
      <c r="F2448" s="1">
        <v>8.5000000000000006E-3</v>
      </c>
      <c r="G2448" s="1">
        <v>1.2E-2</v>
      </c>
      <c r="H2448" s="1">
        <v>0.9083</v>
      </c>
      <c r="J2448" s="1">
        <v>5.4300000000000001E-2</v>
      </c>
    </row>
    <row r="2449" spans="1:11">
      <c r="A2449" t="s">
        <v>204</v>
      </c>
      <c r="B2449">
        <v>70</v>
      </c>
      <c r="C2449" t="s">
        <v>206</v>
      </c>
      <c r="D2449">
        <v>962</v>
      </c>
      <c r="E2449" s="1">
        <v>8.6099999999999996E-2</v>
      </c>
      <c r="F2449" s="1">
        <v>8.3599999999999994E-2</v>
      </c>
      <c r="G2449" s="1">
        <v>1.67E-2</v>
      </c>
      <c r="H2449" s="1">
        <v>0.75609999999999999</v>
      </c>
      <c r="J2449" s="1">
        <v>5.74E-2</v>
      </c>
    </row>
    <row r="2450" spans="1:11">
      <c r="A2450" t="s">
        <v>204</v>
      </c>
      <c r="B2450">
        <v>131</v>
      </c>
      <c r="C2450" t="s">
        <v>207</v>
      </c>
      <c r="D2450">
        <v>962</v>
      </c>
      <c r="E2450" s="1">
        <v>1.89E-2</v>
      </c>
      <c r="F2450" s="1">
        <v>1.06E-2</v>
      </c>
      <c r="G2450" s="1">
        <v>9.0899999999999995E-2</v>
      </c>
      <c r="H2450" s="1">
        <v>0.67749999999999999</v>
      </c>
      <c r="I2450" s="1">
        <v>2.5000000000000001E-3</v>
      </c>
      <c r="J2450" s="1">
        <v>0.19950000000000001</v>
      </c>
    </row>
    <row r="2451" spans="1:11">
      <c r="A2451" t="s">
        <v>204</v>
      </c>
      <c r="B2451">
        <v>73</v>
      </c>
      <c r="C2451" t="s">
        <v>208</v>
      </c>
      <c r="D2451">
        <v>962</v>
      </c>
      <c r="E2451" s="1">
        <v>9.5899999999999999E-2</v>
      </c>
      <c r="F2451" s="1">
        <v>1.37E-2</v>
      </c>
      <c r="G2451" s="1">
        <v>1.37E-2</v>
      </c>
      <c r="H2451" s="1">
        <v>0.78080000000000005</v>
      </c>
      <c r="J2451" s="1">
        <v>9.5899999999999999E-2</v>
      </c>
    </row>
    <row r="2452" spans="1:11">
      <c r="A2452" t="s">
        <v>199</v>
      </c>
      <c r="B2452">
        <v>73</v>
      </c>
      <c r="C2452" t="s">
        <v>200</v>
      </c>
      <c r="D2452">
        <v>962</v>
      </c>
      <c r="E2452" s="1">
        <v>5.74E-2</v>
      </c>
      <c r="F2452" s="1">
        <v>4.7000000000000002E-3</v>
      </c>
      <c r="G2452" s="1">
        <v>3.2000000000000002E-3</v>
      </c>
      <c r="H2452" s="1">
        <v>0.92520000000000002</v>
      </c>
      <c r="J2452" s="1">
        <v>9.4999999999999998E-3</v>
      </c>
    </row>
    <row r="2453" spans="1:11">
      <c r="A2453" t="s">
        <v>199</v>
      </c>
      <c r="B2453">
        <v>96</v>
      </c>
      <c r="C2453" t="s">
        <v>201</v>
      </c>
      <c r="D2453">
        <v>962</v>
      </c>
      <c r="E2453" s="1">
        <v>6.25E-2</v>
      </c>
      <c r="G2453" s="1">
        <v>1.04E-2</v>
      </c>
      <c r="H2453" s="1">
        <v>0.86460000000000004</v>
      </c>
      <c r="I2453" s="1">
        <v>1.04E-2</v>
      </c>
      <c r="J2453" s="1">
        <v>5.21E-2</v>
      </c>
    </row>
    <row r="2454" spans="1:11">
      <c r="A2454" t="s">
        <v>199</v>
      </c>
      <c r="B2454">
        <v>98</v>
      </c>
      <c r="C2454" t="s">
        <v>202</v>
      </c>
      <c r="D2454">
        <v>962</v>
      </c>
      <c r="E2454" s="1">
        <v>0.05</v>
      </c>
      <c r="F2454" s="1">
        <v>3.0300000000000001E-2</v>
      </c>
      <c r="G2454" s="1">
        <v>9.5999999999999992E-3</v>
      </c>
      <c r="H2454" s="1">
        <v>0.82110000000000005</v>
      </c>
      <c r="I2454" s="1">
        <v>1.35E-2</v>
      </c>
      <c r="J2454" s="1">
        <v>7.5399999999999995E-2</v>
      </c>
    </row>
    <row r="2455" spans="1:11">
      <c r="A2455" t="s">
        <v>199</v>
      </c>
      <c r="B2455">
        <v>76</v>
      </c>
      <c r="C2455" t="s">
        <v>203</v>
      </c>
      <c r="D2455">
        <v>962</v>
      </c>
      <c r="E2455" s="1">
        <v>0.1363</v>
      </c>
      <c r="F2455" s="1">
        <v>2.2499999999999999E-2</v>
      </c>
      <c r="G2455" s="1">
        <v>1.6899999999999998E-2</v>
      </c>
      <c r="H2455" s="1">
        <v>0.7147</v>
      </c>
      <c r="J2455" s="1">
        <v>0.1095</v>
      </c>
    </row>
    <row r="2456" spans="1:11">
      <c r="A2456" t="s">
        <v>209</v>
      </c>
      <c r="B2456">
        <v>73</v>
      </c>
      <c r="C2456" t="s">
        <v>210</v>
      </c>
      <c r="D2456">
        <v>962</v>
      </c>
      <c r="E2456" s="1">
        <v>0.1134</v>
      </c>
      <c r="F2456" s="1">
        <v>5.3499999999999999E-2</v>
      </c>
      <c r="G2456" s="1">
        <v>8.3999999999999995E-3</v>
      </c>
      <c r="H2456" s="1">
        <v>0.69359999999999999</v>
      </c>
      <c r="J2456" s="1">
        <v>0.13120000000000001</v>
      </c>
    </row>
    <row r="2457" spans="1:11">
      <c r="A2457" t="s">
        <v>209</v>
      </c>
      <c r="B2457">
        <v>96</v>
      </c>
      <c r="C2457" t="s">
        <v>211</v>
      </c>
      <c r="D2457">
        <v>962</v>
      </c>
      <c r="E2457" s="1">
        <v>8.7300000000000003E-2</v>
      </c>
      <c r="F2457" s="1">
        <v>1.2200000000000001E-2</v>
      </c>
      <c r="G2457" s="1">
        <v>4.2999999999999997E-2</v>
      </c>
      <c r="H2457" s="1">
        <v>0.80889999999999995</v>
      </c>
      <c r="J2457" s="1">
        <v>4.87E-2</v>
      </c>
    </row>
    <row r="2458" spans="1:11">
      <c r="A2458" t="s">
        <v>209</v>
      </c>
      <c r="B2458">
        <v>85</v>
      </c>
      <c r="C2458" t="s">
        <v>212</v>
      </c>
      <c r="D2458">
        <v>962</v>
      </c>
      <c r="E2458" s="1">
        <v>6.3100000000000003E-2</v>
      </c>
      <c r="F2458" s="1">
        <v>2.7900000000000001E-2</v>
      </c>
      <c r="G2458" s="1">
        <v>2.7400000000000001E-2</v>
      </c>
      <c r="H2458" s="1">
        <v>0.83679999999999999</v>
      </c>
      <c r="J2458" s="1">
        <v>4.4699999999999997E-2</v>
      </c>
    </row>
    <row r="2460" spans="1:11">
      <c r="A2460" t="s">
        <v>765</v>
      </c>
    </row>
    <row r="2461" spans="1:11">
      <c r="A2461" t="s">
        <v>214</v>
      </c>
      <c r="B2461" t="s">
        <v>189</v>
      </c>
      <c r="C2461" t="s">
        <v>195</v>
      </c>
      <c r="D2461" t="s">
        <v>190</v>
      </c>
      <c r="E2461" t="s">
        <v>196</v>
      </c>
      <c r="F2461" t="s">
        <v>760</v>
      </c>
      <c r="G2461" t="s">
        <v>761</v>
      </c>
      <c r="H2461" t="s">
        <v>762</v>
      </c>
      <c r="I2461" t="s">
        <v>763</v>
      </c>
      <c r="J2461" t="s">
        <v>223</v>
      </c>
      <c r="K2461" t="s">
        <v>764</v>
      </c>
    </row>
    <row r="2462" spans="1:11">
      <c r="A2462" t="s">
        <v>198</v>
      </c>
      <c r="B2462" t="s">
        <v>197</v>
      </c>
      <c r="C2462">
        <v>962</v>
      </c>
      <c r="D2462" t="s">
        <v>198</v>
      </c>
      <c r="E2462">
        <v>962</v>
      </c>
      <c r="F2462" s="1">
        <v>5.0900000000000001E-2</v>
      </c>
      <c r="G2462" s="1">
        <v>1.4500000000000001E-2</v>
      </c>
      <c r="H2462" s="1">
        <v>2.6700000000000002E-2</v>
      </c>
      <c r="I2462" s="1">
        <v>0.82140000000000002</v>
      </c>
      <c r="J2462" s="1">
        <v>4.4000000000000003E-3</v>
      </c>
      <c r="K2462" s="1">
        <v>8.2000000000000003E-2</v>
      </c>
    </row>
    <row r="2463" spans="1:11" s="26" customFormat="1">
      <c r="A2463" s="26" t="s">
        <v>217</v>
      </c>
      <c r="B2463" s="26" t="s">
        <v>204</v>
      </c>
      <c r="C2463" s="26">
        <v>14</v>
      </c>
      <c r="D2463" s="26" t="s">
        <v>208</v>
      </c>
      <c r="E2463" s="26">
        <v>962</v>
      </c>
      <c r="F2463" s="27">
        <v>0.1429</v>
      </c>
      <c r="G2463" s="27">
        <v>7.1400000000000005E-2</v>
      </c>
      <c r="I2463" s="27">
        <v>0.78569999999999995</v>
      </c>
    </row>
    <row r="2464" spans="1:11" s="26" customFormat="1">
      <c r="A2464" s="26" t="s">
        <v>217</v>
      </c>
      <c r="B2464" s="26" t="s">
        <v>204</v>
      </c>
      <c r="C2464" s="26">
        <v>27</v>
      </c>
      <c r="D2464" s="26" t="s">
        <v>205</v>
      </c>
      <c r="E2464" s="26">
        <v>962</v>
      </c>
      <c r="F2464" s="27">
        <v>4.9700000000000001E-2</v>
      </c>
      <c r="I2464" s="27">
        <v>0.73519999999999996</v>
      </c>
      <c r="K2464" s="27">
        <v>0.21510000000000001</v>
      </c>
    </row>
    <row r="2465" spans="1:11">
      <c r="A2465" t="s">
        <v>218</v>
      </c>
      <c r="B2465" t="s">
        <v>204</v>
      </c>
      <c r="C2465">
        <v>64</v>
      </c>
      <c r="D2465" t="s">
        <v>205</v>
      </c>
      <c r="E2465">
        <v>962</v>
      </c>
      <c r="F2465" s="1">
        <v>6.4000000000000003E-3</v>
      </c>
      <c r="G2465" s="1">
        <v>1.12E-2</v>
      </c>
      <c r="H2465" s="1">
        <v>1.5800000000000002E-2</v>
      </c>
      <c r="I2465" s="1">
        <v>0.96340000000000003</v>
      </c>
      <c r="K2465" s="1">
        <v>3.2000000000000002E-3</v>
      </c>
    </row>
    <row r="2466" spans="1:11" s="26" customFormat="1">
      <c r="A2466" s="26" t="s">
        <v>217</v>
      </c>
      <c r="B2466" s="26" t="s">
        <v>204</v>
      </c>
      <c r="C2466" s="26">
        <v>11</v>
      </c>
      <c r="D2466" s="26" t="s">
        <v>206</v>
      </c>
      <c r="E2466" s="26">
        <v>962</v>
      </c>
      <c r="F2466" s="27">
        <v>8.2000000000000003E-2</v>
      </c>
      <c r="I2466" s="27">
        <v>0.63929999999999998</v>
      </c>
      <c r="K2466" s="27">
        <v>0.27860000000000001</v>
      </c>
    </row>
    <row r="2467" spans="1:11">
      <c r="A2467" t="s">
        <v>218</v>
      </c>
      <c r="B2467" t="s">
        <v>204</v>
      </c>
      <c r="C2467">
        <v>59</v>
      </c>
      <c r="D2467" t="s">
        <v>206</v>
      </c>
      <c r="E2467">
        <v>962</v>
      </c>
      <c r="F2467" s="1">
        <v>8.6800000000000002E-2</v>
      </c>
      <c r="G2467" s="1">
        <v>9.7900000000000001E-2</v>
      </c>
      <c r="H2467" s="1">
        <v>1.9599999999999999E-2</v>
      </c>
      <c r="I2467" s="1">
        <v>0.77610000000000001</v>
      </c>
      <c r="K2467" s="1">
        <v>1.9599999999999999E-2</v>
      </c>
    </row>
    <row r="2468" spans="1:11" s="26" customFormat="1">
      <c r="A2468" s="26" t="s">
        <v>217</v>
      </c>
      <c r="B2468" s="26" t="s">
        <v>204</v>
      </c>
      <c r="C2468" s="26">
        <v>23</v>
      </c>
      <c r="D2468" s="26" t="s">
        <v>207</v>
      </c>
      <c r="E2468" s="26">
        <v>962</v>
      </c>
      <c r="F2468" s="27">
        <v>3.3999999999999998E-3</v>
      </c>
      <c r="H2468" s="27">
        <v>0.1704</v>
      </c>
      <c r="I2468" s="27">
        <v>0.63660000000000005</v>
      </c>
      <c r="K2468" s="27">
        <v>0.1895</v>
      </c>
    </row>
    <row r="2469" spans="1:11">
      <c r="A2469" t="s">
        <v>218</v>
      </c>
      <c r="B2469" t="s">
        <v>204</v>
      </c>
      <c r="C2469">
        <v>108</v>
      </c>
      <c r="D2469" t="s">
        <v>207</v>
      </c>
      <c r="E2469">
        <v>962</v>
      </c>
      <c r="F2469" s="1">
        <v>2.46E-2</v>
      </c>
      <c r="G2469" s="1">
        <v>1.44E-2</v>
      </c>
      <c r="H2469" s="1">
        <v>6.2E-2</v>
      </c>
      <c r="I2469" s="1">
        <v>0.69240000000000002</v>
      </c>
      <c r="J2469" s="1">
        <v>3.3999999999999998E-3</v>
      </c>
      <c r="K2469" s="1">
        <v>0.20319999999999999</v>
      </c>
    </row>
    <row r="2470" spans="1:11">
      <c r="A2470" t="s">
        <v>218</v>
      </c>
      <c r="B2470" t="s">
        <v>204</v>
      </c>
      <c r="C2470">
        <v>59</v>
      </c>
      <c r="D2470" t="s">
        <v>208</v>
      </c>
      <c r="E2470">
        <v>962</v>
      </c>
      <c r="F2470" s="1">
        <v>8.4699999999999998E-2</v>
      </c>
      <c r="H2470" s="1">
        <v>1.6899999999999998E-2</v>
      </c>
      <c r="I2470" s="1">
        <v>0.77969999999999995</v>
      </c>
      <c r="K2470" s="1">
        <v>0.1186</v>
      </c>
    </row>
    <row r="2471" spans="1:11" s="26" customFormat="1">
      <c r="A2471" s="26" t="s">
        <v>217</v>
      </c>
      <c r="B2471" s="26" t="s">
        <v>199</v>
      </c>
      <c r="C2471" s="26">
        <v>11</v>
      </c>
      <c r="D2471" s="26" t="s">
        <v>203</v>
      </c>
      <c r="E2471" s="26">
        <v>962</v>
      </c>
      <c r="F2471" s="27">
        <v>0.44130000000000003</v>
      </c>
      <c r="I2471" s="27">
        <v>0.50670000000000004</v>
      </c>
      <c r="K2471" s="27">
        <v>5.1999999999999998E-2</v>
      </c>
    </row>
    <row r="2472" spans="1:11">
      <c r="A2472" t="s">
        <v>218</v>
      </c>
      <c r="B2472" t="s">
        <v>199</v>
      </c>
      <c r="C2472">
        <v>65</v>
      </c>
      <c r="D2472" t="s">
        <v>203</v>
      </c>
      <c r="E2472">
        <v>962</v>
      </c>
      <c r="F2472" s="1">
        <v>6.5799999999999997E-2</v>
      </c>
      <c r="G2472" s="1">
        <v>2.7699999999999999E-2</v>
      </c>
      <c r="H2472" s="1">
        <v>2.0899999999999998E-2</v>
      </c>
      <c r="I2472" s="1">
        <v>0.76280000000000003</v>
      </c>
      <c r="K2472" s="1">
        <v>0.12280000000000001</v>
      </c>
    </row>
    <row r="2473" spans="1:11">
      <c r="A2473" t="s">
        <v>218</v>
      </c>
      <c r="B2473" t="s">
        <v>199</v>
      </c>
      <c r="C2473">
        <v>71</v>
      </c>
      <c r="D2473" t="s">
        <v>202</v>
      </c>
      <c r="E2473">
        <v>962</v>
      </c>
      <c r="F2473" s="1">
        <v>7.0400000000000004E-2</v>
      </c>
      <c r="G2473" s="1">
        <v>4.2599999999999999E-2</v>
      </c>
      <c r="I2473" s="1">
        <v>0.76190000000000002</v>
      </c>
      <c r="J2473" s="1">
        <v>1.9099999999999999E-2</v>
      </c>
      <c r="K2473" s="1">
        <v>0.1061</v>
      </c>
    </row>
    <row r="2474" spans="1:11" s="26" customFormat="1">
      <c r="A2474" s="26" t="s">
        <v>217</v>
      </c>
      <c r="B2474" s="26" t="s">
        <v>199</v>
      </c>
      <c r="C2474" s="26">
        <v>13</v>
      </c>
      <c r="D2474" s="26" t="s">
        <v>200</v>
      </c>
      <c r="E2474" s="26">
        <v>962</v>
      </c>
      <c r="F2474" s="27">
        <v>1.0800000000000001E-2</v>
      </c>
      <c r="G2474" s="27">
        <v>1.0800000000000001E-2</v>
      </c>
      <c r="H2474" s="27">
        <v>1.0800000000000001E-2</v>
      </c>
      <c r="I2474" s="27">
        <v>0.96760000000000002</v>
      </c>
    </row>
    <row r="2475" spans="1:11">
      <c r="A2475" t="s">
        <v>218</v>
      </c>
      <c r="B2475" t="s">
        <v>199</v>
      </c>
      <c r="C2475">
        <v>80</v>
      </c>
      <c r="D2475" t="s">
        <v>201</v>
      </c>
      <c r="E2475">
        <v>962</v>
      </c>
      <c r="F2475" s="1">
        <v>0.05</v>
      </c>
      <c r="H2475" s="1">
        <v>1.2500000000000001E-2</v>
      </c>
      <c r="I2475" s="1">
        <v>0.88749999999999996</v>
      </c>
      <c r="J2475" s="1">
        <v>1.2500000000000001E-2</v>
      </c>
      <c r="K2475" s="1">
        <v>3.7499999999999999E-2</v>
      </c>
    </row>
    <row r="2476" spans="1:11">
      <c r="A2476" t="s">
        <v>218</v>
      </c>
      <c r="B2476" t="s">
        <v>199</v>
      </c>
      <c r="C2476">
        <v>60</v>
      </c>
      <c r="D2476" t="s">
        <v>200</v>
      </c>
      <c r="E2476">
        <v>962</v>
      </c>
      <c r="F2476" s="1">
        <v>6.54E-2</v>
      </c>
      <c r="G2476" s="1">
        <v>3.7000000000000002E-3</v>
      </c>
      <c r="H2476" s="1">
        <v>1.8E-3</v>
      </c>
      <c r="I2476" s="1">
        <v>0.91800000000000004</v>
      </c>
      <c r="K2476" s="1">
        <v>1.11E-2</v>
      </c>
    </row>
    <row r="2477" spans="1:11" s="26" customFormat="1">
      <c r="A2477" s="26" t="s">
        <v>217</v>
      </c>
      <c r="B2477" s="26" t="s">
        <v>199</v>
      </c>
      <c r="C2477" s="26">
        <v>27</v>
      </c>
      <c r="D2477" s="26" t="s">
        <v>202</v>
      </c>
      <c r="E2477" s="26">
        <v>962</v>
      </c>
      <c r="H2477" s="27">
        <v>3.3300000000000003E-2</v>
      </c>
      <c r="I2477" s="27">
        <v>0.9667</v>
      </c>
    </row>
    <row r="2478" spans="1:11" s="26" customFormat="1">
      <c r="A2478" s="26" t="s">
        <v>217</v>
      </c>
      <c r="B2478" s="26" t="s">
        <v>199</v>
      </c>
      <c r="C2478" s="26">
        <v>16</v>
      </c>
      <c r="D2478" s="26" t="s">
        <v>201</v>
      </c>
      <c r="E2478" s="26">
        <v>962</v>
      </c>
      <c r="F2478" s="27">
        <v>0.125</v>
      </c>
      <c r="I2478" s="27">
        <v>0.75</v>
      </c>
      <c r="K2478" s="27">
        <v>0.125</v>
      </c>
    </row>
    <row r="2479" spans="1:11">
      <c r="A2479" t="s">
        <v>218</v>
      </c>
      <c r="B2479" t="s">
        <v>209</v>
      </c>
      <c r="C2479">
        <v>76</v>
      </c>
      <c r="D2479" t="s">
        <v>211</v>
      </c>
      <c r="E2479">
        <v>962</v>
      </c>
      <c r="F2479" s="1">
        <v>8.5699999999999998E-2</v>
      </c>
      <c r="G2479" s="1">
        <v>1.55E-2</v>
      </c>
      <c r="H2479" s="1">
        <v>3.5099999999999999E-2</v>
      </c>
      <c r="I2479" s="1">
        <v>0.81720000000000004</v>
      </c>
      <c r="K2479" s="1">
        <v>4.65E-2</v>
      </c>
    </row>
    <row r="2480" spans="1:11" s="26" customFormat="1">
      <c r="A2480" s="26" t="s">
        <v>217</v>
      </c>
      <c r="B2480" s="26" t="s">
        <v>209</v>
      </c>
      <c r="C2480" s="26">
        <v>20</v>
      </c>
      <c r="D2480" s="26" t="s">
        <v>211</v>
      </c>
      <c r="E2480" s="26">
        <v>962</v>
      </c>
      <c r="F2480" s="27">
        <v>9.3100000000000002E-2</v>
      </c>
      <c r="H2480" s="27">
        <v>7.1599999999999997E-2</v>
      </c>
      <c r="I2480" s="27">
        <v>0.77869999999999995</v>
      </c>
      <c r="K2480" s="27">
        <v>5.6599999999999998E-2</v>
      </c>
    </row>
    <row r="2481" spans="1:11">
      <c r="A2481" t="s">
        <v>218</v>
      </c>
      <c r="B2481" t="s">
        <v>209</v>
      </c>
      <c r="C2481">
        <v>71</v>
      </c>
      <c r="D2481" t="s">
        <v>212</v>
      </c>
      <c r="E2481">
        <v>962</v>
      </c>
      <c r="F2481" s="1">
        <v>4.2599999999999999E-2</v>
      </c>
      <c r="G2481" s="1">
        <v>3.3799999999999997E-2</v>
      </c>
      <c r="H2481" s="1">
        <v>3.32E-2</v>
      </c>
      <c r="I2481" s="1">
        <v>0.84319999999999995</v>
      </c>
      <c r="K2481" s="1">
        <v>4.7199999999999999E-2</v>
      </c>
    </row>
    <row r="2482" spans="1:11" s="26" customFormat="1">
      <c r="A2482" s="26" t="s">
        <v>217</v>
      </c>
      <c r="B2482" s="26" t="s">
        <v>209</v>
      </c>
      <c r="C2482" s="26">
        <v>14</v>
      </c>
      <c r="D2482" s="26" t="s">
        <v>212</v>
      </c>
      <c r="E2482" s="26">
        <v>962</v>
      </c>
      <c r="F2482" s="27">
        <v>0.16089999999999999</v>
      </c>
      <c r="I2482" s="27">
        <v>0.80649999999999999</v>
      </c>
      <c r="K2482" s="27">
        <v>3.2599999999999997E-2</v>
      </c>
    </row>
    <row r="2483" spans="1:11" s="26" customFormat="1">
      <c r="A2483" s="26" t="s">
        <v>217</v>
      </c>
      <c r="B2483" s="26" t="s">
        <v>209</v>
      </c>
      <c r="C2483" s="26">
        <v>17</v>
      </c>
      <c r="D2483" s="26" t="s">
        <v>210</v>
      </c>
      <c r="E2483" s="26">
        <v>962</v>
      </c>
      <c r="G2483" s="27">
        <v>0.20150000000000001</v>
      </c>
      <c r="I2483" s="27">
        <v>0.66420000000000001</v>
      </c>
      <c r="K2483" s="27">
        <v>0.1343</v>
      </c>
    </row>
    <row r="2484" spans="1:11">
      <c r="A2484" t="s">
        <v>218</v>
      </c>
      <c r="B2484" t="s">
        <v>209</v>
      </c>
      <c r="C2484">
        <v>56</v>
      </c>
      <c r="D2484" t="s">
        <v>210</v>
      </c>
      <c r="E2484">
        <v>962</v>
      </c>
      <c r="F2484" s="1">
        <v>0.15429999999999999</v>
      </c>
      <c r="H2484" s="1">
        <v>1.15E-2</v>
      </c>
      <c r="I2484" s="1">
        <v>0.70420000000000005</v>
      </c>
      <c r="K2484" s="1">
        <v>0.13009999999999999</v>
      </c>
    </row>
    <row r="2486" spans="1:11">
      <c r="A2486" t="s">
        <v>766</v>
      </c>
    </row>
    <row r="2487" spans="1:11">
      <c r="A2487" t="s">
        <v>214</v>
      </c>
      <c r="B2487" t="s">
        <v>189</v>
      </c>
      <c r="C2487" t="s">
        <v>195</v>
      </c>
      <c r="D2487" t="s">
        <v>190</v>
      </c>
      <c r="E2487" t="s">
        <v>196</v>
      </c>
      <c r="F2487" t="s">
        <v>760</v>
      </c>
      <c r="G2487" t="s">
        <v>761</v>
      </c>
      <c r="H2487" t="s">
        <v>762</v>
      </c>
      <c r="I2487" t="s">
        <v>763</v>
      </c>
      <c r="J2487" t="s">
        <v>223</v>
      </c>
      <c r="K2487" t="s">
        <v>764</v>
      </c>
    </row>
    <row r="2488" spans="1:11">
      <c r="A2488" t="s">
        <v>198</v>
      </c>
      <c r="B2488" t="s">
        <v>197</v>
      </c>
      <c r="C2488">
        <v>962</v>
      </c>
      <c r="D2488" t="s">
        <v>198</v>
      </c>
      <c r="E2488">
        <v>962</v>
      </c>
      <c r="F2488" s="1">
        <v>5.0900000000000001E-2</v>
      </c>
      <c r="G2488" s="1">
        <v>1.4500000000000001E-2</v>
      </c>
      <c r="H2488" s="1">
        <v>2.6700000000000002E-2</v>
      </c>
      <c r="I2488" s="1">
        <v>0.82140000000000002</v>
      </c>
      <c r="J2488" s="1">
        <v>4.4000000000000003E-3</v>
      </c>
      <c r="K2488" s="1">
        <v>8.2000000000000003E-2</v>
      </c>
    </row>
    <row r="2489" spans="1:11">
      <c r="A2489" t="s">
        <v>235</v>
      </c>
      <c r="B2489" t="s">
        <v>204</v>
      </c>
      <c r="C2489">
        <v>62</v>
      </c>
      <c r="D2489" t="s">
        <v>208</v>
      </c>
      <c r="E2489">
        <v>962</v>
      </c>
      <c r="F2489" s="1">
        <v>6.4500000000000002E-2</v>
      </c>
      <c r="G2489" s="1">
        <v>1.61E-2</v>
      </c>
      <c r="H2489" s="1">
        <v>1.61E-2</v>
      </c>
      <c r="I2489" s="1">
        <v>0.80649999999999999</v>
      </c>
      <c r="K2489" s="1">
        <v>9.6799999999999997E-2</v>
      </c>
    </row>
    <row r="2490" spans="1:11">
      <c r="A2490" t="s">
        <v>236</v>
      </c>
      <c r="B2490" t="s">
        <v>204</v>
      </c>
      <c r="C2490">
        <v>32</v>
      </c>
      <c r="D2490" t="s">
        <v>205</v>
      </c>
      <c r="E2490">
        <v>962</v>
      </c>
      <c r="F2490" s="1">
        <v>2.7300000000000001E-2</v>
      </c>
      <c r="I2490" s="1">
        <v>0.95899999999999996</v>
      </c>
      <c r="K2490" s="1">
        <v>1.37E-2</v>
      </c>
    </row>
    <row r="2491" spans="1:11">
      <c r="A2491" t="s">
        <v>235</v>
      </c>
      <c r="B2491" t="s">
        <v>204</v>
      </c>
      <c r="C2491">
        <v>58</v>
      </c>
      <c r="D2491" t="s">
        <v>205</v>
      </c>
      <c r="E2491">
        <v>962</v>
      </c>
      <c r="F2491" s="1">
        <v>1.46E-2</v>
      </c>
      <c r="G2491" s="1">
        <v>1.03E-2</v>
      </c>
      <c r="H2491" s="1">
        <v>1.46E-2</v>
      </c>
      <c r="I2491" s="1">
        <v>0.89710000000000001</v>
      </c>
      <c r="K2491" s="1">
        <v>6.3299999999999995E-2</v>
      </c>
    </row>
    <row r="2492" spans="1:11" s="26" customFormat="1">
      <c r="A2492" s="26" t="s">
        <v>236</v>
      </c>
      <c r="B2492" s="26" t="s">
        <v>204</v>
      </c>
      <c r="C2492" s="26">
        <v>20</v>
      </c>
      <c r="D2492" s="26" t="s">
        <v>206</v>
      </c>
      <c r="E2492" s="26">
        <v>962</v>
      </c>
      <c r="F2492" s="27">
        <v>9.0999999999999998E-2</v>
      </c>
      <c r="G2492" s="27">
        <v>6.3500000000000001E-2</v>
      </c>
      <c r="I2492" s="27">
        <v>0.84550000000000003</v>
      </c>
    </row>
    <row r="2493" spans="1:11">
      <c r="A2493" t="s">
        <v>235</v>
      </c>
      <c r="B2493" t="s">
        <v>204</v>
      </c>
      <c r="C2493">
        <v>46</v>
      </c>
      <c r="D2493" t="s">
        <v>206</v>
      </c>
      <c r="E2493">
        <v>962</v>
      </c>
      <c r="F2493" s="1">
        <v>9.0899999999999995E-2</v>
      </c>
      <c r="G2493" s="1">
        <v>9.7799999999999998E-2</v>
      </c>
      <c r="H2493" s="1">
        <v>2.4500000000000001E-2</v>
      </c>
      <c r="I2493" s="1">
        <v>0.70289999999999997</v>
      </c>
      <c r="K2493" s="1">
        <v>8.3900000000000002E-2</v>
      </c>
    </row>
    <row r="2494" spans="1:11">
      <c r="A2494" t="s">
        <v>236</v>
      </c>
      <c r="B2494" t="s">
        <v>204</v>
      </c>
      <c r="C2494">
        <v>81</v>
      </c>
      <c r="D2494" t="s">
        <v>207</v>
      </c>
      <c r="E2494">
        <v>962</v>
      </c>
      <c r="F2494" s="1">
        <v>2.0299999999999999E-2</v>
      </c>
      <c r="G2494" s="1">
        <v>2.6100000000000002E-2</v>
      </c>
      <c r="H2494" s="1">
        <v>0.11210000000000001</v>
      </c>
      <c r="I2494" s="1">
        <v>0.67989999999999995</v>
      </c>
      <c r="J2494" s="1">
        <v>6.1000000000000004E-3</v>
      </c>
      <c r="K2494" s="1">
        <v>0.15559999999999999</v>
      </c>
    </row>
    <row r="2495" spans="1:11">
      <c r="A2495" t="s">
        <v>235</v>
      </c>
      <c r="B2495" t="s">
        <v>204</v>
      </c>
      <c r="C2495">
        <v>45</v>
      </c>
      <c r="D2495" t="s">
        <v>207</v>
      </c>
      <c r="E2495">
        <v>962</v>
      </c>
      <c r="F2495" s="1">
        <v>9.9000000000000008E-3</v>
      </c>
      <c r="H2495" s="1">
        <v>7.8299999999999995E-2</v>
      </c>
      <c r="I2495" s="1">
        <v>0.67689999999999995</v>
      </c>
      <c r="K2495" s="1">
        <v>0.2349</v>
      </c>
    </row>
    <row r="2496" spans="1:11" s="26" customFormat="1">
      <c r="A2496" s="26" t="s">
        <v>236</v>
      </c>
      <c r="B2496" s="26" t="s">
        <v>204</v>
      </c>
      <c r="C2496" s="26">
        <v>11</v>
      </c>
      <c r="D2496" s="26" t="s">
        <v>208</v>
      </c>
      <c r="E2496" s="26">
        <v>962</v>
      </c>
      <c r="F2496" s="27">
        <v>0.2727</v>
      </c>
      <c r="I2496" s="27">
        <v>0.63639999999999997</v>
      </c>
      <c r="K2496" s="27">
        <v>9.0899999999999995E-2</v>
      </c>
    </row>
    <row r="2497" spans="1:11">
      <c r="A2497" t="s">
        <v>235</v>
      </c>
      <c r="B2497" t="s">
        <v>199</v>
      </c>
      <c r="C2497">
        <v>44</v>
      </c>
      <c r="D2497" t="s">
        <v>203</v>
      </c>
      <c r="E2497">
        <v>962</v>
      </c>
      <c r="F2497" s="1">
        <v>0.1416</v>
      </c>
      <c r="G2497" s="1">
        <v>1.5100000000000001E-2</v>
      </c>
      <c r="I2497" s="1">
        <v>0.68530000000000002</v>
      </c>
      <c r="K2497" s="1">
        <v>0.158</v>
      </c>
    </row>
    <row r="2498" spans="1:11">
      <c r="A2498" t="s">
        <v>236</v>
      </c>
      <c r="B2498" t="s">
        <v>199</v>
      </c>
      <c r="C2498">
        <v>31</v>
      </c>
      <c r="D2498" t="s">
        <v>203</v>
      </c>
      <c r="E2498">
        <v>962</v>
      </c>
      <c r="F2498" s="1">
        <v>5.3100000000000001E-2</v>
      </c>
      <c r="G2498" s="1">
        <v>3.8899999999999997E-2</v>
      </c>
      <c r="H2498" s="1">
        <v>5.1700000000000003E-2</v>
      </c>
      <c r="I2498" s="1">
        <v>0.83299999999999996</v>
      </c>
      <c r="K2498" s="1">
        <v>2.3300000000000001E-2</v>
      </c>
    </row>
    <row r="2499" spans="1:11">
      <c r="A2499" t="s">
        <v>235</v>
      </c>
      <c r="B2499" t="s">
        <v>199</v>
      </c>
      <c r="C2499">
        <v>60</v>
      </c>
      <c r="D2499" t="s">
        <v>202</v>
      </c>
      <c r="E2499">
        <v>962</v>
      </c>
      <c r="G2499" s="1">
        <v>5.2900000000000003E-2</v>
      </c>
      <c r="I2499" s="1">
        <v>0.83930000000000005</v>
      </c>
      <c r="K2499" s="1">
        <v>0.1079</v>
      </c>
    </row>
    <row r="2500" spans="1:11" s="26" customFormat="1">
      <c r="A2500" s="26" t="s">
        <v>236</v>
      </c>
      <c r="B2500" s="26" t="s">
        <v>199</v>
      </c>
      <c r="C2500" s="26">
        <v>24</v>
      </c>
      <c r="D2500" s="26" t="s">
        <v>200</v>
      </c>
      <c r="E2500" s="26">
        <v>962</v>
      </c>
      <c r="I2500" s="27">
        <v>0.99329999999999996</v>
      </c>
      <c r="K2500" s="27">
        <v>6.7000000000000002E-3</v>
      </c>
    </row>
    <row r="2501" spans="1:11">
      <c r="A2501" t="s">
        <v>235</v>
      </c>
      <c r="B2501" t="s">
        <v>199</v>
      </c>
      <c r="C2501">
        <v>46</v>
      </c>
      <c r="D2501" t="s">
        <v>200</v>
      </c>
      <c r="E2501">
        <v>962</v>
      </c>
      <c r="F2501" s="1">
        <v>0.10929999999999999</v>
      </c>
      <c r="G2501" s="1">
        <v>8.9999999999999993E-3</v>
      </c>
      <c r="H2501" s="1">
        <v>6.0000000000000001E-3</v>
      </c>
      <c r="I2501" s="1">
        <v>0.86380000000000001</v>
      </c>
      <c r="K2501" s="1">
        <v>1.2E-2</v>
      </c>
    </row>
    <row r="2502" spans="1:11">
      <c r="A2502" t="s">
        <v>236</v>
      </c>
      <c r="B2502" t="s">
        <v>199</v>
      </c>
      <c r="C2502">
        <v>37</v>
      </c>
      <c r="D2502" t="s">
        <v>202</v>
      </c>
      <c r="E2502">
        <v>962</v>
      </c>
      <c r="F2502" s="1">
        <v>0.1212</v>
      </c>
      <c r="H2502" s="1">
        <v>2.3300000000000001E-2</v>
      </c>
      <c r="I2502" s="1">
        <v>0.78990000000000005</v>
      </c>
      <c r="J2502" s="1">
        <v>3.2800000000000003E-2</v>
      </c>
      <c r="K2502" s="1">
        <v>3.2800000000000003E-2</v>
      </c>
    </row>
    <row r="2503" spans="1:11">
      <c r="A2503" t="s">
        <v>235</v>
      </c>
      <c r="B2503" t="s">
        <v>199</v>
      </c>
      <c r="C2503">
        <v>96</v>
      </c>
      <c r="D2503" t="s">
        <v>201</v>
      </c>
      <c r="E2503">
        <v>962</v>
      </c>
      <c r="F2503" s="1">
        <v>6.25E-2</v>
      </c>
      <c r="H2503" s="1">
        <v>1.04E-2</v>
      </c>
      <c r="I2503" s="1">
        <v>0.86460000000000004</v>
      </c>
      <c r="J2503" s="1">
        <v>1.04E-2</v>
      </c>
      <c r="K2503" s="1">
        <v>5.21E-2</v>
      </c>
    </row>
    <row r="2504" spans="1:11">
      <c r="A2504" t="s">
        <v>236</v>
      </c>
      <c r="B2504" t="s">
        <v>209</v>
      </c>
      <c r="C2504">
        <v>39</v>
      </c>
      <c r="D2504" t="s">
        <v>211</v>
      </c>
      <c r="E2504">
        <v>962</v>
      </c>
      <c r="F2504" s="1">
        <v>0.1462</v>
      </c>
      <c r="H2504" s="1">
        <v>4.2599999999999999E-2</v>
      </c>
      <c r="I2504" s="1">
        <v>0.77759999999999996</v>
      </c>
      <c r="K2504" s="1">
        <v>3.3599999999999998E-2</v>
      </c>
    </row>
    <row r="2505" spans="1:11">
      <c r="A2505" t="s">
        <v>235</v>
      </c>
      <c r="B2505" t="s">
        <v>209</v>
      </c>
      <c r="C2505">
        <v>55</v>
      </c>
      <c r="D2505" t="s">
        <v>211</v>
      </c>
      <c r="E2505">
        <v>962</v>
      </c>
      <c r="F2505" s="1">
        <v>5.6599999999999998E-2</v>
      </c>
      <c r="G2505" s="1">
        <v>0.02</v>
      </c>
      <c r="H2505" s="1">
        <v>4.5400000000000003E-2</v>
      </c>
      <c r="I2505" s="1">
        <v>0.81789999999999996</v>
      </c>
      <c r="K2505" s="1">
        <v>6.0100000000000001E-2</v>
      </c>
    </row>
    <row r="2506" spans="1:11">
      <c r="A2506" t="s">
        <v>235</v>
      </c>
      <c r="B2506" t="s">
        <v>209</v>
      </c>
      <c r="C2506">
        <v>67</v>
      </c>
      <c r="D2506" t="s">
        <v>212</v>
      </c>
      <c r="E2506">
        <v>962</v>
      </c>
      <c r="F2506" s="1">
        <v>6.4799999999999996E-2</v>
      </c>
      <c r="G2506" s="1">
        <v>3.2399999999999998E-2</v>
      </c>
      <c r="H2506" s="1">
        <v>3.1800000000000002E-2</v>
      </c>
      <c r="I2506" s="1">
        <v>0.83250000000000002</v>
      </c>
      <c r="K2506" s="1">
        <v>3.8399999999999997E-2</v>
      </c>
    </row>
    <row r="2507" spans="1:11" s="26" customFormat="1">
      <c r="A2507" s="26" t="s">
        <v>236</v>
      </c>
      <c r="B2507" s="26" t="s">
        <v>209</v>
      </c>
      <c r="C2507" s="26">
        <v>18</v>
      </c>
      <c r="D2507" s="26" t="s">
        <v>212</v>
      </c>
      <c r="E2507" s="26">
        <v>962</v>
      </c>
      <c r="F2507" s="27">
        <v>5.2499999999999998E-2</v>
      </c>
      <c r="I2507" s="27">
        <v>0.86360000000000003</v>
      </c>
      <c r="K2507" s="27">
        <v>8.3900000000000002E-2</v>
      </c>
    </row>
    <row r="2508" spans="1:11">
      <c r="A2508" t="s">
        <v>236</v>
      </c>
      <c r="B2508" t="s">
        <v>209</v>
      </c>
      <c r="C2508">
        <v>37</v>
      </c>
      <c r="D2508" t="s">
        <v>210</v>
      </c>
      <c r="E2508">
        <v>962</v>
      </c>
      <c r="F2508" s="1">
        <v>0.1038</v>
      </c>
      <c r="H2508" s="1">
        <v>2.0799999999999999E-2</v>
      </c>
      <c r="I2508" s="1">
        <v>0.79239999999999999</v>
      </c>
      <c r="K2508" s="1">
        <v>8.3000000000000004E-2</v>
      </c>
    </row>
    <row r="2509" spans="1:11">
      <c r="A2509" t="s">
        <v>235</v>
      </c>
      <c r="B2509" t="s">
        <v>209</v>
      </c>
      <c r="C2509">
        <v>32</v>
      </c>
      <c r="D2509" t="s">
        <v>210</v>
      </c>
      <c r="E2509">
        <v>962</v>
      </c>
      <c r="F2509" s="1">
        <v>0.1293</v>
      </c>
      <c r="G2509" s="1">
        <v>9.69E-2</v>
      </c>
      <c r="I2509" s="1">
        <v>0.59689999999999999</v>
      </c>
      <c r="K2509" s="1">
        <v>0.17680000000000001</v>
      </c>
    </row>
    <row r="2511" spans="1:11">
      <c r="A2511" t="s">
        <v>767</v>
      </c>
    </row>
    <row r="2512" spans="1:11">
      <c r="A2512" t="s">
        <v>189</v>
      </c>
      <c r="B2512" t="s">
        <v>195</v>
      </c>
      <c r="C2512" t="s">
        <v>190</v>
      </c>
      <c r="D2512" t="s">
        <v>196</v>
      </c>
      <c r="E2512" t="s">
        <v>760</v>
      </c>
      <c r="F2512" t="s">
        <v>761</v>
      </c>
      <c r="G2512" t="s">
        <v>762</v>
      </c>
      <c r="H2512" t="s">
        <v>763</v>
      </c>
      <c r="I2512" t="s">
        <v>223</v>
      </c>
      <c r="J2512" t="s">
        <v>764</v>
      </c>
    </row>
    <row r="2513" spans="1:11">
      <c r="A2513" t="s">
        <v>197</v>
      </c>
      <c r="B2513">
        <v>965</v>
      </c>
      <c r="C2513" t="s">
        <v>198</v>
      </c>
      <c r="D2513">
        <v>965</v>
      </c>
      <c r="E2513" s="1">
        <v>0.2024</v>
      </c>
      <c r="F2513" s="1">
        <v>3.1600000000000003E-2</v>
      </c>
      <c r="G2513" s="1">
        <v>0.10829999999999999</v>
      </c>
      <c r="H2513" s="1">
        <v>0.39560000000000001</v>
      </c>
      <c r="I2513" s="1">
        <v>9.7000000000000003E-3</v>
      </c>
      <c r="J2513" s="1">
        <v>0.25240000000000001</v>
      </c>
    </row>
    <row r="2514" spans="1:11">
      <c r="A2514" t="s">
        <v>204</v>
      </c>
      <c r="B2514">
        <v>91</v>
      </c>
      <c r="C2514" t="s">
        <v>205</v>
      </c>
      <c r="D2514">
        <v>965</v>
      </c>
      <c r="E2514" s="1">
        <v>0.1</v>
      </c>
      <c r="F2514" s="1">
        <v>4.7600000000000003E-2</v>
      </c>
      <c r="G2514" s="1">
        <v>0.1162</v>
      </c>
      <c r="H2514" s="1">
        <v>0.40210000000000001</v>
      </c>
      <c r="I2514" s="1">
        <v>3.9199999999999999E-2</v>
      </c>
      <c r="J2514" s="1">
        <v>0.29480000000000001</v>
      </c>
    </row>
    <row r="2515" spans="1:11">
      <c r="A2515" t="s">
        <v>204</v>
      </c>
      <c r="B2515">
        <v>72</v>
      </c>
      <c r="C2515" t="s">
        <v>206</v>
      </c>
      <c r="D2515">
        <v>965</v>
      </c>
      <c r="E2515" s="1">
        <v>0.34870000000000001</v>
      </c>
      <c r="F2515" s="1">
        <v>7.2099999999999997E-2</v>
      </c>
      <c r="G2515" s="1">
        <v>6.7500000000000004E-2</v>
      </c>
      <c r="H2515" s="1">
        <v>0.38850000000000001</v>
      </c>
      <c r="J2515" s="1">
        <v>0.12330000000000001</v>
      </c>
    </row>
    <row r="2516" spans="1:11">
      <c r="A2516" t="s">
        <v>204</v>
      </c>
      <c r="B2516">
        <v>131</v>
      </c>
      <c r="C2516" t="s">
        <v>207</v>
      </c>
      <c r="D2516">
        <v>965</v>
      </c>
      <c r="E2516" s="1">
        <v>0.32550000000000001</v>
      </c>
      <c r="F2516" s="1">
        <v>5.4899999999999997E-2</v>
      </c>
      <c r="G2516" s="1">
        <v>5.2499999999999998E-2</v>
      </c>
      <c r="H2516" s="1">
        <v>8.7400000000000005E-2</v>
      </c>
      <c r="J2516" s="1">
        <v>0.47960000000000003</v>
      </c>
    </row>
    <row r="2517" spans="1:11">
      <c r="A2517" t="s">
        <v>204</v>
      </c>
      <c r="B2517">
        <v>74</v>
      </c>
      <c r="C2517" t="s">
        <v>208</v>
      </c>
      <c r="D2517">
        <v>965</v>
      </c>
      <c r="E2517" s="1">
        <v>0.43240000000000001</v>
      </c>
      <c r="G2517" s="1">
        <v>6.7599999999999993E-2</v>
      </c>
      <c r="H2517" s="1">
        <v>0.32429999999999998</v>
      </c>
      <c r="J2517" s="1">
        <v>0.1757</v>
      </c>
    </row>
    <row r="2518" spans="1:11">
      <c r="A2518" t="s">
        <v>199</v>
      </c>
      <c r="B2518">
        <v>72</v>
      </c>
      <c r="C2518" t="s">
        <v>200</v>
      </c>
      <c r="D2518">
        <v>965</v>
      </c>
      <c r="E2518" s="1">
        <v>0.25750000000000001</v>
      </c>
      <c r="F2518" s="1">
        <v>4.7000000000000002E-3</v>
      </c>
      <c r="G2518" s="1">
        <v>9.5600000000000004E-2</v>
      </c>
      <c r="H2518" s="1">
        <v>0.60780000000000001</v>
      </c>
      <c r="I2518" s="1">
        <v>1.6000000000000001E-3</v>
      </c>
      <c r="J2518" s="1">
        <v>3.27E-2</v>
      </c>
    </row>
    <row r="2519" spans="1:11">
      <c r="A2519" t="s">
        <v>199</v>
      </c>
      <c r="B2519">
        <v>96</v>
      </c>
      <c r="C2519" t="s">
        <v>201</v>
      </c>
      <c r="D2519">
        <v>965</v>
      </c>
      <c r="E2519" s="1">
        <v>0.14580000000000001</v>
      </c>
      <c r="F2519" s="1">
        <v>2.0799999999999999E-2</v>
      </c>
      <c r="G2519" s="1">
        <v>0.13539999999999999</v>
      </c>
      <c r="H2519" s="1">
        <v>0.46879999999999999</v>
      </c>
      <c r="J2519" s="1">
        <v>0.22919999999999999</v>
      </c>
    </row>
    <row r="2520" spans="1:11">
      <c r="A2520" t="s">
        <v>199</v>
      </c>
      <c r="B2520">
        <v>97</v>
      </c>
      <c r="C2520" t="s">
        <v>202</v>
      </c>
      <c r="D2520">
        <v>965</v>
      </c>
      <c r="E2520" s="1">
        <v>0.15509999999999999</v>
      </c>
      <c r="F2520" s="1">
        <v>2.46E-2</v>
      </c>
      <c r="G2520" s="1">
        <v>0.1245</v>
      </c>
      <c r="H2520" s="1">
        <v>0.55149999999999999</v>
      </c>
      <c r="I2520" s="1">
        <v>9.7000000000000003E-3</v>
      </c>
      <c r="J2520" s="1">
        <v>0.13450000000000001</v>
      </c>
    </row>
    <row r="2521" spans="1:11">
      <c r="A2521" t="s">
        <v>199</v>
      </c>
      <c r="B2521">
        <v>76</v>
      </c>
      <c r="C2521" t="s">
        <v>203</v>
      </c>
      <c r="D2521">
        <v>965</v>
      </c>
      <c r="E2521" s="1">
        <v>0.26869999999999999</v>
      </c>
      <c r="F2521" s="1">
        <v>0.11</v>
      </c>
      <c r="G2521" s="1">
        <v>0.1265</v>
      </c>
      <c r="H2521" s="1">
        <v>0.3629</v>
      </c>
      <c r="J2521" s="1">
        <v>0.13200000000000001</v>
      </c>
    </row>
    <row r="2522" spans="1:11">
      <c r="A2522" t="s">
        <v>209</v>
      </c>
      <c r="B2522">
        <v>74</v>
      </c>
      <c r="C2522" t="s">
        <v>210</v>
      </c>
      <c r="D2522">
        <v>965</v>
      </c>
      <c r="E2522" s="1">
        <v>0.29459999999999997</v>
      </c>
      <c r="F2522" s="1">
        <v>8.3000000000000001E-3</v>
      </c>
      <c r="G2522" s="1">
        <v>8.7400000000000005E-2</v>
      </c>
      <c r="H2522" s="1">
        <v>0.4173</v>
      </c>
      <c r="I2522" s="1">
        <v>1.77E-2</v>
      </c>
      <c r="J2522" s="1">
        <v>0.17480000000000001</v>
      </c>
    </row>
    <row r="2523" spans="1:11">
      <c r="A2523" t="s">
        <v>209</v>
      </c>
      <c r="B2523">
        <v>97</v>
      </c>
      <c r="C2523" t="s">
        <v>211</v>
      </c>
      <c r="D2523">
        <v>965</v>
      </c>
      <c r="E2523" s="1">
        <v>0.16139999999999999</v>
      </c>
      <c r="F2523" s="1">
        <v>1.6299999999999999E-2</v>
      </c>
      <c r="G2523" s="1">
        <v>0.1245</v>
      </c>
      <c r="H2523" s="1">
        <v>0.50619999999999998</v>
      </c>
      <c r="J2523" s="1">
        <v>0.19170000000000001</v>
      </c>
    </row>
    <row r="2524" spans="1:11">
      <c r="A2524" t="s">
        <v>209</v>
      </c>
      <c r="B2524">
        <v>85</v>
      </c>
      <c r="C2524" t="s">
        <v>212</v>
      </c>
      <c r="D2524">
        <v>965</v>
      </c>
      <c r="E2524" s="1">
        <v>0.21160000000000001</v>
      </c>
      <c r="G2524" s="1">
        <v>0.12239999999999999</v>
      </c>
      <c r="H2524" s="1">
        <v>0.43180000000000002</v>
      </c>
      <c r="J2524" s="1">
        <v>0.23430000000000001</v>
      </c>
    </row>
    <row r="2526" spans="1:11">
      <c r="A2526" t="s">
        <v>768</v>
      </c>
    </row>
    <row r="2527" spans="1:11">
      <c r="A2527" t="s">
        <v>214</v>
      </c>
      <c r="B2527" t="s">
        <v>189</v>
      </c>
      <c r="C2527" t="s">
        <v>195</v>
      </c>
      <c r="D2527" t="s">
        <v>190</v>
      </c>
      <c r="E2527" t="s">
        <v>196</v>
      </c>
      <c r="F2527" t="s">
        <v>760</v>
      </c>
      <c r="G2527" t="s">
        <v>761</v>
      </c>
      <c r="H2527" t="s">
        <v>762</v>
      </c>
      <c r="I2527" t="s">
        <v>763</v>
      </c>
      <c r="J2527" t="s">
        <v>223</v>
      </c>
      <c r="K2527" t="s">
        <v>764</v>
      </c>
    </row>
    <row r="2528" spans="1:11">
      <c r="A2528" t="s">
        <v>198</v>
      </c>
      <c r="B2528" t="s">
        <v>197</v>
      </c>
      <c r="C2528">
        <v>965</v>
      </c>
      <c r="D2528" t="s">
        <v>198</v>
      </c>
      <c r="E2528">
        <v>965</v>
      </c>
      <c r="F2528" s="1">
        <v>0.2024</v>
      </c>
      <c r="G2528" s="1">
        <v>3.1600000000000003E-2</v>
      </c>
      <c r="H2528" s="1">
        <v>0.10829999999999999</v>
      </c>
      <c r="I2528" s="1">
        <v>0.39560000000000001</v>
      </c>
      <c r="J2528" s="1">
        <v>9.7000000000000003E-3</v>
      </c>
      <c r="K2528" s="1">
        <v>0.25240000000000001</v>
      </c>
    </row>
    <row r="2529" spans="1:11" s="26" customFormat="1">
      <c r="A2529" s="26" t="s">
        <v>217</v>
      </c>
      <c r="B2529" s="26" t="s">
        <v>204</v>
      </c>
      <c r="C2529" s="26">
        <v>15</v>
      </c>
      <c r="D2529" s="26" t="s">
        <v>208</v>
      </c>
      <c r="E2529" s="26">
        <v>965</v>
      </c>
      <c r="F2529" s="27">
        <v>0.33329999999999999</v>
      </c>
      <c r="H2529" s="27">
        <v>0.1333</v>
      </c>
      <c r="I2529" s="27">
        <v>0.26669999999999999</v>
      </c>
      <c r="K2529" s="27">
        <v>0.26669999999999999</v>
      </c>
    </row>
    <row r="2530" spans="1:11" s="26" customFormat="1">
      <c r="A2530" s="26" t="s">
        <v>217</v>
      </c>
      <c r="B2530" s="26" t="s">
        <v>204</v>
      </c>
      <c r="C2530" s="26">
        <v>27</v>
      </c>
      <c r="D2530" s="26" t="s">
        <v>205</v>
      </c>
      <c r="E2530" s="26">
        <v>965</v>
      </c>
      <c r="F2530" s="27">
        <v>0.13439999999999999</v>
      </c>
      <c r="G2530" s="27">
        <v>0.1623</v>
      </c>
      <c r="H2530" s="27">
        <v>8.2000000000000003E-2</v>
      </c>
      <c r="I2530" s="27">
        <v>0.2031</v>
      </c>
      <c r="J2530" s="27">
        <v>1.01E-2</v>
      </c>
      <c r="K2530" s="27">
        <v>0.40810000000000002</v>
      </c>
    </row>
    <row r="2531" spans="1:11">
      <c r="A2531" t="s">
        <v>218</v>
      </c>
      <c r="B2531" t="s">
        <v>204</v>
      </c>
      <c r="C2531">
        <v>64</v>
      </c>
      <c r="D2531" t="s">
        <v>205</v>
      </c>
      <c r="E2531">
        <v>965</v>
      </c>
      <c r="F2531" s="1">
        <v>8.9099999999999999E-2</v>
      </c>
      <c r="G2531" s="1">
        <v>1.12E-2</v>
      </c>
      <c r="H2531" s="1">
        <v>0.12709999999999999</v>
      </c>
      <c r="I2531" s="1">
        <v>0.46539999999999998</v>
      </c>
      <c r="J2531" s="1">
        <v>4.8399999999999999E-2</v>
      </c>
      <c r="K2531" s="1">
        <v>0.25879999999999997</v>
      </c>
    </row>
    <row r="2532" spans="1:11" s="26" customFormat="1">
      <c r="A2532" s="26" t="s">
        <v>217</v>
      </c>
      <c r="B2532" s="26" t="s">
        <v>204</v>
      </c>
      <c r="C2532" s="26">
        <v>11</v>
      </c>
      <c r="D2532" s="26" t="s">
        <v>206</v>
      </c>
      <c r="E2532" s="26">
        <v>965</v>
      </c>
      <c r="F2532" s="27">
        <v>0.47520000000000001</v>
      </c>
      <c r="G2532" s="27">
        <v>8.2000000000000003E-2</v>
      </c>
      <c r="H2532" s="27">
        <v>0.11459999999999999</v>
      </c>
      <c r="I2532" s="27">
        <v>0.3281</v>
      </c>
    </row>
    <row r="2533" spans="1:11">
      <c r="A2533" t="s">
        <v>218</v>
      </c>
      <c r="B2533" t="s">
        <v>204</v>
      </c>
      <c r="C2533">
        <v>61</v>
      </c>
      <c r="D2533" t="s">
        <v>206</v>
      </c>
      <c r="E2533">
        <v>965</v>
      </c>
      <c r="F2533" s="1">
        <v>0.32779999999999998</v>
      </c>
      <c r="G2533" s="1">
        <v>7.0400000000000004E-2</v>
      </c>
      <c r="H2533" s="1">
        <v>5.9700000000000003E-2</v>
      </c>
      <c r="I2533" s="1">
        <v>0.39850000000000002</v>
      </c>
      <c r="K2533" s="1">
        <v>0.14369999999999999</v>
      </c>
    </row>
    <row r="2534" spans="1:11" s="26" customFormat="1">
      <c r="A2534" s="26" t="s">
        <v>217</v>
      </c>
      <c r="B2534" s="26" t="s">
        <v>204</v>
      </c>
      <c r="C2534" s="26">
        <v>23</v>
      </c>
      <c r="D2534" s="26" t="s">
        <v>207</v>
      </c>
      <c r="E2534" s="26">
        <v>965</v>
      </c>
      <c r="F2534" s="27">
        <v>5.1799999999999999E-2</v>
      </c>
      <c r="H2534" s="27">
        <v>0.1704</v>
      </c>
      <c r="I2534" s="27">
        <v>2.24E-2</v>
      </c>
      <c r="K2534" s="27">
        <v>0.75539999999999996</v>
      </c>
    </row>
    <row r="2535" spans="1:11">
      <c r="A2535" t="s">
        <v>218</v>
      </c>
      <c r="B2535" t="s">
        <v>204</v>
      </c>
      <c r="C2535">
        <v>108</v>
      </c>
      <c r="D2535" t="s">
        <v>207</v>
      </c>
      <c r="E2535">
        <v>965</v>
      </c>
      <c r="F2535" s="1">
        <v>0.42520000000000002</v>
      </c>
      <c r="G2535" s="1">
        <v>7.4899999999999994E-2</v>
      </c>
      <c r="H2535" s="1">
        <v>9.4999999999999998E-3</v>
      </c>
      <c r="I2535" s="1">
        <v>0.1111</v>
      </c>
      <c r="K2535" s="1">
        <v>0.37930000000000003</v>
      </c>
    </row>
    <row r="2536" spans="1:11">
      <c r="A2536" t="s">
        <v>218</v>
      </c>
      <c r="B2536" t="s">
        <v>204</v>
      </c>
      <c r="C2536">
        <v>59</v>
      </c>
      <c r="D2536" t="s">
        <v>208</v>
      </c>
      <c r="E2536">
        <v>965</v>
      </c>
      <c r="F2536" s="1">
        <v>0.45760000000000001</v>
      </c>
      <c r="H2536" s="1">
        <v>5.0799999999999998E-2</v>
      </c>
      <c r="I2536" s="1">
        <v>0.33900000000000002</v>
      </c>
      <c r="K2536" s="1">
        <v>0.1525</v>
      </c>
    </row>
    <row r="2537" spans="1:11" s="26" customFormat="1">
      <c r="A2537" s="26" t="s">
        <v>217</v>
      </c>
      <c r="B2537" s="26" t="s">
        <v>199</v>
      </c>
      <c r="C2537" s="26">
        <v>11</v>
      </c>
      <c r="D2537" s="26" t="s">
        <v>203</v>
      </c>
      <c r="E2537" s="26">
        <v>965</v>
      </c>
      <c r="F2537" s="27">
        <v>0.44130000000000003</v>
      </c>
      <c r="G2537" s="27">
        <v>0.14710000000000001</v>
      </c>
      <c r="H2537" s="27">
        <v>4.07E-2</v>
      </c>
      <c r="I2537" s="27">
        <v>0.371</v>
      </c>
    </row>
    <row r="2538" spans="1:11">
      <c r="A2538" t="s">
        <v>218</v>
      </c>
      <c r="B2538" t="s">
        <v>199</v>
      </c>
      <c r="C2538">
        <v>65</v>
      </c>
      <c r="D2538" t="s">
        <v>203</v>
      </c>
      <c r="E2538">
        <v>965</v>
      </c>
      <c r="F2538" s="1">
        <v>0.2288</v>
      </c>
      <c r="G2538" s="1">
        <v>0.1014</v>
      </c>
      <c r="H2538" s="1">
        <v>0.14630000000000001</v>
      </c>
      <c r="I2538" s="1">
        <v>0.36109999999999998</v>
      </c>
      <c r="K2538" s="1">
        <v>0.16250000000000001</v>
      </c>
    </row>
    <row r="2539" spans="1:11">
      <c r="A2539" t="s">
        <v>218</v>
      </c>
      <c r="B2539" t="s">
        <v>199</v>
      </c>
      <c r="C2539">
        <v>71</v>
      </c>
      <c r="D2539" t="s">
        <v>202</v>
      </c>
      <c r="E2539">
        <v>965</v>
      </c>
      <c r="F2539" s="1">
        <v>0.1905</v>
      </c>
      <c r="G2539" s="1">
        <v>3.4299999999999997E-2</v>
      </c>
      <c r="H2539" s="1">
        <v>0.12740000000000001</v>
      </c>
      <c r="I2539" s="1">
        <v>0.505</v>
      </c>
      <c r="J2539" s="1">
        <v>1.35E-2</v>
      </c>
      <c r="K2539" s="1">
        <v>0.1293</v>
      </c>
    </row>
    <row r="2540" spans="1:11" s="26" customFormat="1">
      <c r="A2540" s="26" t="s">
        <v>217</v>
      </c>
      <c r="B2540" s="26" t="s">
        <v>199</v>
      </c>
      <c r="C2540" s="26">
        <v>13</v>
      </c>
      <c r="D2540" s="26" t="s">
        <v>200</v>
      </c>
      <c r="E2540" s="26">
        <v>965</v>
      </c>
      <c r="F2540" s="27">
        <v>0.12659999999999999</v>
      </c>
      <c r="I2540" s="27">
        <v>0.83020000000000005</v>
      </c>
      <c r="J2540" s="27">
        <v>1.0800000000000001E-2</v>
      </c>
      <c r="K2540" s="27">
        <v>3.2399999999999998E-2</v>
      </c>
    </row>
    <row r="2541" spans="1:11">
      <c r="A2541" t="s">
        <v>218</v>
      </c>
      <c r="B2541" t="s">
        <v>199</v>
      </c>
      <c r="C2541">
        <v>80</v>
      </c>
      <c r="D2541" t="s">
        <v>201</v>
      </c>
      <c r="E2541">
        <v>965</v>
      </c>
      <c r="F2541" s="1">
        <v>0.13750000000000001</v>
      </c>
      <c r="G2541" s="1">
        <v>2.5000000000000001E-2</v>
      </c>
      <c r="H2541" s="1">
        <v>0.13750000000000001</v>
      </c>
      <c r="I2541" s="1">
        <v>0.48749999999999999</v>
      </c>
      <c r="K2541" s="1">
        <v>0.21249999999999999</v>
      </c>
    </row>
    <row r="2542" spans="1:11">
      <c r="A2542" t="s">
        <v>218</v>
      </c>
      <c r="B2542" t="s">
        <v>199</v>
      </c>
      <c r="C2542">
        <v>59</v>
      </c>
      <c r="D2542" t="s">
        <v>200</v>
      </c>
      <c r="E2542">
        <v>965</v>
      </c>
      <c r="F2542" s="1">
        <v>0.27989999999999998</v>
      </c>
      <c r="G2542" s="1">
        <v>5.4999999999999997E-3</v>
      </c>
      <c r="H2542" s="1">
        <v>0.112</v>
      </c>
      <c r="I2542" s="1">
        <v>0.56979999999999997</v>
      </c>
      <c r="K2542" s="1">
        <v>3.27E-2</v>
      </c>
    </row>
    <row r="2543" spans="1:11" s="26" customFormat="1">
      <c r="A2543" s="26" t="s">
        <v>217</v>
      </c>
      <c r="B2543" s="26" t="s">
        <v>199</v>
      </c>
      <c r="C2543" s="26">
        <v>26</v>
      </c>
      <c r="D2543" s="26" t="s">
        <v>202</v>
      </c>
      <c r="E2543" s="26">
        <v>965</v>
      </c>
      <c r="F2543" s="27">
        <v>6.4899999999999999E-2</v>
      </c>
      <c r="H2543" s="27">
        <v>0.1174</v>
      </c>
      <c r="I2543" s="27">
        <v>0.67</v>
      </c>
      <c r="K2543" s="27">
        <v>0.14779999999999999</v>
      </c>
    </row>
    <row r="2544" spans="1:11" s="26" customFormat="1">
      <c r="A2544" s="26" t="s">
        <v>217</v>
      </c>
      <c r="B2544" s="26" t="s">
        <v>199</v>
      </c>
      <c r="C2544" s="26">
        <v>16</v>
      </c>
      <c r="D2544" s="26" t="s">
        <v>201</v>
      </c>
      <c r="E2544" s="26">
        <v>965</v>
      </c>
      <c r="F2544" s="27">
        <v>0.1875</v>
      </c>
      <c r="H2544" s="27">
        <v>0.125</v>
      </c>
      <c r="I2544" s="27">
        <v>0.375</v>
      </c>
      <c r="K2544" s="27">
        <v>0.3125</v>
      </c>
    </row>
    <row r="2545" spans="1:11">
      <c r="A2545" t="s">
        <v>218</v>
      </c>
      <c r="B2545" t="s">
        <v>209</v>
      </c>
      <c r="C2545">
        <v>76</v>
      </c>
      <c r="D2545" t="s">
        <v>211</v>
      </c>
      <c r="E2545">
        <v>965</v>
      </c>
      <c r="F2545" s="1">
        <v>0.1225</v>
      </c>
      <c r="G2545" s="1">
        <v>5.4999999999999997E-3</v>
      </c>
      <c r="H2545" s="1">
        <v>0.1295</v>
      </c>
      <c r="I2545" s="1">
        <v>0.55010000000000003</v>
      </c>
      <c r="K2545" s="1">
        <v>0.19239999999999999</v>
      </c>
    </row>
    <row r="2546" spans="1:11" s="26" customFormat="1">
      <c r="A2546" s="26" t="s">
        <v>217</v>
      </c>
      <c r="B2546" s="26" t="s">
        <v>209</v>
      </c>
      <c r="C2546" s="26">
        <v>21</v>
      </c>
      <c r="D2546" s="26" t="s">
        <v>211</v>
      </c>
      <c r="E2546" s="26">
        <v>965</v>
      </c>
      <c r="F2546" s="27">
        <v>0.29580000000000001</v>
      </c>
      <c r="G2546" s="27">
        <v>5.3600000000000002E-2</v>
      </c>
      <c r="H2546" s="27">
        <v>0.1071</v>
      </c>
      <c r="I2546" s="27">
        <v>0.35439999999999999</v>
      </c>
      <c r="K2546" s="27">
        <v>0.18909999999999999</v>
      </c>
    </row>
    <row r="2547" spans="1:11">
      <c r="A2547" t="s">
        <v>218</v>
      </c>
      <c r="B2547" t="s">
        <v>209</v>
      </c>
      <c r="C2547">
        <v>71</v>
      </c>
      <c r="D2547" t="s">
        <v>212</v>
      </c>
      <c r="E2547">
        <v>965</v>
      </c>
      <c r="F2547" s="1">
        <v>0.20530000000000001</v>
      </c>
      <c r="H2547" s="1">
        <v>0.1103</v>
      </c>
      <c r="I2547" s="1">
        <v>0.44159999999999999</v>
      </c>
      <c r="K2547" s="1">
        <v>0.24279999999999999</v>
      </c>
    </row>
    <row r="2548" spans="1:11" s="26" customFormat="1">
      <c r="A2548" s="26" t="s">
        <v>217</v>
      </c>
      <c r="B2548" s="26" t="s">
        <v>209</v>
      </c>
      <c r="C2548" s="26">
        <v>14</v>
      </c>
      <c r="D2548" s="26" t="s">
        <v>212</v>
      </c>
      <c r="E2548" s="26">
        <v>965</v>
      </c>
      <c r="F2548" s="27">
        <v>0.24129999999999999</v>
      </c>
      <c r="H2548" s="27">
        <v>0.17979999999999999</v>
      </c>
      <c r="I2548" s="27">
        <v>0.38540000000000002</v>
      </c>
      <c r="K2548" s="27">
        <v>0.19350000000000001</v>
      </c>
    </row>
    <row r="2549" spans="1:11" s="26" customFormat="1">
      <c r="A2549" s="26" t="s">
        <v>217</v>
      </c>
      <c r="B2549" s="26" t="s">
        <v>209</v>
      </c>
      <c r="C2549" s="26">
        <v>17</v>
      </c>
      <c r="D2549" s="26" t="s">
        <v>210</v>
      </c>
      <c r="E2549" s="26">
        <v>965</v>
      </c>
      <c r="F2549" s="27">
        <v>0.36749999999999999</v>
      </c>
      <c r="H2549" s="27">
        <v>9.8900000000000002E-2</v>
      </c>
      <c r="I2549" s="27">
        <v>0.46639999999999998</v>
      </c>
      <c r="K2549" s="27">
        <v>6.7199999999999996E-2</v>
      </c>
    </row>
    <row r="2550" spans="1:11">
      <c r="A2550" t="s">
        <v>218</v>
      </c>
      <c r="B2550" t="s">
        <v>209</v>
      </c>
      <c r="C2550">
        <v>57</v>
      </c>
      <c r="D2550" t="s">
        <v>210</v>
      </c>
      <c r="E2550">
        <v>965</v>
      </c>
      <c r="F2550" s="1">
        <v>0.26850000000000002</v>
      </c>
      <c r="G2550" s="1">
        <v>1.1299999999999999E-2</v>
      </c>
      <c r="H2550" s="1">
        <v>8.3299999999999999E-2</v>
      </c>
      <c r="I2550" s="1">
        <v>0.3997</v>
      </c>
      <c r="J2550" s="1">
        <v>2.4E-2</v>
      </c>
      <c r="K2550" s="1">
        <v>0.2132</v>
      </c>
    </row>
    <row r="2552" spans="1:11">
      <c r="A2552" t="s">
        <v>769</v>
      </c>
    </row>
    <row r="2553" spans="1:11">
      <c r="A2553" t="s">
        <v>214</v>
      </c>
      <c r="B2553" t="s">
        <v>189</v>
      </c>
      <c r="C2553" t="s">
        <v>195</v>
      </c>
      <c r="D2553" t="s">
        <v>190</v>
      </c>
      <c r="E2553" t="s">
        <v>196</v>
      </c>
      <c r="F2553" t="s">
        <v>760</v>
      </c>
      <c r="G2553" t="s">
        <v>761</v>
      </c>
      <c r="H2553" t="s">
        <v>762</v>
      </c>
      <c r="I2553" t="s">
        <v>763</v>
      </c>
      <c r="J2553" t="s">
        <v>223</v>
      </c>
      <c r="K2553" t="s">
        <v>764</v>
      </c>
    </row>
    <row r="2554" spans="1:11">
      <c r="A2554" t="s">
        <v>198</v>
      </c>
      <c r="B2554" t="s">
        <v>197</v>
      </c>
      <c r="C2554">
        <v>965</v>
      </c>
      <c r="D2554" t="s">
        <v>198</v>
      </c>
      <c r="E2554">
        <v>965</v>
      </c>
      <c r="F2554" s="1">
        <v>0.2024</v>
      </c>
      <c r="G2554" s="1">
        <v>3.1600000000000003E-2</v>
      </c>
      <c r="H2554" s="1">
        <v>0.10829999999999999</v>
      </c>
      <c r="I2554" s="1">
        <v>0.39560000000000001</v>
      </c>
      <c r="J2554" s="1">
        <v>9.7000000000000003E-3</v>
      </c>
      <c r="K2554" s="1">
        <v>0.25240000000000001</v>
      </c>
    </row>
    <row r="2555" spans="1:11">
      <c r="A2555" t="s">
        <v>235</v>
      </c>
      <c r="B2555" t="s">
        <v>204</v>
      </c>
      <c r="C2555">
        <v>63</v>
      </c>
      <c r="D2555" t="s">
        <v>208</v>
      </c>
      <c r="E2555">
        <v>965</v>
      </c>
      <c r="F2555" s="1">
        <v>0.42859999999999998</v>
      </c>
      <c r="H2555" s="1">
        <v>7.9399999999999998E-2</v>
      </c>
      <c r="I2555" s="1">
        <v>0.30159999999999998</v>
      </c>
      <c r="K2555" s="1">
        <v>0.1905</v>
      </c>
    </row>
    <row r="2556" spans="1:11">
      <c r="A2556" t="s">
        <v>236</v>
      </c>
      <c r="B2556" t="s">
        <v>204</v>
      </c>
      <c r="C2556">
        <v>32</v>
      </c>
      <c r="D2556" t="s">
        <v>205</v>
      </c>
      <c r="E2556">
        <v>965</v>
      </c>
      <c r="F2556" s="1">
        <v>0.24329999999999999</v>
      </c>
      <c r="H2556" s="1">
        <v>0.10879999999999999</v>
      </c>
      <c r="I2556" s="1">
        <v>0.33910000000000001</v>
      </c>
      <c r="K2556" s="1">
        <v>0.30880000000000002</v>
      </c>
    </row>
    <row r="2557" spans="1:11">
      <c r="A2557" t="s">
        <v>235</v>
      </c>
      <c r="B2557" t="s">
        <v>204</v>
      </c>
      <c r="C2557">
        <v>58</v>
      </c>
      <c r="D2557" t="s">
        <v>205</v>
      </c>
      <c r="E2557">
        <v>965</v>
      </c>
      <c r="F2557" s="1">
        <v>6.9199999999999998E-2</v>
      </c>
      <c r="G2557" s="1">
        <v>5.8099999999999999E-2</v>
      </c>
      <c r="H2557" s="1">
        <v>0.1182</v>
      </c>
      <c r="I2557" s="1">
        <v>0.41399999999999998</v>
      </c>
      <c r="J2557" s="1">
        <v>4.7800000000000002E-2</v>
      </c>
      <c r="K2557" s="1">
        <v>0.29270000000000002</v>
      </c>
    </row>
    <row r="2558" spans="1:11" s="26" customFormat="1">
      <c r="A2558" s="26" t="s">
        <v>236</v>
      </c>
      <c r="B2558" s="26" t="s">
        <v>204</v>
      </c>
      <c r="C2558" s="26">
        <v>21</v>
      </c>
      <c r="D2558" s="26" t="s">
        <v>206</v>
      </c>
      <c r="E2558" s="26">
        <v>965</v>
      </c>
      <c r="F2558" s="27">
        <v>0.43580000000000002</v>
      </c>
      <c r="G2558" s="27">
        <v>0.10249999999999999</v>
      </c>
      <c r="H2558" s="27">
        <v>4.2799999999999998E-2</v>
      </c>
      <c r="I2558" s="27">
        <v>0.37609999999999999</v>
      </c>
      <c r="K2558" s="27">
        <v>4.2799999999999998E-2</v>
      </c>
    </row>
    <row r="2559" spans="1:11">
      <c r="A2559" t="s">
        <v>235</v>
      </c>
      <c r="B2559" t="s">
        <v>204</v>
      </c>
      <c r="C2559">
        <v>47</v>
      </c>
      <c r="D2559" t="s">
        <v>206</v>
      </c>
      <c r="E2559">
        <v>965</v>
      </c>
      <c r="F2559" s="1">
        <v>0.32290000000000002</v>
      </c>
      <c r="G2559" s="1">
        <v>4.8099999999999997E-2</v>
      </c>
      <c r="H2559" s="1">
        <v>8.2500000000000004E-2</v>
      </c>
      <c r="I2559" s="1">
        <v>0.38159999999999999</v>
      </c>
      <c r="K2559" s="1">
        <v>0.16500000000000001</v>
      </c>
    </row>
    <row r="2560" spans="1:11">
      <c r="A2560" t="s">
        <v>236</v>
      </c>
      <c r="B2560" t="s">
        <v>204</v>
      </c>
      <c r="C2560">
        <v>81</v>
      </c>
      <c r="D2560" t="s">
        <v>207</v>
      </c>
      <c r="E2560">
        <v>965</v>
      </c>
      <c r="F2560" s="1">
        <v>0.24729999999999999</v>
      </c>
      <c r="G2560" s="1">
        <v>1.72E-2</v>
      </c>
      <c r="H2560" s="1">
        <v>1.4999999999999999E-2</v>
      </c>
      <c r="I2560" s="1">
        <v>0.14949999999999999</v>
      </c>
      <c r="K2560" s="1">
        <v>0.57099999999999995</v>
      </c>
    </row>
    <row r="2561" spans="1:11">
      <c r="A2561" t="s">
        <v>235</v>
      </c>
      <c r="B2561" t="s">
        <v>204</v>
      </c>
      <c r="C2561">
        <v>45</v>
      </c>
      <c r="D2561" t="s">
        <v>207</v>
      </c>
      <c r="E2561">
        <v>965</v>
      </c>
      <c r="F2561" s="1">
        <v>0.37740000000000001</v>
      </c>
      <c r="G2561" s="1">
        <v>7.8299999999999995E-2</v>
      </c>
      <c r="H2561" s="1">
        <v>7.9899999999999999E-2</v>
      </c>
      <c r="I2561" s="1">
        <v>3.7499999999999999E-2</v>
      </c>
      <c r="K2561" s="1">
        <v>0.42699999999999999</v>
      </c>
    </row>
    <row r="2562" spans="1:11" s="26" customFormat="1">
      <c r="A2562" s="26" t="s">
        <v>236</v>
      </c>
      <c r="B2562" s="26" t="s">
        <v>204</v>
      </c>
      <c r="C2562" s="26">
        <v>11</v>
      </c>
      <c r="D2562" s="26" t="s">
        <v>208</v>
      </c>
      <c r="E2562" s="26">
        <v>965</v>
      </c>
      <c r="F2562" s="27">
        <v>0.45450000000000002</v>
      </c>
      <c r="I2562" s="27">
        <v>0.45450000000000002</v>
      </c>
      <c r="K2562" s="27">
        <v>9.0899999999999995E-2</v>
      </c>
    </row>
    <row r="2563" spans="1:11">
      <c r="A2563" t="s">
        <v>235</v>
      </c>
      <c r="B2563" t="s">
        <v>199</v>
      </c>
      <c r="C2563">
        <v>44</v>
      </c>
      <c r="D2563" t="s">
        <v>203</v>
      </c>
      <c r="E2563">
        <v>965</v>
      </c>
      <c r="F2563" s="1">
        <v>0.2515</v>
      </c>
      <c r="G2563" s="1">
        <v>5.8000000000000003E-2</v>
      </c>
      <c r="H2563" s="1">
        <v>0.1396</v>
      </c>
      <c r="I2563" s="1">
        <v>0.41410000000000002</v>
      </c>
      <c r="K2563" s="1">
        <v>0.13689999999999999</v>
      </c>
    </row>
    <row r="2564" spans="1:11">
      <c r="A2564" t="s">
        <v>236</v>
      </c>
      <c r="B2564" t="s">
        <v>199</v>
      </c>
      <c r="C2564">
        <v>31</v>
      </c>
      <c r="D2564" t="s">
        <v>203</v>
      </c>
      <c r="E2564">
        <v>965</v>
      </c>
      <c r="F2564" s="1">
        <v>0.24079999999999999</v>
      </c>
      <c r="G2564" s="1">
        <v>0.22159999999999999</v>
      </c>
      <c r="H2564" s="1">
        <v>0.1113</v>
      </c>
      <c r="I2564" s="1">
        <v>0.2928</v>
      </c>
      <c r="K2564" s="1">
        <v>0.13339999999999999</v>
      </c>
    </row>
    <row r="2565" spans="1:11">
      <c r="A2565" t="s">
        <v>235</v>
      </c>
      <c r="B2565" t="s">
        <v>199</v>
      </c>
      <c r="C2565">
        <v>59</v>
      </c>
      <c r="D2565" t="s">
        <v>202</v>
      </c>
      <c r="E2565">
        <v>965</v>
      </c>
      <c r="F2565" s="1">
        <v>0.14460000000000001</v>
      </c>
      <c r="G2565" s="1">
        <v>4.3299999999999998E-2</v>
      </c>
      <c r="H2565" s="1">
        <v>0.122</v>
      </c>
      <c r="I2565" s="1">
        <v>0.53359999999999996</v>
      </c>
      <c r="J2565" s="1">
        <v>1.7100000000000001E-2</v>
      </c>
      <c r="K2565" s="1">
        <v>0.13950000000000001</v>
      </c>
    </row>
    <row r="2566" spans="1:11" s="26" customFormat="1">
      <c r="A2566" s="26" t="s">
        <v>236</v>
      </c>
      <c r="B2566" s="26" t="s">
        <v>199</v>
      </c>
      <c r="C2566" s="26">
        <v>24</v>
      </c>
      <c r="D2566" s="26" t="s">
        <v>200</v>
      </c>
      <c r="E2566" s="26">
        <v>965</v>
      </c>
      <c r="F2566" s="27">
        <v>7.1900000000000006E-2</v>
      </c>
      <c r="G2566" s="27">
        <v>3.3999999999999998E-3</v>
      </c>
      <c r="H2566" s="27">
        <v>6.8500000000000005E-2</v>
      </c>
      <c r="I2566" s="27">
        <v>0.81689999999999996</v>
      </c>
      <c r="K2566" s="27">
        <v>3.9300000000000002E-2</v>
      </c>
    </row>
    <row r="2567" spans="1:11">
      <c r="A2567" t="s">
        <v>235</v>
      </c>
      <c r="B2567" t="s">
        <v>199</v>
      </c>
      <c r="C2567">
        <v>45</v>
      </c>
      <c r="D2567" t="s">
        <v>200</v>
      </c>
      <c r="E2567">
        <v>965</v>
      </c>
      <c r="F2567" s="1">
        <v>0.42620000000000002</v>
      </c>
      <c r="G2567" s="1">
        <v>6.0000000000000001E-3</v>
      </c>
      <c r="H2567" s="1">
        <v>0.1207</v>
      </c>
      <c r="I2567" s="1">
        <v>0.41699999999999998</v>
      </c>
      <c r="J2567" s="1">
        <v>3.0000000000000001E-3</v>
      </c>
      <c r="K2567" s="1">
        <v>2.7099999999999999E-2</v>
      </c>
    </row>
    <row r="2568" spans="1:11">
      <c r="A2568" t="s">
        <v>236</v>
      </c>
      <c r="B2568" t="s">
        <v>199</v>
      </c>
      <c r="C2568">
        <v>37</v>
      </c>
      <c r="D2568" t="s">
        <v>202</v>
      </c>
      <c r="E2568">
        <v>965</v>
      </c>
      <c r="F2568" s="1">
        <v>0.14180000000000001</v>
      </c>
      <c r="H2568" s="1">
        <v>0.1321</v>
      </c>
      <c r="I2568" s="1">
        <v>0.59409999999999996</v>
      </c>
      <c r="K2568" s="1">
        <v>0.1321</v>
      </c>
    </row>
    <row r="2569" spans="1:11">
      <c r="A2569" t="s">
        <v>235</v>
      </c>
      <c r="B2569" t="s">
        <v>199</v>
      </c>
      <c r="C2569">
        <v>96</v>
      </c>
      <c r="D2569" t="s">
        <v>201</v>
      </c>
      <c r="E2569">
        <v>965</v>
      </c>
      <c r="F2569" s="1">
        <v>0.14580000000000001</v>
      </c>
      <c r="G2569" s="1">
        <v>2.0799999999999999E-2</v>
      </c>
      <c r="H2569" s="1">
        <v>0.13539999999999999</v>
      </c>
      <c r="I2569" s="1">
        <v>0.46879999999999999</v>
      </c>
      <c r="K2569" s="1">
        <v>0.22919999999999999</v>
      </c>
    </row>
    <row r="2570" spans="1:11">
      <c r="A2570" t="s">
        <v>236</v>
      </c>
      <c r="B2570" t="s">
        <v>209</v>
      </c>
      <c r="C2570">
        <v>39</v>
      </c>
      <c r="D2570" t="s">
        <v>211</v>
      </c>
      <c r="E2570">
        <v>965</v>
      </c>
      <c r="F2570" s="1">
        <v>0.2112</v>
      </c>
      <c r="G2570" s="1">
        <v>1.18E-2</v>
      </c>
      <c r="H2570" s="1">
        <v>0.13739999999999999</v>
      </c>
      <c r="I2570" s="1">
        <v>0.43890000000000001</v>
      </c>
      <c r="K2570" s="1">
        <v>0.20069999999999999</v>
      </c>
    </row>
    <row r="2571" spans="1:11">
      <c r="A2571" t="s">
        <v>235</v>
      </c>
      <c r="B2571" t="s">
        <v>209</v>
      </c>
      <c r="C2571">
        <v>56</v>
      </c>
      <c r="D2571" t="s">
        <v>211</v>
      </c>
      <c r="E2571">
        <v>965</v>
      </c>
      <c r="F2571" s="1">
        <v>0.11550000000000001</v>
      </c>
      <c r="G2571" s="1">
        <v>1.9599999999999999E-2</v>
      </c>
      <c r="H2571" s="1">
        <v>0.1231</v>
      </c>
      <c r="I2571" s="1">
        <v>0.57069999999999999</v>
      </c>
      <c r="K2571" s="1">
        <v>0.17100000000000001</v>
      </c>
    </row>
    <row r="2572" spans="1:11">
      <c r="A2572" t="s">
        <v>235</v>
      </c>
      <c r="B2572" t="s">
        <v>209</v>
      </c>
      <c r="C2572">
        <v>67</v>
      </c>
      <c r="D2572" t="s">
        <v>212</v>
      </c>
      <c r="E2572">
        <v>965</v>
      </c>
      <c r="F2572" s="1">
        <v>0.2258</v>
      </c>
      <c r="H2572" s="1">
        <v>0.1095</v>
      </c>
      <c r="I2572" s="1">
        <v>0.41499999999999998</v>
      </c>
      <c r="K2572" s="1">
        <v>0.24979999999999999</v>
      </c>
    </row>
    <row r="2573" spans="1:11" s="26" customFormat="1">
      <c r="A2573" s="26" t="s">
        <v>236</v>
      </c>
      <c r="B2573" s="26" t="s">
        <v>209</v>
      </c>
      <c r="C2573" s="26">
        <v>18</v>
      </c>
      <c r="D2573" s="26" t="s">
        <v>212</v>
      </c>
      <c r="E2573" s="26">
        <v>965</v>
      </c>
      <c r="F2573" s="27">
        <v>0.12280000000000001</v>
      </c>
      <c r="H2573" s="27">
        <v>0.2029</v>
      </c>
      <c r="I2573" s="27">
        <v>0.53690000000000004</v>
      </c>
      <c r="K2573" s="27">
        <v>0.13739999999999999</v>
      </c>
    </row>
    <row r="2574" spans="1:11">
      <c r="A2574" t="s">
        <v>236</v>
      </c>
      <c r="B2574" t="s">
        <v>209</v>
      </c>
      <c r="C2574">
        <v>38</v>
      </c>
      <c r="D2574" t="s">
        <v>210</v>
      </c>
      <c r="E2574">
        <v>965</v>
      </c>
      <c r="F2574" s="1">
        <v>0.26669999999999999</v>
      </c>
      <c r="G2574" s="1">
        <v>2.0299999999999999E-2</v>
      </c>
      <c r="H2574" s="1">
        <v>0.1065</v>
      </c>
      <c r="I2574" s="1">
        <v>0.45929999999999999</v>
      </c>
      <c r="K2574" s="1">
        <v>0.14710000000000001</v>
      </c>
    </row>
    <row r="2575" spans="1:11">
      <c r="A2575" t="s">
        <v>235</v>
      </c>
      <c r="B2575" t="s">
        <v>209</v>
      </c>
      <c r="C2575">
        <v>32</v>
      </c>
      <c r="D2575" t="s">
        <v>210</v>
      </c>
      <c r="E2575">
        <v>965</v>
      </c>
      <c r="F2575" s="1">
        <v>0.33839999999999998</v>
      </c>
      <c r="H2575" s="1">
        <v>6.4600000000000005E-2</v>
      </c>
      <c r="I2575" s="1">
        <v>0.37069999999999997</v>
      </c>
      <c r="J2575" s="1">
        <v>3.2300000000000002E-2</v>
      </c>
      <c r="K2575" s="1">
        <v>0.19389999999999999</v>
      </c>
    </row>
    <row r="2577" spans="1:20">
      <c r="A2577" t="s">
        <v>770</v>
      </c>
    </row>
    <row r="2578" spans="1:20">
      <c r="A2578" t="s">
        <v>189</v>
      </c>
      <c r="B2578" t="s">
        <v>195</v>
      </c>
      <c r="C2578" t="s">
        <v>190</v>
      </c>
      <c r="D2578" t="s">
        <v>196</v>
      </c>
      <c r="E2578" t="s">
        <v>735</v>
      </c>
      <c r="F2578" t="s">
        <v>771</v>
      </c>
      <c r="G2578" t="s">
        <v>737</v>
      </c>
      <c r="H2578" t="s">
        <v>228</v>
      </c>
      <c r="I2578" t="s">
        <v>738</v>
      </c>
      <c r="J2578" t="s">
        <v>276</v>
      </c>
      <c r="K2578" t="s">
        <v>278</v>
      </c>
      <c r="L2578" t="s">
        <v>223</v>
      </c>
      <c r="M2578" t="s">
        <v>740</v>
      </c>
      <c r="N2578" t="s">
        <v>741</v>
      </c>
      <c r="O2578" t="s">
        <v>742</v>
      </c>
      <c r="P2578" t="s">
        <v>743</v>
      </c>
      <c r="Q2578" t="s">
        <v>744</v>
      </c>
      <c r="R2578" t="s">
        <v>745</v>
      </c>
      <c r="S2578" t="s">
        <v>747</v>
      </c>
      <c r="T2578" t="s">
        <v>748</v>
      </c>
    </row>
    <row r="2579" spans="1:20">
      <c r="A2579" t="s">
        <v>197</v>
      </c>
      <c r="B2579">
        <v>967</v>
      </c>
      <c r="C2579" t="s">
        <v>198</v>
      </c>
      <c r="D2579">
        <v>967</v>
      </c>
      <c r="E2579" s="1">
        <v>5.3E-3</v>
      </c>
      <c r="F2579" s="1">
        <v>1.83E-2</v>
      </c>
      <c r="G2579" s="1">
        <v>6.8999999999999999E-3</v>
      </c>
      <c r="H2579" s="1">
        <v>0.1087</v>
      </c>
      <c r="I2579" s="1">
        <v>2E-3</v>
      </c>
      <c r="J2579" s="1">
        <v>0.26150000000000001</v>
      </c>
      <c r="K2579" s="1">
        <v>7.6E-3</v>
      </c>
      <c r="L2579" s="1">
        <v>2.0999999999999999E-3</v>
      </c>
      <c r="M2579" s="1">
        <v>9.2999999999999992E-3</v>
      </c>
      <c r="N2579" s="1">
        <v>2.7400000000000001E-2</v>
      </c>
      <c r="O2579" s="1">
        <v>1.32E-2</v>
      </c>
      <c r="P2579" s="1">
        <v>2.3599999999999999E-2</v>
      </c>
      <c r="Q2579" s="1">
        <v>4.3E-3</v>
      </c>
      <c r="R2579" s="1">
        <v>3.1399999999999997E-2</v>
      </c>
      <c r="S2579" s="1">
        <v>0.56889999999999996</v>
      </c>
      <c r="T2579" s="1">
        <v>0.5101</v>
      </c>
    </row>
    <row r="2580" spans="1:20">
      <c r="A2580" t="s">
        <v>204</v>
      </c>
      <c r="B2580">
        <v>91</v>
      </c>
      <c r="C2580" t="s">
        <v>205</v>
      </c>
      <c r="D2580">
        <v>967</v>
      </c>
      <c r="F2580" s="1">
        <v>6.2600000000000003E-2</v>
      </c>
      <c r="G2580" s="1">
        <v>3.2000000000000002E-3</v>
      </c>
      <c r="H2580" s="1">
        <v>6.8500000000000005E-2</v>
      </c>
      <c r="J2580" s="1">
        <v>0.17979999999999999</v>
      </c>
      <c r="P2580" s="1">
        <v>7.1099999999999997E-2</v>
      </c>
      <c r="R2580" s="1">
        <v>6.9599999999999995E-2</v>
      </c>
      <c r="S2580" s="1">
        <v>0.70989999999999998</v>
      </c>
      <c r="T2580" s="1">
        <v>0.45700000000000002</v>
      </c>
    </row>
    <row r="2581" spans="1:20">
      <c r="A2581" t="s">
        <v>204</v>
      </c>
      <c r="B2581">
        <v>72</v>
      </c>
      <c r="C2581" t="s">
        <v>206</v>
      </c>
      <c r="D2581">
        <v>967</v>
      </c>
      <c r="H2581" s="1">
        <v>8.8300000000000003E-2</v>
      </c>
      <c r="J2581" s="1">
        <v>0.1953</v>
      </c>
      <c r="K2581" s="1">
        <v>1.6299999999999999E-2</v>
      </c>
      <c r="M2581" s="1">
        <v>1.1599999999999999E-2</v>
      </c>
      <c r="N2581" s="1">
        <v>1.6299999999999999E-2</v>
      </c>
      <c r="O2581" s="1">
        <v>2.7900000000000001E-2</v>
      </c>
      <c r="P2581" s="1">
        <v>1.1599999999999999E-2</v>
      </c>
      <c r="R2581" s="1">
        <v>2.7900000000000001E-2</v>
      </c>
      <c r="S2581" s="1">
        <v>0.58840000000000003</v>
      </c>
      <c r="T2581" s="1">
        <v>0.63260000000000005</v>
      </c>
    </row>
    <row r="2582" spans="1:20">
      <c r="A2582" t="s">
        <v>204</v>
      </c>
      <c r="B2582">
        <v>131</v>
      </c>
      <c r="C2582" t="s">
        <v>207</v>
      </c>
      <c r="D2582">
        <v>967</v>
      </c>
      <c r="H2582" s="1">
        <v>0.1638</v>
      </c>
      <c r="J2582" s="1">
        <v>7.9899999999999999E-2</v>
      </c>
      <c r="K2582" s="1">
        <v>2.3E-3</v>
      </c>
      <c r="M2582" s="1">
        <v>1.2800000000000001E-2</v>
      </c>
      <c r="N2582" s="1">
        <v>0.1022</v>
      </c>
      <c r="O2582" s="1">
        <v>1.21E-2</v>
      </c>
      <c r="Q2582" s="1">
        <v>2.5000000000000001E-3</v>
      </c>
      <c r="R2582" s="1">
        <v>3.3999999999999998E-3</v>
      </c>
      <c r="S2582" s="1">
        <v>0.68759999999999999</v>
      </c>
      <c r="T2582" s="1">
        <v>0.74419999999999997</v>
      </c>
    </row>
    <row r="2583" spans="1:20">
      <c r="A2583" t="s">
        <v>204</v>
      </c>
      <c r="B2583">
        <v>74</v>
      </c>
      <c r="C2583" t="s">
        <v>208</v>
      </c>
      <c r="D2583">
        <v>967</v>
      </c>
      <c r="F2583" s="1">
        <v>1.35E-2</v>
      </c>
      <c r="G2583" s="1">
        <v>1.35E-2</v>
      </c>
      <c r="H2583" s="1">
        <v>4.0500000000000001E-2</v>
      </c>
      <c r="J2583" s="1">
        <v>0.1081</v>
      </c>
      <c r="O2583" s="1">
        <v>1.35E-2</v>
      </c>
      <c r="P2583" s="1">
        <v>2.7E-2</v>
      </c>
      <c r="Q2583" s="1">
        <v>2.7E-2</v>
      </c>
      <c r="R2583" s="1">
        <v>4.0500000000000001E-2</v>
      </c>
      <c r="S2583" s="1">
        <v>0.82430000000000003</v>
      </c>
      <c r="T2583" s="1">
        <v>0.77029999999999998</v>
      </c>
    </row>
    <row r="2584" spans="1:20">
      <c r="A2584" t="s">
        <v>199</v>
      </c>
      <c r="B2584">
        <v>73</v>
      </c>
      <c r="C2584" t="s">
        <v>200</v>
      </c>
      <c r="D2584">
        <v>967</v>
      </c>
      <c r="E2584" s="1">
        <v>1.5299999999999999E-2</v>
      </c>
      <c r="G2584" s="1">
        <v>1.6899999999999998E-2</v>
      </c>
      <c r="H2584" s="1">
        <v>1.26E-2</v>
      </c>
      <c r="I2584" s="1">
        <v>6.8400000000000002E-2</v>
      </c>
      <c r="J2584" s="1">
        <v>0.47520000000000001</v>
      </c>
      <c r="K2584" s="1">
        <v>1.6000000000000001E-3</v>
      </c>
      <c r="M2584" s="1">
        <v>9.4399999999999998E-2</v>
      </c>
      <c r="N2584" s="1">
        <v>4.6399999999999997E-2</v>
      </c>
      <c r="P2584" s="1">
        <v>4.6399999999999997E-2</v>
      </c>
      <c r="R2584" s="1">
        <v>1.5299999999999999E-2</v>
      </c>
      <c r="S2584" s="1">
        <v>0.3669</v>
      </c>
      <c r="T2584" s="1">
        <v>0.33260000000000001</v>
      </c>
    </row>
    <row r="2585" spans="1:20">
      <c r="A2585" t="s">
        <v>199</v>
      </c>
      <c r="B2585">
        <v>96</v>
      </c>
      <c r="C2585" t="s">
        <v>201</v>
      </c>
      <c r="D2585">
        <v>967</v>
      </c>
      <c r="G2585" s="1">
        <v>2.0799999999999999E-2</v>
      </c>
      <c r="H2585" s="1">
        <v>0.13539999999999999</v>
      </c>
      <c r="J2585" s="1">
        <v>0.30209999999999998</v>
      </c>
      <c r="L2585" s="1">
        <v>1.04E-2</v>
      </c>
      <c r="O2585" s="1">
        <v>1.04E-2</v>
      </c>
      <c r="R2585" s="1">
        <v>3.1199999999999999E-2</v>
      </c>
      <c r="S2585" s="1">
        <v>0.52080000000000004</v>
      </c>
      <c r="T2585" s="1">
        <v>0.48959999999999998</v>
      </c>
    </row>
    <row r="2586" spans="1:20">
      <c r="A2586" t="s">
        <v>199</v>
      </c>
      <c r="B2586">
        <v>98</v>
      </c>
      <c r="C2586" t="s">
        <v>202</v>
      </c>
      <c r="D2586">
        <v>967</v>
      </c>
      <c r="F2586" s="1">
        <v>1.35E-2</v>
      </c>
      <c r="H2586" s="1">
        <v>0.1191</v>
      </c>
      <c r="J2586" s="1">
        <v>0.46289999999999998</v>
      </c>
      <c r="M2586" s="1">
        <v>2.7099999999999999E-2</v>
      </c>
      <c r="N2586" s="1">
        <v>3.0599999999999999E-2</v>
      </c>
      <c r="O2586" s="1">
        <v>4.0399999999999998E-2</v>
      </c>
      <c r="P2586" s="1">
        <v>1.7500000000000002E-2</v>
      </c>
      <c r="R2586" s="1">
        <v>1.3299999999999999E-2</v>
      </c>
      <c r="S2586" s="1">
        <v>0.3533</v>
      </c>
      <c r="T2586" s="1">
        <v>0.34860000000000002</v>
      </c>
    </row>
    <row r="2587" spans="1:20">
      <c r="A2587" t="s">
        <v>199</v>
      </c>
      <c r="B2587">
        <v>77</v>
      </c>
      <c r="C2587" t="s">
        <v>203</v>
      </c>
      <c r="D2587">
        <v>967</v>
      </c>
      <c r="F2587" s="1">
        <v>2.69E-2</v>
      </c>
      <c r="H2587" s="1">
        <v>0.13059999999999999</v>
      </c>
      <c r="J2587" s="1">
        <v>0.31879999999999997</v>
      </c>
      <c r="K2587" s="1">
        <v>2.69E-2</v>
      </c>
      <c r="N2587" s="1">
        <v>9.4999999999999998E-3</v>
      </c>
      <c r="P2587" s="1">
        <v>3.4299999999999997E-2</v>
      </c>
      <c r="R2587" s="1">
        <v>1.9E-2</v>
      </c>
      <c r="S2587" s="1">
        <v>0.54110000000000003</v>
      </c>
      <c r="T2587" s="1">
        <v>0.45279999999999998</v>
      </c>
    </row>
    <row r="2588" spans="1:20">
      <c r="A2588" t="s">
        <v>209</v>
      </c>
      <c r="B2588">
        <v>74</v>
      </c>
      <c r="C2588" t="s">
        <v>210</v>
      </c>
      <c r="D2588">
        <v>967</v>
      </c>
      <c r="F2588" s="1">
        <v>8.3000000000000001E-3</v>
      </c>
      <c r="G2588" s="1">
        <v>1.77E-2</v>
      </c>
      <c r="H2588" s="1">
        <v>0.16450000000000001</v>
      </c>
      <c r="I2588" s="1">
        <v>1.77E-2</v>
      </c>
      <c r="J2588" s="1">
        <v>0.19980000000000001</v>
      </c>
      <c r="L2588" s="1">
        <v>1.77E-2</v>
      </c>
      <c r="O2588" s="1">
        <v>1.77E-2</v>
      </c>
      <c r="Q2588" s="1">
        <v>1.77E-2</v>
      </c>
      <c r="R2588" s="1">
        <v>5.2999999999999999E-2</v>
      </c>
      <c r="S2588" s="1">
        <v>0.53900000000000003</v>
      </c>
      <c r="T2588" s="1">
        <v>0.48599999999999999</v>
      </c>
    </row>
    <row r="2589" spans="1:20">
      <c r="A2589" t="s">
        <v>209</v>
      </c>
      <c r="B2589">
        <v>96</v>
      </c>
      <c r="C2589" t="s">
        <v>211</v>
      </c>
      <c r="D2589">
        <v>967</v>
      </c>
      <c r="E2589" s="1">
        <v>8.5000000000000006E-3</v>
      </c>
      <c r="H2589" s="1">
        <v>0.1225</v>
      </c>
      <c r="J2589" s="1">
        <v>0.311</v>
      </c>
      <c r="M2589" s="1">
        <v>1.2699999999999999E-2</v>
      </c>
      <c r="N2589" s="1">
        <v>3.4700000000000002E-2</v>
      </c>
      <c r="P2589" s="1">
        <v>4.1999999999999997E-3</v>
      </c>
      <c r="R2589" s="1">
        <v>1.21E-2</v>
      </c>
      <c r="S2589" s="1">
        <v>0.52180000000000004</v>
      </c>
      <c r="T2589" s="1">
        <v>0.47920000000000001</v>
      </c>
    </row>
    <row r="2590" spans="1:20">
      <c r="A2590" t="s">
        <v>209</v>
      </c>
      <c r="B2590">
        <v>85</v>
      </c>
      <c r="C2590" t="s">
        <v>212</v>
      </c>
      <c r="D2590">
        <v>967</v>
      </c>
      <c r="E2590" s="1">
        <v>4.1399999999999999E-2</v>
      </c>
      <c r="F2590" s="1">
        <v>1.4E-2</v>
      </c>
      <c r="G2590" s="1">
        <v>7.4000000000000003E-3</v>
      </c>
      <c r="H2590" s="1">
        <v>9.6199999999999994E-2</v>
      </c>
      <c r="J2590" s="1">
        <v>0.33539999999999998</v>
      </c>
      <c r="K2590" s="1">
        <v>5.5899999999999998E-2</v>
      </c>
      <c r="N2590" s="1">
        <v>3.4799999999999998E-2</v>
      </c>
      <c r="O2590" s="1">
        <v>1.9599999999999999E-2</v>
      </c>
      <c r="P2590" s="1">
        <v>1.6400000000000001E-2</v>
      </c>
      <c r="Q2590" s="1">
        <v>1.9599999999999999E-2</v>
      </c>
      <c r="R2590" s="1">
        <v>3.3599999999999998E-2</v>
      </c>
      <c r="S2590" s="1">
        <v>0.43909999999999999</v>
      </c>
      <c r="T2590" s="1">
        <v>0.44640000000000002</v>
      </c>
    </row>
    <row r="2592" spans="1:20">
      <c r="A2592" t="s">
        <v>772</v>
      </c>
    </row>
    <row r="2593" spans="1:21">
      <c r="A2593" t="s">
        <v>214</v>
      </c>
      <c r="B2593" t="s">
        <v>189</v>
      </c>
      <c r="C2593" t="s">
        <v>195</v>
      </c>
      <c r="D2593" t="s">
        <v>190</v>
      </c>
      <c r="E2593" t="s">
        <v>196</v>
      </c>
      <c r="F2593" t="s">
        <v>735</v>
      </c>
      <c r="G2593" t="s">
        <v>771</v>
      </c>
      <c r="H2593" t="s">
        <v>737</v>
      </c>
      <c r="I2593" t="s">
        <v>228</v>
      </c>
      <c r="J2593" t="s">
        <v>738</v>
      </c>
      <c r="K2593" t="s">
        <v>276</v>
      </c>
      <c r="L2593" t="s">
        <v>278</v>
      </c>
      <c r="M2593" t="s">
        <v>223</v>
      </c>
      <c r="N2593" t="s">
        <v>740</v>
      </c>
      <c r="O2593" t="s">
        <v>741</v>
      </c>
      <c r="P2593" t="s">
        <v>742</v>
      </c>
      <c r="Q2593" t="s">
        <v>743</v>
      </c>
      <c r="R2593" t="s">
        <v>744</v>
      </c>
      <c r="S2593" t="s">
        <v>745</v>
      </c>
      <c r="T2593" t="s">
        <v>747</v>
      </c>
      <c r="U2593" t="s">
        <v>748</v>
      </c>
    </row>
    <row r="2594" spans="1:21">
      <c r="A2594" t="s">
        <v>198</v>
      </c>
      <c r="B2594" t="s">
        <v>197</v>
      </c>
      <c r="C2594">
        <v>967</v>
      </c>
      <c r="D2594" t="s">
        <v>198</v>
      </c>
      <c r="E2594">
        <v>967</v>
      </c>
      <c r="F2594" s="1">
        <v>5.3E-3</v>
      </c>
      <c r="G2594" s="1">
        <v>1.83E-2</v>
      </c>
      <c r="H2594" s="1">
        <v>6.8999999999999999E-3</v>
      </c>
      <c r="I2594" s="1">
        <v>0.1087</v>
      </c>
      <c r="J2594" s="1">
        <v>2E-3</v>
      </c>
      <c r="K2594" s="1">
        <v>0.26150000000000001</v>
      </c>
      <c r="L2594" s="1">
        <v>7.6E-3</v>
      </c>
      <c r="M2594" s="1">
        <v>2.0999999999999999E-3</v>
      </c>
      <c r="N2594" s="1">
        <v>9.2999999999999992E-3</v>
      </c>
      <c r="O2594" s="1">
        <v>2.7400000000000001E-2</v>
      </c>
      <c r="P2594" s="1">
        <v>1.32E-2</v>
      </c>
      <c r="Q2594" s="1">
        <v>2.3599999999999999E-2</v>
      </c>
      <c r="R2594" s="1">
        <v>4.3E-3</v>
      </c>
      <c r="S2594" s="1">
        <v>3.1399999999999997E-2</v>
      </c>
      <c r="T2594" s="1">
        <v>0.56889999999999996</v>
      </c>
      <c r="U2594" s="1">
        <v>0.5101</v>
      </c>
    </row>
    <row r="2595" spans="1:21" s="26" customFormat="1">
      <c r="A2595" s="26" t="s">
        <v>217</v>
      </c>
      <c r="B2595" s="26" t="s">
        <v>204</v>
      </c>
      <c r="C2595" s="26">
        <v>15</v>
      </c>
      <c r="D2595" s="26" t="s">
        <v>208</v>
      </c>
      <c r="E2595" s="26">
        <v>967</v>
      </c>
      <c r="I2595" s="27">
        <v>6.6699999999999995E-2</v>
      </c>
      <c r="K2595" s="27">
        <v>0.1333</v>
      </c>
      <c r="T2595" s="27">
        <v>0.8</v>
      </c>
      <c r="U2595" s="27">
        <v>0.73329999999999995</v>
      </c>
    </row>
    <row r="2596" spans="1:21" s="26" customFormat="1">
      <c r="A2596" s="26" t="s">
        <v>217</v>
      </c>
      <c r="B2596" s="26" t="s">
        <v>204</v>
      </c>
      <c r="C2596" s="26">
        <v>27</v>
      </c>
      <c r="D2596" s="26" t="s">
        <v>205</v>
      </c>
      <c r="E2596" s="26">
        <v>967</v>
      </c>
      <c r="H2596" s="27">
        <v>1.32E-2</v>
      </c>
      <c r="I2596" s="27">
        <v>0.20799999999999999</v>
      </c>
      <c r="K2596" s="27">
        <v>0.35809999999999997</v>
      </c>
      <c r="T2596" s="27">
        <v>0.43390000000000001</v>
      </c>
      <c r="U2596" s="27">
        <v>0.22589999999999999</v>
      </c>
    </row>
    <row r="2597" spans="1:21">
      <c r="A2597" t="s">
        <v>218</v>
      </c>
      <c r="B2597" t="s">
        <v>204</v>
      </c>
      <c r="C2597">
        <v>64</v>
      </c>
      <c r="D2597" t="s">
        <v>205</v>
      </c>
      <c r="E2597">
        <v>967</v>
      </c>
      <c r="G2597" s="1">
        <v>8.2600000000000007E-2</v>
      </c>
      <c r="I2597" s="1">
        <v>2.41E-2</v>
      </c>
      <c r="K2597" s="1">
        <v>0.1231</v>
      </c>
      <c r="Q2597" s="1">
        <v>9.3700000000000006E-2</v>
      </c>
      <c r="S2597" s="1">
        <v>9.1800000000000007E-2</v>
      </c>
      <c r="T2597" s="1">
        <v>0.79769999999999996</v>
      </c>
      <c r="U2597" s="1">
        <v>0.53059999999999996</v>
      </c>
    </row>
    <row r="2598" spans="1:21" s="26" customFormat="1">
      <c r="A2598" s="26" t="s">
        <v>217</v>
      </c>
      <c r="B2598" s="26" t="s">
        <v>204</v>
      </c>
      <c r="C2598" s="26">
        <v>11</v>
      </c>
      <c r="D2598" s="26" t="s">
        <v>206</v>
      </c>
      <c r="E2598" s="26">
        <v>967</v>
      </c>
      <c r="K2598" s="27">
        <v>8.2000000000000003E-2</v>
      </c>
      <c r="O2598" s="27">
        <v>0.11459999999999999</v>
      </c>
      <c r="T2598" s="27">
        <v>0.72140000000000004</v>
      </c>
      <c r="U2598" s="27">
        <v>0.91800000000000004</v>
      </c>
    </row>
    <row r="2599" spans="1:21">
      <c r="A2599" t="s">
        <v>218</v>
      </c>
      <c r="B2599" t="s">
        <v>204</v>
      </c>
      <c r="C2599">
        <v>61</v>
      </c>
      <c r="D2599" t="s">
        <v>206</v>
      </c>
      <c r="E2599">
        <v>967</v>
      </c>
      <c r="I2599" s="1">
        <v>0.10290000000000001</v>
      </c>
      <c r="K2599" s="1">
        <v>0.21410000000000001</v>
      </c>
      <c r="L2599" s="1">
        <v>1.9E-2</v>
      </c>
      <c r="N2599" s="1">
        <v>1.3599999999999999E-2</v>
      </c>
      <c r="P2599" s="1">
        <v>3.2500000000000001E-2</v>
      </c>
      <c r="Q2599" s="1">
        <v>1.3599999999999999E-2</v>
      </c>
      <c r="S2599" s="1">
        <v>3.2500000000000001E-2</v>
      </c>
      <c r="T2599" s="1">
        <v>0.56640000000000001</v>
      </c>
      <c r="U2599" s="1">
        <v>0.58540000000000003</v>
      </c>
    </row>
    <row r="2600" spans="1:21" s="26" customFormat="1">
      <c r="A2600" s="26" t="s">
        <v>217</v>
      </c>
      <c r="B2600" s="26" t="s">
        <v>204</v>
      </c>
      <c r="C2600" s="26">
        <v>23</v>
      </c>
      <c r="D2600" s="26" t="s">
        <v>207</v>
      </c>
      <c r="E2600" s="26">
        <v>967</v>
      </c>
      <c r="I2600" s="27">
        <v>0.37180000000000002</v>
      </c>
      <c r="K2600" s="27">
        <v>2.3099999999999999E-2</v>
      </c>
      <c r="L2600" s="27">
        <v>8.6999999999999994E-3</v>
      </c>
      <c r="N2600" s="27">
        <v>3.3999999999999998E-3</v>
      </c>
      <c r="P2600" s="27">
        <v>1.34E-2</v>
      </c>
      <c r="S2600" s="27">
        <v>3.3999999999999998E-3</v>
      </c>
      <c r="T2600" s="27">
        <v>0.59640000000000004</v>
      </c>
      <c r="U2600" s="27">
        <v>0.57799999999999996</v>
      </c>
    </row>
    <row r="2601" spans="1:21">
      <c r="A2601" t="s">
        <v>218</v>
      </c>
      <c r="B2601" t="s">
        <v>204</v>
      </c>
      <c r="C2601">
        <v>108</v>
      </c>
      <c r="D2601" t="s">
        <v>207</v>
      </c>
      <c r="E2601">
        <v>967</v>
      </c>
      <c r="I2601" s="1">
        <v>8.8099999999999998E-2</v>
      </c>
      <c r="K2601" s="1">
        <v>0.10050000000000001</v>
      </c>
      <c r="N2601" s="1">
        <v>1.6199999999999999E-2</v>
      </c>
      <c r="O2601" s="1">
        <v>0.1394</v>
      </c>
      <c r="P2601" s="1">
        <v>1.1599999999999999E-2</v>
      </c>
      <c r="R2601" s="1">
        <v>3.3999999999999998E-3</v>
      </c>
      <c r="S2601" s="1">
        <v>3.3999999999999998E-3</v>
      </c>
      <c r="T2601" s="1">
        <v>0.72070000000000001</v>
      </c>
      <c r="U2601" s="1">
        <v>0.80469999999999997</v>
      </c>
    </row>
    <row r="2602" spans="1:21">
      <c r="A2602" t="s">
        <v>218</v>
      </c>
      <c r="B2602" t="s">
        <v>204</v>
      </c>
      <c r="C2602">
        <v>59</v>
      </c>
      <c r="D2602" t="s">
        <v>208</v>
      </c>
      <c r="E2602">
        <v>967</v>
      </c>
      <c r="G2602" s="1">
        <v>1.6899999999999998E-2</v>
      </c>
      <c r="H2602" s="1">
        <v>1.6899999999999998E-2</v>
      </c>
      <c r="I2602" s="1">
        <v>3.39E-2</v>
      </c>
      <c r="K2602" s="1">
        <v>0.1017</v>
      </c>
      <c r="P2602" s="1">
        <v>1.6899999999999998E-2</v>
      </c>
      <c r="Q2602" s="1">
        <v>3.39E-2</v>
      </c>
      <c r="R2602" s="1">
        <v>3.39E-2</v>
      </c>
      <c r="S2602" s="1">
        <v>5.0799999999999998E-2</v>
      </c>
      <c r="T2602" s="1">
        <v>0.83050000000000002</v>
      </c>
      <c r="U2602" s="1">
        <v>0.77969999999999995</v>
      </c>
    </row>
    <row r="2603" spans="1:21" s="26" customFormat="1">
      <c r="A2603" s="26" t="s">
        <v>217</v>
      </c>
      <c r="B2603" s="26" t="s">
        <v>199</v>
      </c>
      <c r="C2603" s="26">
        <v>12</v>
      </c>
      <c r="D2603" s="26" t="s">
        <v>203</v>
      </c>
      <c r="E2603" s="26">
        <v>967</v>
      </c>
      <c r="I2603" s="27">
        <v>0.1736</v>
      </c>
      <c r="K2603" s="27">
        <v>0.2228</v>
      </c>
      <c r="L2603" s="27">
        <v>0.12820000000000001</v>
      </c>
      <c r="S2603" s="27">
        <v>4.53E-2</v>
      </c>
      <c r="T2603" s="27">
        <v>0.60360000000000003</v>
      </c>
      <c r="U2603" s="27">
        <v>0.55830000000000002</v>
      </c>
    </row>
    <row r="2604" spans="1:21">
      <c r="A2604" t="s">
        <v>218</v>
      </c>
      <c r="B2604" t="s">
        <v>199</v>
      </c>
      <c r="C2604">
        <v>65</v>
      </c>
      <c r="D2604" t="s">
        <v>203</v>
      </c>
      <c r="E2604">
        <v>967</v>
      </c>
      <c r="G2604" s="1">
        <v>3.4000000000000002E-2</v>
      </c>
      <c r="I2604" s="1">
        <v>0.1192</v>
      </c>
      <c r="K2604" s="1">
        <v>0.34429999999999999</v>
      </c>
      <c r="O2604" s="1">
        <v>1.2E-2</v>
      </c>
      <c r="Q2604" s="1">
        <v>4.3400000000000001E-2</v>
      </c>
      <c r="S2604" s="1">
        <v>1.2E-2</v>
      </c>
      <c r="T2604" s="1">
        <v>0.52459999999999996</v>
      </c>
      <c r="U2604" s="1">
        <v>0.4249</v>
      </c>
    </row>
    <row r="2605" spans="1:21">
      <c r="A2605" t="s">
        <v>218</v>
      </c>
      <c r="B2605" t="s">
        <v>199</v>
      </c>
      <c r="C2605">
        <v>71</v>
      </c>
      <c r="D2605" t="s">
        <v>202</v>
      </c>
      <c r="E2605">
        <v>967</v>
      </c>
      <c r="G2605" s="1">
        <v>1.9099999999999999E-2</v>
      </c>
      <c r="I2605" s="1">
        <v>4.2099999999999999E-2</v>
      </c>
      <c r="K2605" s="1">
        <v>0.47</v>
      </c>
      <c r="N2605" s="1">
        <v>1.9099999999999999E-2</v>
      </c>
      <c r="O2605" s="1">
        <v>2.3900000000000001E-2</v>
      </c>
      <c r="P2605" s="1">
        <v>3.78E-2</v>
      </c>
      <c r="Q2605" s="1">
        <v>2.47E-2</v>
      </c>
      <c r="S2605" s="1">
        <v>1.8700000000000001E-2</v>
      </c>
      <c r="T2605" s="1">
        <v>0.41589999999999999</v>
      </c>
      <c r="U2605" s="1">
        <v>0.40210000000000001</v>
      </c>
    </row>
    <row r="2606" spans="1:21" s="26" customFormat="1">
      <c r="A2606" s="26" t="s">
        <v>217</v>
      </c>
      <c r="B2606" s="26" t="s">
        <v>199</v>
      </c>
      <c r="C2606" s="26">
        <v>13</v>
      </c>
      <c r="D2606" s="26" t="s">
        <v>200</v>
      </c>
      <c r="E2606" s="26">
        <v>967</v>
      </c>
      <c r="I2606" s="27">
        <v>3.2399999999999998E-2</v>
      </c>
      <c r="K2606" s="27">
        <v>0.53359999999999996</v>
      </c>
      <c r="T2606" s="27">
        <v>0.32900000000000001</v>
      </c>
      <c r="U2606" s="27">
        <v>0.1158</v>
      </c>
    </row>
    <row r="2607" spans="1:21">
      <c r="A2607" t="s">
        <v>218</v>
      </c>
      <c r="B2607" t="s">
        <v>199</v>
      </c>
      <c r="C2607">
        <v>80</v>
      </c>
      <c r="D2607" t="s">
        <v>201</v>
      </c>
      <c r="E2607">
        <v>967</v>
      </c>
      <c r="I2607" s="1">
        <v>0.125</v>
      </c>
      <c r="K2607" s="1">
        <v>0.33750000000000002</v>
      </c>
      <c r="M2607" s="1">
        <v>1.2500000000000001E-2</v>
      </c>
      <c r="P2607" s="1">
        <v>1.2500000000000001E-2</v>
      </c>
      <c r="S2607" s="1">
        <v>3.7499999999999999E-2</v>
      </c>
      <c r="T2607" s="1">
        <v>0.51249999999999996</v>
      </c>
      <c r="U2607" s="1">
        <v>0.47499999999999998</v>
      </c>
    </row>
    <row r="2608" spans="1:21">
      <c r="A2608" t="s">
        <v>218</v>
      </c>
      <c r="B2608" t="s">
        <v>199</v>
      </c>
      <c r="C2608">
        <v>60</v>
      </c>
      <c r="D2608" t="s">
        <v>200</v>
      </c>
      <c r="E2608">
        <v>967</v>
      </c>
      <c r="F2608" s="1">
        <v>1.7899999999999999E-2</v>
      </c>
      <c r="H2608" s="1">
        <v>1.9800000000000002E-2</v>
      </c>
      <c r="I2608" s="1">
        <v>9.1999999999999998E-3</v>
      </c>
      <c r="J2608" s="1">
        <v>0.08</v>
      </c>
      <c r="K2608" s="1">
        <v>0.4652</v>
      </c>
      <c r="L2608" s="1">
        <v>1.8E-3</v>
      </c>
      <c r="N2608" s="1">
        <v>0.1105</v>
      </c>
      <c r="O2608" s="1">
        <v>5.4300000000000001E-2</v>
      </c>
      <c r="Q2608" s="1">
        <v>5.4300000000000001E-2</v>
      </c>
      <c r="S2608" s="1">
        <v>1.7899999999999999E-2</v>
      </c>
      <c r="T2608" s="1">
        <v>0.37330000000000002</v>
      </c>
      <c r="U2608" s="1">
        <v>0.36969999999999997</v>
      </c>
    </row>
    <row r="2609" spans="1:21" s="26" customFormat="1">
      <c r="A2609" s="26" t="s">
        <v>217</v>
      </c>
      <c r="B2609" s="26" t="s">
        <v>199</v>
      </c>
      <c r="C2609" s="26">
        <v>27</v>
      </c>
      <c r="D2609" s="26" t="s">
        <v>202</v>
      </c>
      <c r="E2609" s="26">
        <v>967</v>
      </c>
      <c r="I2609" s="27">
        <v>0.30830000000000002</v>
      </c>
      <c r="K2609" s="27">
        <v>0.44550000000000001</v>
      </c>
      <c r="N2609" s="27">
        <v>4.6899999999999997E-2</v>
      </c>
      <c r="O2609" s="27">
        <v>4.6899999999999997E-2</v>
      </c>
      <c r="P2609" s="27">
        <v>4.6899999999999997E-2</v>
      </c>
      <c r="T2609" s="27">
        <v>0.1993</v>
      </c>
      <c r="U2609" s="27">
        <v>0.21690000000000001</v>
      </c>
    </row>
    <row r="2610" spans="1:21" s="26" customFormat="1">
      <c r="A2610" s="26" t="s">
        <v>217</v>
      </c>
      <c r="B2610" s="26" t="s">
        <v>199</v>
      </c>
      <c r="C2610" s="26">
        <v>16</v>
      </c>
      <c r="D2610" s="26" t="s">
        <v>201</v>
      </c>
      <c r="E2610" s="26">
        <v>967</v>
      </c>
      <c r="H2610" s="27">
        <v>0.125</v>
      </c>
      <c r="I2610" s="27">
        <v>0.1875</v>
      </c>
      <c r="K2610" s="27">
        <v>0.125</v>
      </c>
      <c r="T2610" s="27">
        <v>0.5625</v>
      </c>
      <c r="U2610" s="27">
        <v>0.5625</v>
      </c>
    </row>
    <row r="2611" spans="1:21">
      <c r="A2611" t="s">
        <v>218</v>
      </c>
      <c r="B2611" t="s">
        <v>209</v>
      </c>
      <c r="C2611">
        <v>75</v>
      </c>
      <c r="D2611" t="s">
        <v>211</v>
      </c>
      <c r="E2611">
        <v>967</v>
      </c>
      <c r="F2611" s="1">
        <v>5.4999999999999997E-3</v>
      </c>
      <c r="I2611" s="1">
        <v>0.11</v>
      </c>
      <c r="K2611" s="1">
        <v>0.33090000000000003</v>
      </c>
      <c r="N2611" s="1">
        <v>5.4999999999999997E-3</v>
      </c>
      <c r="O2611" s="1">
        <v>3.9399999999999998E-2</v>
      </c>
      <c r="Q2611" s="1">
        <v>5.4999999999999997E-3</v>
      </c>
      <c r="S2611" s="1">
        <v>1.5599999999999999E-2</v>
      </c>
      <c r="T2611" s="1">
        <v>0.51690000000000003</v>
      </c>
      <c r="U2611" s="1">
        <v>0.47289999999999999</v>
      </c>
    </row>
    <row r="2612" spans="1:21" s="26" customFormat="1">
      <c r="A2612" s="26" t="s">
        <v>217</v>
      </c>
      <c r="B2612" s="26" t="s">
        <v>209</v>
      </c>
      <c r="C2612" s="26">
        <v>21</v>
      </c>
      <c r="D2612" s="26" t="s">
        <v>211</v>
      </c>
      <c r="E2612" s="26">
        <v>967</v>
      </c>
      <c r="F2612" s="27">
        <v>1.8800000000000001E-2</v>
      </c>
      <c r="I2612" s="27">
        <v>0.16539999999999999</v>
      </c>
      <c r="K2612" s="27">
        <v>0.2427</v>
      </c>
      <c r="N2612" s="27">
        <v>3.7699999999999997E-2</v>
      </c>
      <c r="O2612" s="27">
        <v>1.8800000000000001E-2</v>
      </c>
      <c r="T2612" s="27">
        <v>0.53839999999999999</v>
      </c>
      <c r="U2612" s="27">
        <v>0.50070000000000003</v>
      </c>
    </row>
    <row r="2613" spans="1:21">
      <c r="A2613" t="s">
        <v>218</v>
      </c>
      <c r="B2613" t="s">
        <v>209</v>
      </c>
      <c r="C2613">
        <v>71</v>
      </c>
      <c r="D2613" t="s">
        <v>212</v>
      </c>
      <c r="E2613">
        <v>967</v>
      </c>
      <c r="F2613" s="1">
        <v>5.0099999999999999E-2</v>
      </c>
      <c r="G2613" s="1">
        <v>1.6899999999999998E-2</v>
      </c>
      <c r="H2613" s="1">
        <v>8.8999999999999999E-3</v>
      </c>
      <c r="I2613" s="1">
        <v>8.3299999999999999E-2</v>
      </c>
      <c r="K2613" s="1">
        <v>0.35520000000000002</v>
      </c>
      <c r="L2613" s="1">
        <v>6.7699999999999996E-2</v>
      </c>
      <c r="O2613" s="1">
        <v>4.2099999999999999E-2</v>
      </c>
      <c r="P2613" s="1">
        <v>1.6899999999999998E-2</v>
      </c>
      <c r="Q2613" s="1">
        <v>1.9900000000000001E-2</v>
      </c>
      <c r="R2613" s="1">
        <v>1.6899999999999998E-2</v>
      </c>
      <c r="S2613" s="1">
        <v>3.3799999999999997E-2</v>
      </c>
      <c r="T2613" s="1">
        <v>0.42880000000000001</v>
      </c>
      <c r="U2613" s="1">
        <v>0.43480000000000002</v>
      </c>
    </row>
    <row r="2614" spans="1:21" s="26" customFormat="1">
      <c r="A2614" s="26" t="s">
        <v>217</v>
      </c>
      <c r="B2614" s="26" t="s">
        <v>209</v>
      </c>
      <c r="C2614" s="26">
        <v>14</v>
      </c>
      <c r="D2614" s="26" t="s">
        <v>212</v>
      </c>
      <c r="E2614" s="26">
        <v>967</v>
      </c>
      <c r="I2614" s="27">
        <v>0.1578</v>
      </c>
      <c r="K2614" s="27">
        <v>0.24129999999999999</v>
      </c>
      <c r="P2614" s="27">
        <v>3.2599999999999997E-2</v>
      </c>
      <c r="R2614" s="27">
        <v>3.2599999999999997E-2</v>
      </c>
      <c r="S2614" s="27">
        <v>3.2599999999999997E-2</v>
      </c>
      <c r="T2614" s="27">
        <v>0.48780000000000001</v>
      </c>
      <c r="U2614" s="27">
        <v>0.50149999999999995</v>
      </c>
    </row>
    <row r="2615" spans="1:21" s="26" customFormat="1">
      <c r="A2615" s="26" t="s">
        <v>217</v>
      </c>
      <c r="B2615" s="26" t="s">
        <v>209</v>
      </c>
      <c r="C2615" s="26">
        <v>17</v>
      </c>
      <c r="D2615" s="26" t="s">
        <v>210</v>
      </c>
      <c r="E2615" s="26">
        <v>967</v>
      </c>
      <c r="I2615" s="27">
        <v>0.16600000000000001</v>
      </c>
      <c r="K2615" s="27">
        <v>6.7199999999999996E-2</v>
      </c>
      <c r="M2615" s="27">
        <v>6.7199999999999996E-2</v>
      </c>
      <c r="R2615" s="27">
        <v>6.7199999999999996E-2</v>
      </c>
      <c r="S2615" s="27">
        <v>0.1343</v>
      </c>
      <c r="T2615" s="27">
        <v>0.63249999999999995</v>
      </c>
      <c r="U2615" s="27">
        <v>0.56530000000000002</v>
      </c>
    </row>
    <row r="2616" spans="1:21">
      <c r="A2616" t="s">
        <v>218</v>
      </c>
      <c r="B2616" t="s">
        <v>209</v>
      </c>
      <c r="C2616">
        <v>57</v>
      </c>
      <c r="D2616" t="s">
        <v>210</v>
      </c>
      <c r="E2616">
        <v>967</v>
      </c>
      <c r="G2616" s="1">
        <v>1.1299999999999999E-2</v>
      </c>
      <c r="H2616" s="1">
        <v>2.4E-2</v>
      </c>
      <c r="I2616" s="1">
        <v>0.16389999999999999</v>
      </c>
      <c r="J2616" s="1">
        <v>2.4E-2</v>
      </c>
      <c r="K2616" s="1">
        <v>0.2472</v>
      </c>
      <c r="P2616" s="1">
        <v>2.4E-2</v>
      </c>
      <c r="S2616" s="1">
        <v>2.4E-2</v>
      </c>
      <c r="T2616" s="1">
        <v>0.50570000000000004</v>
      </c>
      <c r="U2616" s="1">
        <v>0.4577</v>
      </c>
    </row>
    <row r="2618" spans="1:21">
      <c r="A2618" t="s">
        <v>773</v>
      </c>
    </row>
    <row r="2619" spans="1:21">
      <c r="A2619" t="s">
        <v>214</v>
      </c>
      <c r="B2619" t="s">
        <v>189</v>
      </c>
      <c r="C2619" t="s">
        <v>195</v>
      </c>
      <c r="D2619" t="s">
        <v>190</v>
      </c>
      <c r="E2619" t="s">
        <v>196</v>
      </c>
      <c r="F2619" t="s">
        <v>735</v>
      </c>
      <c r="G2619" t="s">
        <v>771</v>
      </c>
      <c r="H2619" t="s">
        <v>737</v>
      </c>
      <c r="I2619" t="s">
        <v>228</v>
      </c>
      <c r="J2619" t="s">
        <v>738</v>
      </c>
      <c r="K2619" t="s">
        <v>276</v>
      </c>
      <c r="L2619" t="s">
        <v>278</v>
      </c>
      <c r="M2619" t="s">
        <v>223</v>
      </c>
      <c r="N2619" t="s">
        <v>740</v>
      </c>
      <c r="O2619" t="s">
        <v>741</v>
      </c>
      <c r="P2619" t="s">
        <v>742</v>
      </c>
      <c r="Q2619" t="s">
        <v>743</v>
      </c>
      <c r="R2619" t="s">
        <v>744</v>
      </c>
      <c r="S2619" t="s">
        <v>745</v>
      </c>
      <c r="T2619" t="s">
        <v>747</v>
      </c>
      <c r="U2619" t="s">
        <v>748</v>
      </c>
    </row>
    <row r="2620" spans="1:21">
      <c r="A2620" t="s">
        <v>198</v>
      </c>
      <c r="B2620" t="s">
        <v>197</v>
      </c>
      <c r="C2620">
        <v>967</v>
      </c>
      <c r="D2620" t="s">
        <v>198</v>
      </c>
      <c r="E2620">
        <v>967</v>
      </c>
      <c r="F2620" s="1">
        <v>5.3E-3</v>
      </c>
      <c r="G2620" s="1">
        <v>1.83E-2</v>
      </c>
      <c r="H2620" s="1">
        <v>6.8999999999999999E-3</v>
      </c>
      <c r="I2620" s="1">
        <v>0.1087</v>
      </c>
      <c r="J2620" s="1">
        <v>2E-3</v>
      </c>
      <c r="K2620" s="1">
        <v>0.26150000000000001</v>
      </c>
      <c r="L2620" s="1">
        <v>7.6E-3</v>
      </c>
      <c r="M2620" s="1">
        <v>2.0999999999999999E-3</v>
      </c>
      <c r="N2620" s="1">
        <v>9.2999999999999992E-3</v>
      </c>
      <c r="O2620" s="1">
        <v>2.7400000000000001E-2</v>
      </c>
      <c r="P2620" s="1">
        <v>1.32E-2</v>
      </c>
      <c r="Q2620" s="1">
        <v>2.3599999999999999E-2</v>
      </c>
      <c r="R2620" s="1">
        <v>4.3E-3</v>
      </c>
      <c r="S2620" s="1">
        <v>3.1399999999999997E-2</v>
      </c>
      <c r="T2620" s="1">
        <v>0.56889999999999996</v>
      </c>
      <c r="U2620" s="1">
        <v>0.5101</v>
      </c>
    </row>
    <row r="2621" spans="1:21">
      <c r="A2621" t="s">
        <v>235</v>
      </c>
      <c r="B2621" t="s">
        <v>204</v>
      </c>
      <c r="C2621">
        <v>63</v>
      </c>
      <c r="D2621" t="s">
        <v>208</v>
      </c>
      <c r="E2621">
        <v>967</v>
      </c>
      <c r="G2621" s="1">
        <v>1.5900000000000001E-2</v>
      </c>
      <c r="I2621" s="1">
        <v>4.7600000000000003E-2</v>
      </c>
      <c r="K2621" s="1">
        <v>7.9399999999999998E-2</v>
      </c>
      <c r="P2621" s="1">
        <v>1.5900000000000001E-2</v>
      </c>
      <c r="Q2621" s="1">
        <v>3.1699999999999999E-2</v>
      </c>
      <c r="R2621" s="1">
        <v>3.1699999999999999E-2</v>
      </c>
      <c r="S2621" s="1">
        <v>4.7600000000000003E-2</v>
      </c>
      <c r="T2621" s="1">
        <v>0.84130000000000005</v>
      </c>
      <c r="U2621" s="1">
        <v>0.79369999999999996</v>
      </c>
    </row>
    <row r="2622" spans="1:21">
      <c r="A2622" t="s">
        <v>236</v>
      </c>
      <c r="B2622" t="s">
        <v>204</v>
      </c>
      <c r="C2622">
        <v>32</v>
      </c>
      <c r="D2622" t="s">
        <v>205</v>
      </c>
      <c r="E2622">
        <v>967</v>
      </c>
      <c r="I2622" s="1">
        <v>1.37E-2</v>
      </c>
      <c r="K2622" s="1">
        <v>0.38740000000000002</v>
      </c>
      <c r="T2622" s="1">
        <v>0.59899999999999998</v>
      </c>
      <c r="U2622" s="1">
        <v>0.36509999999999998</v>
      </c>
    </row>
    <row r="2623" spans="1:21">
      <c r="A2623" t="s">
        <v>235</v>
      </c>
      <c r="B2623" t="s">
        <v>204</v>
      </c>
      <c r="C2623">
        <v>58</v>
      </c>
      <c r="D2623" t="s">
        <v>205</v>
      </c>
      <c r="E2623">
        <v>967</v>
      </c>
      <c r="G2623" s="1">
        <v>7.6399999999999996E-2</v>
      </c>
      <c r="H2623" s="1">
        <v>3.8999999999999998E-3</v>
      </c>
      <c r="I2623" s="1">
        <v>8.0600000000000005E-2</v>
      </c>
      <c r="K2623" s="1">
        <v>0.1353</v>
      </c>
      <c r="Q2623" s="1">
        <v>8.6699999999999999E-2</v>
      </c>
      <c r="S2623" s="1">
        <v>8.4900000000000003E-2</v>
      </c>
      <c r="T2623" s="1">
        <v>0.73309999999999997</v>
      </c>
      <c r="U2623" s="1">
        <v>0.47539999999999999</v>
      </c>
    </row>
    <row r="2624" spans="1:21" s="26" customFormat="1">
      <c r="A2624" s="26" t="s">
        <v>236</v>
      </c>
      <c r="B2624" s="26" t="s">
        <v>204</v>
      </c>
      <c r="C2624" s="26">
        <v>21</v>
      </c>
      <c r="D2624" s="26" t="s">
        <v>206</v>
      </c>
      <c r="E2624" s="26">
        <v>967</v>
      </c>
      <c r="K2624" s="27">
        <v>0.21390000000000001</v>
      </c>
      <c r="L2624" s="27">
        <v>5.9700000000000003E-2</v>
      </c>
      <c r="Q2624" s="27">
        <v>4.2799999999999998E-2</v>
      </c>
      <c r="S2624" s="27">
        <v>0.10249999999999999</v>
      </c>
      <c r="T2624" s="27">
        <v>0.72640000000000005</v>
      </c>
      <c r="U2624" s="27">
        <v>0.64090000000000003</v>
      </c>
    </row>
    <row r="2625" spans="1:21">
      <c r="A2625" t="s">
        <v>235</v>
      </c>
      <c r="B2625" t="s">
        <v>204</v>
      </c>
      <c r="C2625">
        <v>47</v>
      </c>
      <c r="D2625" t="s">
        <v>206</v>
      </c>
      <c r="E2625">
        <v>967</v>
      </c>
      <c r="I2625" s="1">
        <v>0.1134</v>
      </c>
      <c r="K2625" s="1">
        <v>0.1855</v>
      </c>
      <c r="O2625" s="1">
        <v>2.4E-2</v>
      </c>
      <c r="P2625" s="1">
        <v>4.1200000000000001E-2</v>
      </c>
      <c r="T2625" s="1">
        <v>0.5534</v>
      </c>
      <c r="U2625" s="1">
        <v>0.65310000000000001</v>
      </c>
    </row>
    <row r="2626" spans="1:21">
      <c r="A2626" t="s">
        <v>236</v>
      </c>
      <c r="B2626" t="s">
        <v>204</v>
      </c>
      <c r="C2626">
        <v>81</v>
      </c>
      <c r="D2626" t="s">
        <v>207</v>
      </c>
      <c r="E2626">
        <v>967</v>
      </c>
      <c r="I2626" s="1">
        <v>0.1734</v>
      </c>
      <c r="K2626" s="1">
        <v>0.14779999999999999</v>
      </c>
      <c r="L2626" s="1">
        <v>5.7000000000000002E-3</v>
      </c>
      <c r="N2626" s="1">
        <v>1.72E-2</v>
      </c>
      <c r="O2626" s="1">
        <v>0.12189999999999999</v>
      </c>
      <c r="P2626" s="1">
        <v>1.77E-2</v>
      </c>
      <c r="T2626" s="1">
        <v>0.5363</v>
      </c>
      <c r="U2626" s="1">
        <v>0.64880000000000004</v>
      </c>
    </row>
    <row r="2627" spans="1:21">
      <c r="A2627" t="s">
        <v>235</v>
      </c>
      <c r="B2627" t="s">
        <v>204</v>
      </c>
      <c r="C2627">
        <v>45</v>
      </c>
      <c r="D2627" t="s">
        <v>207</v>
      </c>
      <c r="E2627">
        <v>967</v>
      </c>
      <c r="I2627" s="1">
        <v>0.15659999999999999</v>
      </c>
      <c r="K2627" s="1">
        <v>2.9899999999999999E-2</v>
      </c>
      <c r="N2627" s="1">
        <v>0.01</v>
      </c>
      <c r="O2627" s="1">
        <v>9.0800000000000006E-2</v>
      </c>
      <c r="P2627" s="1">
        <v>8.5000000000000006E-3</v>
      </c>
      <c r="R2627" s="1">
        <v>4.3E-3</v>
      </c>
      <c r="S2627" s="1">
        <v>5.8999999999999999E-3</v>
      </c>
      <c r="T2627" s="1">
        <v>0.79449999999999998</v>
      </c>
      <c r="U2627" s="1">
        <v>0.8135</v>
      </c>
    </row>
    <row r="2628" spans="1:21" s="26" customFormat="1">
      <c r="A2628" s="26" t="s">
        <v>236</v>
      </c>
      <c r="B2628" s="26" t="s">
        <v>204</v>
      </c>
      <c r="C2628" s="26">
        <v>11</v>
      </c>
      <c r="D2628" s="26" t="s">
        <v>208</v>
      </c>
      <c r="E2628" s="26">
        <v>967</v>
      </c>
      <c r="H2628" s="27">
        <v>9.0899999999999995E-2</v>
      </c>
      <c r="K2628" s="27">
        <v>0.2727</v>
      </c>
      <c r="T2628" s="27">
        <v>0.72729999999999995</v>
      </c>
      <c r="U2628" s="27">
        <v>0.63639999999999997</v>
      </c>
    </row>
    <row r="2629" spans="1:21">
      <c r="A2629" t="s">
        <v>235</v>
      </c>
      <c r="B2629" t="s">
        <v>199</v>
      </c>
      <c r="C2629">
        <v>44</v>
      </c>
      <c r="D2629" t="s">
        <v>203</v>
      </c>
      <c r="E2629">
        <v>967</v>
      </c>
      <c r="G2629" s="1">
        <v>4.2799999999999998E-2</v>
      </c>
      <c r="I2629" s="1">
        <v>0.14549999999999999</v>
      </c>
      <c r="K2629" s="1">
        <v>0.2462</v>
      </c>
      <c r="O2629" s="1">
        <v>1.5100000000000001E-2</v>
      </c>
      <c r="Q2629" s="1">
        <v>4.2799999999999998E-2</v>
      </c>
      <c r="S2629" s="1">
        <v>3.0300000000000001E-2</v>
      </c>
      <c r="T2629" s="1">
        <v>0.60829999999999995</v>
      </c>
      <c r="U2629" s="1">
        <v>0.52739999999999998</v>
      </c>
    </row>
    <row r="2630" spans="1:21">
      <c r="A2630" t="s">
        <v>236</v>
      </c>
      <c r="B2630" t="s">
        <v>199</v>
      </c>
      <c r="C2630">
        <v>32</v>
      </c>
      <c r="D2630" t="s">
        <v>203</v>
      </c>
      <c r="E2630">
        <v>967</v>
      </c>
      <c r="I2630" s="1">
        <v>0.11360000000000001</v>
      </c>
      <c r="K2630" s="1">
        <v>0.47549999999999998</v>
      </c>
      <c r="Q2630" s="1">
        <v>2.1499999999999998E-2</v>
      </c>
      <c r="T2630" s="1">
        <v>0.38340000000000002</v>
      </c>
      <c r="U2630" s="1">
        <v>0.27489999999999998</v>
      </c>
    </row>
    <row r="2631" spans="1:21">
      <c r="A2631" t="s">
        <v>235</v>
      </c>
      <c r="B2631" t="s">
        <v>199</v>
      </c>
      <c r="C2631">
        <v>60</v>
      </c>
      <c r="D2631" t="s">
        <v>202</v>
      </c>
      <c r="E2631">
        <v>967</v>
      </c>
      <c r="I2631" s="1">
        <v>0.14360000000000001</v>
      </c>
      <c r="K2631" s="1">
        <v>0.48659999999999998</v>
      </c>
      <c r="O2631" s="1">
        <v>5.33E-2</v>
      </c>
      <c r="P2631" s="1">
        <v>4.6800000000000001E-2</v>
      </c>
      <c r="Q2631" s="1">
        <v>3.0599999999999999E-2</v>
      </c>
      <c r="T2631" s="1">
        <v>0.29530000000000001</v>
      </c>
      <c r="U2631" s="1">
        <v>0.2954</v>
      </c>
    </row>
    <row r="2632" spans="1:21" s="26" customFormat="1">
      <c r="A2632" s="26" t="s">
        <v>236</v>
      </c>
      <c r="B2632" s="26" t="s">
        <v>199</v>
      </c>
      <c r="C2632" s="26">
        <v>24</v>
      </c>
      <c r="D2632" s="26" t="s">
        <v>200</v>
      </c>
      <c r="E2632" s="26">
        <v>967</v>
      </c>
      <c r="H2632" s="27">
        <v>3.3999999999999998E-3</v>
      </c>
      <c r="I2632" s="27">
        <v>1.01E-2</v>
      </c>
      <c r="J2632" s="27">
        <v>0.14560000000000001</v>
      </c>
      <c r="K2632" s="27">
        <v>0.5917</v>
      </c>
      <c r="S2632" s="27">
        <v>3.2599999999999997E-2</v>
      </c>
      <c r="T2632" s="27">
        <v>0.1875</v>
      </c>
      <c r="U2632" s="27">
        <v>0.12130000000000001</v>
      </c>
    </row>
    <row r="2633" spans="1:21">
      <c r="A2633" t="s">
        <v>235</v>
      </c>
      <c r="B2633" t="s">
        <v>199</v>
      </c>
      <c r="C2633">
        <v>46</v>
      </c>
      <c r="D2633" t="s">
        <v>200</v>
      </c>
      <c r="E2633">
        <v>967</v>
      </c>
      <c r="F2633" s="1">
        <v>2.9100000000000001E-2</v>
      </c>
      <c r="H2633" s="1">
        <v>2.9100000000000001E-2</v>
      </c>
      <c r="I2633" s="1">
        <v>1.2E-2</v>
      </c>
      <c r="K2633" s="1">
        <v>0.36940000000000001</v>
      </c>
      <c r="L2633" s="1">
        <v>3.0000000000000001E-3</v>
      </c>
      <c r="N2633" s="1">
        <v>0.17949999999999999</v>
      </c>
      <c r="O2633" s="1">
        <v>8.8300000000000003E-2</v>
      </c>
      <c r="Q2633" s="1">
        <v>8.8300000000000003E-2</v>
      </c>
      <c r="T2633" s="1">
        <v>0.53039999999999998</v>
      </c>
      <c r="U2633" s="1">
        <v>0.52439999999999998</v>
      </c>
    </row>
    <row r="2634" spans="1:21">
      <c r="A2634" t="s">
        <v>236</v>
      </c>
      <c r="B2634" t="s">
        <v>199</v>
      </c>
      <c r="C2634">
        <v>37</v>
      </c>
      <c r="D2634" t="s">
        <v>202</v>
      </c>
      <c r="E2634">
        <v>967</v>
      </c>
      <c r="G2634" s="1">
        <v>3.2800000000000003E-2</v>
      </c>
      <c r="I2634" s="1">
        <v>8.8900000000000007E-2</v>
      </c>
      <c r="K2634" s="1">
        <v>0.44519999999999998</v>
      </c>
      <c r="N2634" s="1">
        <v>6.5600000000000006E-2</v>
      </c>
      <c r="P2634" s="1">
        <v>3.2800000000000003E-2</v>
      </c>
      <c r="S2634" s="1">
        <v>3.2300000000000002E-2</v>
      </c>
      <c r="T2634" s="1">
        <v>0.41249999999999998</v>
      </c>
      <c r="U2634" s="1">
        <v>0.40100000000000002</v>
      </c>
    </row>
    <row r="2635" spans="1:21">
      <c r="A2635" t="s">
        <v>235</v>
      </c>
      <c r="B2635" t="s">
        <v>199</v>
      </c>
      <c r="C2635">
        <v>96</v>
      </c>
      <c r="D2635" t="s">
        <v>201</v>
      </c>
      <c r="E2635">
        <v>967</v>
      </c>
      <c r="H2635" s="1">
        <v>2.0799999999999999E-2</v>
      </c>
      <c r="I2635" s="1">
        <v>0.13539999999999999</v>
      </c>
      <c r="K2635" s="1">
        <v>0.30209999999999998</v>
      </c>
      <c r="M2635" s="1">
        <v>1.04E-2</v>
      </c>
      <c r="P2635" s="1">
        <v>1.04E-2</v>
      </c>
      <c r="S2635" s="1">
        <v>3.1199999999999999E-2</v>
      </c>
      <c r="T2635" s="1">
        <v>0.52080000000000004</v>
      </c>
      <c r="U2635" s="1">
        <v>0.48959999999999998</v>
      </c>
    </row>
    <row r="2636" spans="1:21">
      <c r="A2636" t="s">
        <v>236</v>
      </c>
      <c r="B2636" t="s">
        <v>209</v>
      </c>
      <c r="C2636">
        <v>38</v>
      </c>
      <c r="D2636" t="s">
        <v>211</v>
      </c>
      <c r="E2636">
        <v>967</v>
      </c>
      <c r="I2636" s="1">
        <v>0.12609999999999999</v>
      </c>
      <c r="K2636" s="1">
        <v>0.38619999999999999</v>
      </c>
      <c r="N2636" s="1">
        <v>2.3900000000000001E-2</v>
      </c>
      <c r="O2636" s="1">
        <v>5.1900000000000002E-2</v>
      </c>
      <c r="S2636" s="1">
        <v>3.4000000000000002E-2</v>
      </c>
      <c r="T2636" s="1">
        <v>0.4078</v>
      </c>
      <c r="U2636" s="1">
        <v>0.43590000000000001</v>
      </c>
    </row>
    <row r="2637" spans="1:21">
      <c r="A2637" t="s">
        <v>235</v>
      </c>
      <c r="B2637" t="s">
        <v>209</v>
      </c>
      <c r="C2637">
        <v>56</v>
      </c>
      <c r="D2637" t="s">
        <v>211</v>
      </c>
      <c r="E2637">
        <v>967</v>
      </c>
      <c r="F2637" s="1">
        <v>1.38E-2</v>
      </c>
      <c r="I2637" s="1">
        <v>0.1017</v>
      </c>
      <c r="K2637" s="1">
        <v>0.28310000000000002</v>
      </c>
      <c r="N2637" s="1">
        <v>6.8999999999999999E-3</v>
      </c>
      <c r="O2637" s="1">
        <v>2.6599999999999999E-2</v>
      </c>
      <c r="Q2637" s="1">
        <v>6.8999999999999999E-3</v>
      </c>
      <c r="T2637" s="1">
        <v>0.5887</v>
      </c>
      <c r="U2637" s="1">
        <v>0.50319999999999998</v>
      </c>
    </row>
    <row r="2638" spans="1:21">
      <c r="A2638" t="s">
        <v>235</v>
      </c>
      <c r="B2638" t="s">
        <v>209</v>
      </c>
      <c r="C2638">
        <v>67</v>
      </c>
      <c r="D2638" t="s">
        <v>212</v>
      </c>
      <c r="E2638">
        <v>967</v>
      </c>
      <c r="F2638" s="1">
        <v>4.8000000000000001E-2</v>
      </c>
      <c r="G2638" s="1">
        <v>1.6199999999999999E-2</v>
      </c>
      <c r="H2638" s="1">
        <v>8.6E-3</v>
      </c>
      <c r="I2638" s="1">
        <v>0.1116</v>
      </c>
      <c r="K2638" s="1">
        <v>0.29120000000000001</v>
      </c>
      <c r="L2638" s="1">
        <v>6.4799999999999996E-2</v>
      </c>
      <c r="O2638" s="1">
        <v>4.0399999999999998E-2</v>
      </c>
      <c r="P2638" s="1">
        <v>2.2800000000000001E-2</v>
      </c>
      <c r="Q2638" s="1">
        <v>1.9099999999999999E-2</v>
      </c>
      <c r="R2638" s="1">
        <v>2.2800000000000001E-2</v>
      </c>
      <c r="S2638" s="1">
        <v>3.9E-2</v>
      </c>
      <c r="T2638" s="1">
        <v>0.44719999999999999</v>
      </c>
      <c r="U2638" s="1">
        <v>0.46920000000000001</v>
      </c>
    </row>
    <row r="2639" spans="1:21" s="26" customFormat="1">
      <c r="A2639" s="26" t="s">
        <v>236</v>
      </c>
      <c r="B2639" s="26" t="s">
        <v>209</v>
      </c>
      <c r="C2639" s="26">
        <v>18</v>
      </c>
      <c r="D2639" s="26" t="s">
        <v>212</v>
      </c>
      <c r="E2639" s="26">
        <v>967</v>
      </c>
      <c r="K2639" s="27">
        <v>0.6119</v>
      </c>
      <c r="T2639" s="27">
        <v>0.3881</v>
      </c>
      <c r="U2639" s="27">
        <v>0.30420000000000003</v>
      </c>
    </row>
    <row r="2640" spans="1:21">
      <c r="A2640" t="s">
        <v>236</v>
      </c>
      <c r="B2640" t="s">
        <v>209</v>
      </c>
      <c r="C2640">
        <v>38</v>
      </c>
      <c r="D2640" t="s">
        <v>210</v>
      </c>
      <c r="E2640">
        <v>967</v>
      </c>
      <c r="I2640" s="1">
        <v>0.18540000000000001</v>
      </c>
      <c r="K2640" s="1">
        <v>0.35770000000000002</v>
      </c>
      <c r="S2640" s="1">
        <v>4.3099999999999999E-2</v>
      </c>
      <c r="T2640" s="1">
        <v>0.43659999999999999</v>
      </c>
      <c r="U2640" s="1">
        <v>0.39350000000000002</v>
      </c>
    </row>
    <row r="2641" spans="1:21">
      <c r="A2641" t="s">
        <v>235</v>
      </c>
      <c r="B2641" t="s">
        <v>209</v>
      </c>
      <c r="C2641">
        <v>32</v>
      </c>
      <c r="D2641" t="s">
        <v>210</v>
      </c>
      <c r="E2641">
        <v>967</v>
      </c>
      <c r="G2641" s="1">
        <v>1.5299999999999999E-2</v>
      </c>
      <c r="H2641" s="1">
        <v>3.2300000000000002E-2</v>
      </c>
      <c r="I2641" s="1">
        <v>0.1293</v>
      </c>
      <c r="J2641" s="1">
        <v>3.2300000000000002E-2</v>
      </c>
      <c r="K2641" s="1">
        <v>9.69E-2</v>
      </c>
      <c r="M2641" s="1">
        <v>3.2300000000000002E-2</v>
      </c>
      <c r="P2641" s="1">
        <v>3.2300000000000002E-2</v>
      </c>
      <c r="R2641" s="1">
        <v>3.2300000000000002E-2</v>
      </c>
      <c r="S2641" s="1">
        <v>6.4600000000000005E-2</v>
      </c>
      <c r="T2641" s="1">
        <v>0.61219999999999997</v>
      </c>
      <c r="U2641" s="1">
        <v>0.54759999999999998</v>
      </c>
    </row>
    <row r="2643" spans="1:21">
      <c r="A2643" t="s">
        <v>774</v>
      </c>
    </row>
    <row r="2644" spans="1:21">
      <c r="A2644" t="s">
        <v>189</v>
      </c>
      <c r="B2644" t="s">
        <v>195</v>
      </c>
      <c r="C2644" t="s">
        <v>190</v>
      </c>
      <c r="D2644" t="s">
        <v>196</v>
      </c>
      <c r="E2644" t="s">
        <v>760</v>
      </c>
      <c r="F2644" t="s">
        <v>228</v>
      </c>
      <c r="G2644" t="s">
        <v>763</v>
      </c>
      <c r="H2644" t="s">
        <v>775</v>
      </c>
      <c r="I2644" t="s">
        <v>223</v>
      </c>
      <c r="J2644" t="s">
        <v>776</v>
      </c>
    </row>
    <row r="2645" spans="1:21">
      <c r="A2645" t="s">
        <v>197</v>
      </c>
      <c r="B2645">
        <v>934</v>
      </c>
      <c r="C2645" t="s">
        <v>198</v>
      </c>
      <c r="D2645">
        <v>934</v>
      </c>
      <c r="E2645" s="1">
        <v>6.13E-2</v>
      </c>
      <c r="F2645" s="1">
        <v>7.8399999999999997E-2</v>
      </c>
      <c r="G2645" s="1">
        <v>0.4158</v>
      </c>
      <c r="H2645" s="1">
        <v>0.11799999999999999</v>
      </c>
      <c r="I2645" s="1">
        <v>6.9999999999999999E-4</v>
      </c>
      <c r="J2645" s="1">
        <v>0.32569999999999999</v>
      </c>
    </row>
    <row r="2646" spans="1:21">
      <c r="A2646" t="s">
        <v>204</v>
      </c>
      <c r="B2646">
        <v>88</v>
      </c>
      <c r="C2646" t="s">
        <v>205</v>
      </c>
      <c r="D2646">
        <v>934</v>
      </c>
      <c r="E2646" s="1">
        <v>5.9299999999999999E-2</v>
      </c>
      <c r="F2646" s="1">
        <v>0.12720000000000001</v>
      </c>
      <c r="G2646" s="1">
        <v>0.36909999999999998</v>
      </c>
      <c r="H2646" s="1">
        <v>0.16270000000000001</v>
      </c>
      <c r="I2646" s="1">
        <v>2.5000000000000001E-3</v>
      </c>
      <c r="J2646" s="1">
        <v>0.2792</v>
      </c>
    </row>
    <row r="2647" spans="1:21">
      <c r="A2647" t="s">
        <v>204</v>
      </c>
      <c r="B2647">
        <v>69</v>
      </c>
      <c r="C2647" t="s">
        <v>206</v>
      </c>
      <c r="D2647">
        <v>934</v>
      </c>
      <c r="E2647" s="1">
        <v>0.1283</v>
      </c>
      <c r="F2647" s="1">
        <v>0.1066</v>
      </c>
      <c r="G2647" s="1">
        <v>0.30270000000000002</v>
      </c>
      <c r="H2647" s="1">
        <v>0.18390000000000001</v>
      </c>
      <c r="J2647" s="1">
        <v>0.27839999999999998</v>
      </c>
    </row>
    <row r="2648" spans="1:21">
      <c r="A2648" t="s">
        <v>204</v>
      </c>
      <c r="B2648">
        <v>123</v>
      </c>
      <c r="C2648" t="s">
        <v>207</v>
      </c>
      <c r="D2648">
        <v>934</v>
      </c>
      <c r="E2648" s="1">
        <v>8.72E-2</v>
      </c>
      <c r="F2648" s="1">
        <v>3.0200000000000001E-2</v>
      </c>
      <c r="G2648" s="1">
        <v>0.2283</v>
      </c>
      <c r="H2648" s="1">
        <v>9.1600000000000001E-2</v>
      </c>
      <c r="I2648" s="1">
        <v>1.1000000000000001E-3</v>
      </c>
      <c r="J2648" s="1">
        <v>0.5615</v>
      </c>
    </row>
    <row r="2649" spans="1:21">
      <c r="A2649" t="s">
        <v>204</v>
      </c>
      <c r="B2649">
        <v>71</v>
      </c>
      <c r="C2649" t="s">
        <v>208</v>
      </c>
      <c r="D2649">
        <v>934</v>
      </c>
      <c r="E2649" s="1">
        <v>0.16900000000000001</v>
      </c>
      <c r="G2649" s="1">
        <v>0.19719999999999999</v>
      </c>
      <c r="H2649" s="1">
        <v>0.43659999999999999</v>
      </c>
      <c r="J2649" s="1">
        <v>0.19719999999999999</v>
      </c>
    </row>
    <row r="2650" spans="1:21">
      <c r="A2650" t="s">
        <v>199</v>
      </c>
      <c r="B2650">
        <v>70</v>
      </c>
      <c r="C2650" t="s">
        <v>200</v>
      </c>
      <c r="D2650">
        <v>934</v>
      </c>
      <c r="E2650" s="1">
        <v>6.4000000000000001E-2</v>
      </c>
      <c r="F2650" s="1">
        <v>4.7999999999999996E-3</v>
      </c>
      <c r="G2650" s="1">
        <v>0.58130000000000004</v>
      </c>
      <c r="H2650" s="1">
        <v>1.43E-2</v>
      </c>
      <c r="J2650" s="1">
        <v>0.3357</v>
      </c>
    </row>
    <row r="2651" spans="1:21">
      <c r="A2651" t="s">
        <v>199</v>
      </c>
      <c r="B2651">
        <v>95</v>
      </c>
      <c r="C2651" t="s">
        <v>201</v>
      </c>
      <c r="D2651">
        <v>934</v>
      </c>
      <c r="E2651" s="1">
        <v>2.1100000000000001E-2</v>
      </c>
      <c r="F2651" s="1">
        <v>8.4199999999999997E-2</v>
      </c>
      <c r="G2651" s="1">
        <v>0.49469999999999997</v>
      </c>
      <c r="H2651" s="1">
        <v>6.3200000000000006E-2</v>
      </c>
      <c r="J2651" s="1">
        <v>0.33679999999999999</v>
      </c>
    </row>
    <row r="2652" spans="1:21">
      <c r="A2652" t="s">
        <v>199</v>
      </c>
      <c r="B2652">
        <v>96</v>
      </c>
      <c r="C2652" t="s">
        <v>202</v>
      </c>
      <c r="D2652">
        <v>934</v>
      </c>
      <c r="E2652" s="1">
        <v>3.3000000000000002E-2</v>
      </c>
      <c r="F2652" s="1">
        <v>0.12570000000000001</v>
      </c>
      <c r="G2652" s="1">
        <v>0.55089999999999995</v>
      </c>
      <c r="H2652" s="1">
        <v>2.2499999999999999E-2</v>
      </c>
      <c r="J2652" s="1">
        <v>0.26800000000000002</v>
      </c>
    </row>
    <row r="2653" spans="1:21">
      <c r="A2653" t="s">
        <v>199</v>
      </c>
      <c r="B2653">
        <v>76</v>
      </c>
      <c r="C2653" t="s">
        <v>203</v>
      </c>
      <c r="D2653">
        <v>934</v>
      </c>
      <c r="E2653" s="1">
        <v>9.5899999999999999E-2</v>
      </c>
      <c r="F2653" s="1">
        <v>6.2399999999999997E-2</v>
      </c>
      <c r="G2653" s="1">
        <v>0.3619</v>
      </c>
      <c r="H2653" s="1">
        <v>0.27600000000000002</v>
      </c>
      <c r="J2653" s="1">
        <v>0.20369999999999999</v>
      </c>
    </row>
    <row r="2654" spans="1:21">
      <c r="A2654" t="s">
        <v>209</v>
      </c>
      <c r="B2654">
        <v>69</v>
      </c>
      <c r="C2654" t="s">
        <v>210</v>
      </c>
      <c r="D2654">
        <v>934</v>
      </c>
      <c r="E2654" s="1">
        <v>0.3715</v>
      </c>
      <c r="F2654" s="1">
        <v>2.8299999999999999E-2</v>
      </c>
      <c r="G2654" s="1">
        <v>0.26229999999999998</v>
      </c>
      <c r="H2654" s="1">
        <v>0.10290000000000001</v>
      </c>
      <c r="J2654" s="1">
        <v>0.2351</v>
      </c>
    </row>
    <row r="2655" spans="1:21">
      <c r="A2655" t="s">
        <v>209</v>
      </c>
      <c r="B2655">
        <v>93</v>
      </c>
      <c r="C2655" t="s">
        <v>211</v>
      </c>
      <c r="D2655">
        <v>934</v>
      </c>
      <c r="E2655" s="1">
        <v>6.7699999999999996E-2</v>
      </c>
      <c r="F2655" s="1">
        <v>6.7699999999999996E-2</v>
      </c>
      <c r="G2655" s="1">
        <v>0.45860000000000001</v>
      </c>
      <c r="H2655" s="1">
        <v>8.0399999999999999E-2</v>
      </c>
      <c r="J2655" s="1">
        <v>0.32550000000000001</v>
      </c>
    </row>
    <row r="2656" spans="1:21">
      <c r="A2656" t="s">
        <v>209</v>
      </c>
      <c r="B2656">
        <v>84</v>
      </c>
      <c r="C2656" t="s">
        <v>212</v>
      </c>
      <c r="D2656">
        <v>934</v>
      </c>
      <c r="E2656" s="1">
        <v>4.2500000000000003E-2</v>
      </c>
      <c r="F2656" s="1">
        <v>4.3400000000000001E-2</v>
      </c>
      <c r="G2656" s="1">
        <v>0.51800000000000002</v>
      </c>
      <c r="H2656" s="1">
        <v>9.01E-2</v>
      </c>
      <c r="J2656" s="1">
        <v>0.30599999999999999</v>
      </c>
    </row>
    <row r="2658" spans="1:18">
      <c r="A2658" t="s">
        <v>777</v>
      </c>
    </row>
    <row r="2659" spans="1:18">
      <c r="A2659" t="s">
        <v>189</v>
      </c>
      <c r="B2659" t="s">
        <v>195</v>
      </c>
      <c r="C2659" t="s">
        <v>190</v>
      </c>
      <c r="D2659" t="s">
        <v>196</v>
      </c>
      <c r="E2659" t="s">
        <v>778</v>
      </c>
      <c r="F2659" t="s">
        <v>779</v>
      </c>
      <c r="G2659" t="s">
        <v>780</v>
      </c>
      <c r="H2659" t="s">
        <v>498</v>
      </c>
      <c r="I2659" t="s">
        <v>781</v>
      </c>
      <c r="J2659" t="s">
        <v>782</v>
      </c>
      <c r="K2659" t="s">
        <v>783</v>
      </c>
      <c r="L2659" t="s">
        <v>722</v>
      </c>
      <c r="M2659" t="s">
        <v>784</v>
      </c>
      <c r="N2659" t="s">
        <v>785</v>
      </c>
      <c r="O2659" t="s">
        <v>223</v>
      </c>
      <c r="P2659" t="s">
        <v>786</v>
      </c>
      <c r="Q2659" t="s">
        <v>787</v>
      </c>
      <c r="R2659" t="s">
        <v>788</v>
      </c>
    </row>
    <row r="2660" spans="1:18">
      <c r="A2660" t="s">
        <v>197</v>
      </c>
      <c r="B2660">
        <v>660</v>
      </c>
      <c r="C2660" t="s">
        <v>198</v>
      </c>
      <c r="D2660">
        <v>660</v>
      </c>
      <c r="E2660" s="1">
        <v>2.1000000000000001E-2</v>
      </c>
      <c r="F2660" s="1">
        <v>8.0999999999999996E-3</v>
      </c>
      <c r="G2660" s="1">
        <v>5.4000000000000003E-3</v>
      </c>
      <c r="H2660" s="1">
        <v>0.42799999999999999</v>
      </c>
      <c r="I2660" s="1">
        <v>8.5699999999999998E-2</v>
      </c>
      <c r="J2660" s="1">
        <v>4.7100000000000003E-2</v>
      </c>
      <c r="K2660" s="1">
        <v>7.6700000000000004E-2</v>
      </c>
      <c r="L2660" s="1">
        <v>1.0699999999999999E-2</v>
      </c>
      <c r="M2660" s="1">
        <v>0.18279999999999999</v>
      </c>
      <c r="N2660" s="1">
        <v>0.27879999999999999</v>
      </c>
      <c r="O2660" s="1">
        <v>5.7000000000000002E-3</v>
      </c>
      <c r="P2660" s="1">
        <v>0.14660000000000001</v>
      </c>
      <c r="Q2660" s="1">
        <v>0.10580000000000001</v>
      </c>
      <c r="R2660" s="1">
        <v>0.14130000000000001</v>
      </c>
    </row>
    <row r="2661" spans="1:18">
      <c r="A2661" t="s">
        <v>204</v>
      </c>
      <c r="B2661">
        <v>65</v>
      </c>
      <c r="C2661" t="s">
        <v>205</v>
      </c>
      <c r="D2661">
        <v>660</v>
      </c>
      <c r="E2661" s="1">
        <v>5.8999999999999999E-3</v>
      </c>
      <c r="F2661" s="1">
        <v>3.0000000000000001E-3</v>
      </c>
      <c r="G2661" s="1">
        <v>3.0000000000000001E-3</v>
      </c>
      <c r="H2661" s="1">
        <v>0.35849999999999999</v>
      </c>
      <c r="I2661" s="1">
        <v>1.7600000000000001E-2</v>
      </c>
      <c r="J2661" s="1">
        <v>5.5500000000000001E-2</v>
      </c>
      <c r="K2661" s="1">
        <v>0.13739999999999999</v>
      </c>
      <c r="L2661" s="1">
        <v>3.0000000000000001E-3</v>
      </c>
      <c r="M2661" s="1">
        <v>0.10929999999999999</v>
      </c>
      <c r="N2661" s="1">
        <v>0.504</v>
      </c>
      <c r="O2661" s="1">
        <v>3.0000000000000001E-3</v>
      </c>
      <c r="P2661" s="1">
        <v>0.1384</v>
      </c>
      <c r="Q2661" s="1">
        <v>0.19889999999999999</v>
      </c>
      <c r="R2661" s="1">
        <v>0.1865</v>
      </c>
    </row>
    <row r="2662" spans="1:18">
      <c r="A2662" t="s">
        <v>204</v>
      </c>
      <c r="B2662">
        <v>57</v>
      </c>
      <c r="C2662" t="s">
        <v>206</v>
      </c>
      <c r="D2662">
        <v>660</v>
      </c>
      <c r="E2662" s="1">
        <v>0.1203</v>
      </c>
      <c r="F2662" s="1">
        <v>6.4600000000000005E-2</v>
      </c>
      <c r="G2662" s="1">
        <v>8.5099999999999995E-2</v>
      </c>
      <c r="H2662" s="1">
        <v>0.35189999999999999</v>
      </c>
      <c r="I2662" s="1">
        <v>0.21110000000000001</v>
      </c>
      <c r="J2662" s="1">
        <v>1.47E-2</v>
      </c>
      <c r="K2662" s="1">
        <v>1.47E-2</v>
      </c>
      <c r="M2662" s="1">
        <v>0.25519999999999998</v>
      </c>
      <c r="N2662" s="1">
        <v>0.14960000000000001</v>
      </c>
      <c r="P2662" s="1">
        <v>0.36349999999999999</v>
      </c>
      <c r="Q2662" s="1">
        <v>0.18179999999999999</v>
      </c>
      <c r="R2662" s="1">
        <v>8.5099999999999995E-2</v>
      </c>
    </row>
    <row r="2663" spans="1:18">
      <c r="A2663" t="s">
        <v>204</v>
      </c>
      <c r="B2663">
        <v>91</v>
      </c>
      <c r="C2663" t="s">
        <v>207</v>
      </c>
      <c r="D2663">
        <v>660</v>
      </c>
      <c r="E2663" s="1">
        <v>1.2E-2</v>
      </c>
      <c r="H2663" s="1">
        <v>0.4884</v>
      </c>
      <c r="I2663" s="1">
        <v>2.4899999999999999E-2</v>
      </c>
      <c r="J2663" s="1">
        <v>7.7000000000000002E-3</v>
      </c>
      <c r="K2663" s="1">
        <v>1E-3</v>
      </c>
      <c r="L2663" s="1">
        <v>6.7000000000000002E-3</v>
      </c>
      <c r="M2663" s="1">
        <v>0.1845</v>
      </c>
      <c r="N2663" s="1">
        <v>0.13220000000000001</v>
      </c>
      <c r="P2663" s="1">
        <v>0.151</v>
      </c>
      <c r="Q2663" s="1">
        <v>0.03</v>
      </c>
      <c r="R2663" s="1">
        <v>0.31819999999999998</v>
      </c>
    </row>
    <row r="2664" spans="1:18">
      <c r="A2664" t="s">
        <v>204</v>
      </c>
      <c r="B2664">
        <v>64</v>
      </c>
      <c r="C2664" t="s">
        <v>208</v>
      </c>
      <c r="D2664">
        <v>660</v>
      </c>
      <c r="E2664" s="1">
        <v>4.6899999999999997E-2</v>
      </c>
      <c r="F2664" s="1">
        <v>1.5599999999999999E-2</v>
      </c>
      <c r="G2664" s="1">
        <v>1.5599999999999999E-2</v>
      </c>
      <c r="H2664" s="1">
        <v>0.375</v>
      </c>
      <c r="I2664" s="1">
        <v>0.1875</v>
      </c>
      <c r="J2664" s="1">
        <v>6.25E-2</v>
      </c>
      <c r="K2664" s="1">
        <v>9.3799999999999994E-2</v>
      </c>
      <c r="M2664" s="1">
        <v>0.2344</v>
      </c>
      <c r="N2664" s="1">
        <v>0.28120000000000001</v>
      </c>
      <c r="P2664" s="1">
        <v>0.2031</v>
      </c>
      <c r="Q2664" s="1">
        <v>0.125</v>
      </c>
      <c r="R2664" s="1">
        <v>6.25E-2</v>
      </c>
    </row>
    <row r="2665" spans="1:18">
      <c r="A2665" t="s">
        <v>199</v>
      </c>
      <c r="B2665">
        <v>46</v>
      </c>
      <c r="C2665" t="s">
        <v>200</v>
      </c>
      <c r="D2665">
        <v>660</v>
      </c>
      <c r="E2665" s="1">
        <v>9.1000000000000004E-3</v>
      </c>
      <c r="F2665" s="1">
        <v>6.0000000000000001E-3</v>
      </c>
      <c r="G2665" s="1">
        <v>6.0000000000000001E-3</v>
      </c>
      <c r="H2665" s="1">
        <v>0.28860000000000002</v>
      </c>
      <c r="I2665" s="1">
        <v>5.96E-2</v>
      </c>
      <c r="J2665" s="1">
        <v>3.0000000000000001E-3</v>
      </c>
      <c r="K2665" s="1">
        <v>9.1999999999999998E-2</v>
      </c>
      <c r="M2665" s="1">
        <v>0.11609999999999999</v>
      </c>
      <c r="N2665" s="1">
        <v>0.45889999999999997</v>
      </c>
      <c r="O2665" s="1">
        <v>3.0000000000000001E-3</v>
      </c>
      <c r="P2665" s="1">
        <v>4.8399999999999999E-2</v>
      </c>
      <c r="Q2665" s="1">
        <v>3.0200000000000001E-2</v>
      </c>
      <c r="R2665" s="1">
        <v>0.33150000000000002</v>
      </c>
    </row>
    <row r="2666" spans="1:18">
      <c r="A2666" t="s">
        <v>199</v>
      </c>
      <c r="B2666">
        <v>65</v>
      </c>
      <c r="C2666" t="s">
        <v>201</v>
      </c>
      <c r="D2666">
        <v>660</v>
      </c>
      <c r="E2666" s="1">
        <v>3.0800000000000001E-2</v>
      </c>
      <c r="F2666" s="1">
        <v>1.54E-2</v>
      </c>
      <c r="H2666" s="1">
        <v>0.47689999999999999</v>
      </c>
      <c r="I2666" s="1">
        <v>7.6899999999999996E-2</v>
      </c>
      <c r="J2666" s="1">
        <v>3.0800000000000001E-2</v>
      </c>
      <c r="K2666" s="1">
        <v>9.2299999999999993E-2</v>
      </c>
      <c r="M2666" s="1">
        <v>0.18459999999999999</v>
      </c>
      <c r="N2666" s="1">
        <v>0.2462</v>
      </c>
      <c r="P2666" s="1">
        <v>0.1077</v>
      </c>
      <c r="Q2666" s="1">
        <v>9.2299999999999993E-2</v>
      </c>
      <c r="R2666" s="1">
        <v>9.2299999999999993E-2</v>
      </c>
    </row>
    <row r="2667" spans="1:18">
      <c r="A2667" t="s">
        <v>199</v>
      </c>
      <c r="B2667">
        <v>49</v>
      </c>
      <c r="C2667" t="s">
        <v>202</v>
      </c>
      <c r="D2667">
        <v>660</v>
      </c>
      <c r="H2667" s="1">
        <v>0.57220000000000004</v>
      </c>
      <c r="I2667" s="1">
        <v>9.9199999999999997E-2</v>
      </c>
      <c r="J2667" s="1">
        <v>0.1052</v>
      </c>
      <c r="K2667" s="1">
        <v>0.11749999999999999</v>
      </c>
      <c r="M2667" s="1">
        <v>0.1084</v>
      </c>
      <c r="N2667" s="1">
        <v>0.2586</v>
      </c>
      <c r="O2667" s="1">
        <v>1.8100000000000002E-2</v>
      </c>
      <c r="P2667" s="1">
        <v>2.7199999999999998E-2</v>
      </c>
      <c r="Q2667" s="1">
        <v>2.7199999999999998E-2</v>
      </c>
    </row>
    <row r="2668" spans="1:18">
      <c r="A2668" t="s">
        <v>199</v>
      </c>
      <c r="B2668">
        <v>47</v>
      </c>
      <c r="C2668" t="s">
        <v>203</v>
      </c>
      <c r="D2668">
        <v>660</v>
      </c>
      <c r="E2668" s="1">
        <v>0.11459999999999999</v>
      </c>
      <c r="F2668" s="1">
        <v>4.2299999999999997E-2</v>
      </c>
      <c r="G2668" s="1">
        <v>4.2299999999999997E-2</v>
      </c>
      <c r="H2668" s="1">
        <v>0.39250000000000002</v>
      </c>
      <c r="I2668" s="1">
        <v>0.14460000000000001</v>
      </c>
      <c r="J2668" s="1">
        <v>6.7000000000000004E-2</v>
      </c>
      <c r="L2668" s="1">
        <v>4.2299999999999997E-2</v>
      </c>
      <c r="M2668" s="1">
        <v>0.25590000000000002</v>
      </c>
      <c r="N2668" s="1">
        <v>0.13020000000000001</v>
      </c>
      <c r="O2668" s="1">
        <v>1.4999999999999999E-2</v>
      </c>
      <c r="P2668" s="1">
        <v>0.30930000000000002</v>
      </c>
      <c r="Q2668" s="1">
        <v>7.2300000000000003E-2</v>
      </c>
      <c r="R2668" s="1">
        <v>6.9000000000000006E-2</v>
      </c>
    </row>
    <row r="2669" spans="1:18">
      <c r="A2669" t="s">
        <v>209</v>
      </c>
      <c r="B2669">
        <v>57</v>
      </c>
      <c r="C2669" t="s">
        <v>210</v>
      </c>
      <c r="D2669">
        <v>660</v>
      </c>
      <c r="E2669" s="1">
        <v>0.14699999999999999</v>
      </c>
      <c r="F2669" s="1">
        <v>4.6199999999999998E-2</v>
      </c>
      <c r="G2669" s="1">
        <v>2.3099999999999999E-2</v>
      </c>
      <c r="H2669" s="1">
        <v>0.29270000000000002</v>
      </c>
      <c r="I2669" s="1">
        <v>0.13739999999999999</v>
      </c>
      <c r="J2669" s="1">
        <v>4.6199999999999998E-2</v>
      </c>
      <c r="L2669" s="1">
        <v>4.6199999999999998E-2</v>
      </c>
      <c r="M2669" s="1">
        <v>0.25159999999999999</v>
      </c>
      <c r="N2669" s="1">
        <v>9.11E-2</v>
      </c>
      <c r="O2669" s="1">
        <v>4.4900000000000002E-2</v>
      </c>
      <c r="P2669" s="1">
        <v>0.3659</v>
      </c>
      <c r="Q2669" s="1">
        <v>0.17269999999999999</v>
      </c>
      <c r="R2669" s="1">
        <v>6.8000000000000005E-2</v>
      </c>
    </row>
    <row r="2670" spans="1:18">
      <c r="A2670" t="s">
        <v>209</v>
      </c>
      <c r="B2670">
        <v>66</v>
      </c>
      <c r="C2670" t="s">
        <v>211</v>
      </c>
      <c r="D2670">
        <v>660</v>
      </c>
      <c r="E2670" s="1">
        <v>4.2999999999999997E-2</v>
      </c>
      <c r="F2670" s="1">
        <v>1.83E-2</v>
      </c>
      <c r="G2670" s="1">
        <v>1.83E-2</v>
      </c>
      <c r="H2670" s="1">
        <v>0.40189999999999998</v>
      </c>
      <c r="I2670" s="1">
        <v>0.187</v>
      </c>
      <c r="J2670" s="1">
        <v>3.3300000000000003E-2</v>
      </c>
      <c r="K2670" s="1">
        <v>5.4800000000000001E-2</v>
      </c>
      <c r="L2670" s="1">
        <v>1.83E-2</v>
      </c>
      <c r="M2670" s="1">
        <v>0.29020000000000001</v>
      </c>
      <c r="N2670" s="1">
        <v>0.1923</v>
      </c>
      <c r="O2670" s="1">
        <v>6.4000000000000003E-3</v>
      </c>
      <c r="P2670" s="1">
        <v>0.19409999999999999</v>
      </c>
      <c r="Q2670" s="1">
        <v>3.1099999999999999E-2</v>
      </c>
      <c r="R2670" s="1">
        <v>6.13E-2</v>
      </c>
    </row>
    <row r="2671" spans="1:18">
      <c r="A2671" t="s">
        <v>209</v>
      </c>
      <c r="B2671">
        <v>53</v>
      </c>
      <c r="C2671" t="s">
        <v>212</v>
      </c>
      <c r="D2671">
        <v>660</v>
      </c>
      <c r="H2671" s="1">
        <v>0.34770000000000001</v>
      </c>
      <c r="I2671" s="1">
        <v>0.21029999999999999</v>
      </c>
      <c r="J2671" s="1">
        <v>7.4300000000000005E-2</v>
      </c>
      <c r="K2671" s="1">
        <v>4.2099999999999999E-2</v>
      </c>
      <c r="L2671" s="1">
        <v>6.3100000000000003E-2</v>
      </c>
      <c r="M2671" s="1">
        <v>0.31540000000000001</v>
      </c>
      <c r="N2671" s="1">
        <v>0.18970000000000001</v>
      </c>
      <c r="O2671" s="1">
        <v>2.1000000000000001E-2</v>
      </c>
      <c r="P2671" s="1">
        <v>0.21029999999999999</v>
      </c>
      <c r="Q2671" s="1">
        <v>0.16819999999999999</v>
      </c>
      <c r="R2671" s="1">
        <v>1.7399999999999999E-2</v>
      </c>
    </row>
    <row r="2673" spans="1:21">
      <c r="A2673" t="s">
        <v>789</v>
      </c>
    </row>
    <row r="2674" spans="1:21">
      <c r="A2674" t="s">
        <v>189</v>
      </c>
      <c r="B2674" t="s">
        <v>195</v>
      </c>
      <c r="C2674" t="s">
        <v>190</v>
      </c>
      <c r="D2674" t="s">
        <v>196</v>
      </c>
      <c r="E2674" t="s">
        <v>735</v>
      </c>
      <c r="F2674" t="s">
        <v>771</v>
      </c>
      <c r="G2674" t="s">
        <v>736</v>
      </c>
      <c r="H2674" t="s">
        <v>737</v>
      </c>
      <c r="I2674" t="s">
        <v>228</v>
      </c>
      <c r="J2674" t="s">
        <v>738</v>
      </c>
      <c r="K2674" t="s">
        <v>276</v>
      </c>
      <c r="L2674" t="s">
        <v>278</v>
      </c>
      <c r="M2674" t="s">
        <v>223</v>
      </c>
      <c r="N2674" t="s">
        <v>740</v>
      </c>
      <c r="O2674" t="s">
        <v>741</v>
      </c>
      <c r="P2674" t="s">
        <v>742</v>
      </c>
      <c r="Q2674" t="s">
        <v>743</v>
      </c>
      <c r="R2674" t="s">
        <v>744</v>
      </c>
      <c r="S2674" t="s">
        <v>745</v>
      </c>
      <c r="T2674" t="s">
        <v>747</v>
      </c>
      <c r="U2674" t="s">
        <v>748</v>
      </c>
    </row>
    <row r="2675" spans="1:21">
      <c r="A2675" t="s">
        <v>197</v>
      </c>
      <c r="B2675">
        <v>967</v>
      </c>
      <c r="C2675" t="s">
        <v>198</v>
      </c>
      <c r="D2675">
        <v>967</v>
      </c>
      <c r="E2675" s="1">
        <v>6.9500000000000006E-2</v>
      </c>
      <c r="F2675" s="1">
        <v>1E-4</v>
      </c>
      <c r="G2675" s="1">
        <v>0.34660000000000002</v>
      </c>
      <c r="H2675" s="1">
        <v>6.0000000000000001E-3</v>
      </c>
      <c r="I2675" s="1">
        <v>0.1038</v>
      </c>
      <c r="J2675" s="1">
        <v>2.0000000000000001E-4</v>
      </c>
      <c r="K2675" s="1">
        <v>0.2087</v>
      </c>
      <c r="L2675" s="1">
        <v>1.6999999999999999E-3</v>
      </c>
      <c r="M2675" s="1">
        <v>1E-4</v>
      </c>
      <c r="N2675" s="1">
        <v>3.5000000000000001E-3</v>
      </c>
      <c r="O2675" s="1">
        <v>5.5599999999999997E-2</v>
      </c>
      <c r="P2675" s="1">
        <v>1.5299999999999999E-2</v>
      </c>
      <c r="Q2675" s="1">
        <v>8.6E-3</v>
      </c>
      <c r="R2675" s="1">
        <v>2.7000000000000001E-3</v>
      </c>
      <c r="S2675" s="1">
        <v>3.3999999999999998E-3</v>
      </c>
      <c r="T2675" s="1">
        <v>0.5</v>
      </c>
      <c r="U2675" s="1">
        <v>0.4597</v>
      </c>
    </row>
    <row r="2676" spans="1:21">
      <c r="A2676" t="s">
        <v>204</v>
      </c>
      <c r="B2676">
        <v>91</v>
      </c>
      <c r="C2676" t="s">
        <v>205</v>
      </c>
      <c r="D2676">
        <v>967</v>
      </c>
      <c r="E2676" s="1">
        <v>8.6900000000000005E-2</v>
      </c>
      <c r="G2676" s="1">
        <v>0.36890000000000001</v>
      </c>
      <c r="I2676" s="1">
        <v>1.2200000000000001E-2</v>
      </c>
      <c r="K2676" s="1">
        <v>0.2316</v>
      </c>
      <c r="O2676" s="1">
        <v>3.2000000000000002E-3</v>
      </c>
      <c r="P2676" s="1">
        <v>3.9199999999999999E-2</v>
      </c>
      <c r="Q2676" s="1">
        <v>3.6700000000000003E-2</v>
      </c>
      <c r="S2676" s="1">
        <v>2.3999999999999998E-3</v>
      </c>
      <c r="T2676" s="1">
        <v>0.66469999999999996</v>
      </c>
      <c r="U2676" s="1">
        <v>0.50849999999999995</v>
      </c>
    </row>
    <row r="2677" spans="1:21">
      <c r="A2677" t="s">
        <v>204</v>
      </c>
      <c r="B2677">
        <v>72</v>
      </c>
      <c r="C2677" t="s">
        <v>206</v>
      </c>
      <c r="D2677">
        <v>967</v>
      </c>
      <c r="E2677" s="1">
        <v>2.7900000000000001E-2</v>
      </c>
      <c r="G2677" s="1">
        <v>0.1628</v>
      </c>
      <c r="I2677" s="1">
        <v>0.15820000000000001</v>
      </c>
      <c r="J2677" s="1">
        <v>1.6299999999999999E-2</v>
      </c>
      <c r="K2677" s="1">
        <v>0.1512</v>
      </c>
      <c r="L2677" s="1">
        <v>1.6299999999999999E-2</v>
      </c>
      <c r="O2677" s="1">
        <v>1.6299999999999999E-2</v>
      </c>
      <c r="P2677" s="1">
        <v>1.6299999999999999E-2</v>
      </c>
      <c r="T2677" s="1">
        <v>0.52559999999999996</v>
      </c>
      <c r="U2677" s="1">
        <v>0.6139</v>
      </c>
    </row>
    <row r="2678" spans="1:21">
      <c r="A2678" t="s">
        <v>204</v>
      </c>
      <c r="B2678">
        <v>131</v>
      </c>
      <c r="C2678" t="s">
        <v>207</v>
      </c>
      <c r="D2678">
        <v>967</v>
      </c>
      <c r="E2678" s="1">
        <v>0.1492</v>
      </c>
      <c r="G2678" s="1">
        <v>0.50109999999999999</v>
      </c>
      <c r="H2678" s="1">
        <v>4.8999999999999998E-3</v>
      </c>
      <c r="I2678" s="1">
        <v>6.5100000000000005E-2</v>
      </c>
      <c r="K2678" s="1">
        <v>7.7799999999999994E-2</v>
      </c>
      <c r="N2678" s="1">
        <v>3.5999999999999999E-3</v>
      </c>
      <c r="O2678" s="1">
        <v>0.24479999999999999</v>
      </c>
      <c r="P2678" s="1">
        <v>8.5000000000000006E-3</v>
      </c>
      <c r="T2678" s="1">
        <v>0.69389999999999996</v>
      </c>
      <c r="U2678" s="1">
        <v>0.73929999999999996</v>
      </c>
    </row>
    <row r="2679" spans="1:21">
      <c r="A2679" t="s">
        <v>204</v>
      </c>
      <c r="B2679">
        <v>74</v>
      </c>
      <c r="C2679" t="s">
        <v>208</v>
      </c>
      <c r="D2679">
        <v>967</v>
      </c>
      <c r="E2679" s="1">
        <v>1.35E-2</v>
      </c>
      <c r="G2679" s="1">
        <v>0.32429999999999998</v>
      </c>
      <c r="H2679" s="1">
        <v>1.35E-2</v>
      </c>
      <c r="I2679" s="1">
        <v>9.4600000000000004E-2</v>
      </c>
      <c r="K2679" s="1">
        <v>6.7599999999999993E-2</v>
      </c>
      <c r="S2679" s="1">
        <v>1.35E-2</v>
      </c>
      <c r="T2679" s="1">
        <v>0.70269999999999999</v>
      </c>
      <c r="U2679" s="1">
        <v>0.67569999999999997</v>
      </c>
    </row>
    <row r="2680" spans="1:21">
      <c r="A2680" t="s">
        <v>199</v>
      </c>
      <c r="B2680">
        <v>73</v>
      </c>
      <c r="C2680" t="s">
        <v>200</v>
      </c>
      <c r="D2680">
        <v>967</v>
      </c>
      <c r="E2680" s="1">
        <v>1.5299999999999999E-2</v>
      </c>
      <c r="G2680" s="1">
        <v>0.39960000000000001</v>
      </c>
      <c r="H2680" s="1">
        <v>1.5299999999999999E-2</v>
      </c>
      <c r="I2680" s="1">
        <v>6.6900000000000001E-2</v>
      </c>
      <c r="K2680" s="1">
        <v>0.2606</v>
      </c>
      <c r="N2680" s="1">
        <v>9.4399999999999998E-2</v>
      </c>
      <c r="O2680" s="1">
        <v>9.2799999999999994E-2</v>
      </c>
      <c r="T2680" s="1">
        <v>0.3453</v>
      </c>
      <c r="U2680" s="1">
        <v>0.40129999999999999</v>
      </c>
    </row>
    <row r="2681" spans="1:21">
      <c r="A2681" t="s">
        <v>199</v>
      </c>
      <c r="B2681">
        <v>95</v>
      </c>
      <c r="C2681" t="s">
        <v>201</v>
      </c>
      <c r="D2681">
        <v>967</v>
      </c>
      <c r="E2681" s="1">
        <v>5.2600000000000001E-2</v>
      </c>
      <c r="G2681" s="1">
        <v>0.31580000000000003</v>
      </c>
      <c r="H2681" s="1">
        <v>2.1100000000000001E-2</v>
      </c>
      <c r="I2681" s="1">
        <v>0.22109999999999999</v>
      </c>
      <c r="K2681" s="1">
        <v>0.16839999999999999</v>
      </c>
      <c r="O2681" s="1">
        <v>5.2600000000000001E-2</v>
      </c>
      <c r="P2681" s="1">
        <v>2.1100000000000001E-2</v>
      </c>
      <c r="T2681" s="1">
        <v>0.3579</v>
      </c>
      <c r="U2681" s="1">
        <v>0.30530000000000002</v>
      </c>
    </row>
    <row r="2682" spans="1:21">
      <c r="A2682" t="s">
        <v>199</v>
      </c>
      <c r="B2682">
        <v>98</v>
      </c>
      <c r="C2682" t="s">
        <v>202</v>
      </c>
      <c r="D2682">
        <v>967</v>
      </c>
      <c r="E2682" s="1">
        <v>1.6899999999999998E-2</v>
      </c>
      <c r="G2682" s="1">
        <v>0.23050000000000001</v>
      </c>
      <c r="I2682" s="1">
        <v>0.1132</v>
      </c>
      <c r="K2682" s="1">
        <v>0.41520000000000001</v>
      </c>
      <c r="O2682" s="1">
        <v>1.38E-2</v>
      </c>
      <c r="R2682" s="1">
        <v>1.35E-2</v>
      </c>
      <c r="S2682" s="1">
        <v>1.35E-2</v>
      </c>
      <c r="T2682" s="1">
        <v>0.30020000000000002</v>
      </c>
      <c r="U2682" s="1">
        <v>0.28110000000000002</v>
      </c>
    </row>
    <row r="2683" spans="1:21">
      <c r="A2683" t="s">
        <v>199</v>
      </c>
      <c r="B2683">
        <v>77</v>
      </c>
      <c r="C2683" t="s">
        <v>203</v>
      </c>
      <c r="D2683">
        <v>967</v>
      </c>
      <c r="G2683" s="1">
        <v>0.1065</v>
      </c>
      <c r="I2683" s="1">
        <v>0.17180000000000001</v>
      </c>
      <c r="K2683" s="1">
        <v>0.29160000000000003</v>
      </c>
      <c r="O2683" s="1">
        <v>9.4999999999999998E-3</v>
      </c>
      <c r="Q2683" s="1">
        <v>2.69E-2</v>
      </c>
      <c r="T2683" s="1">
        <v>0.45519999999999999</v>
      </c>
      <c r="U2683" s="1">
        <v>0.38879999999999998</v>
      </c>
    </row>
    <row r="2684" spans="1:21">
      <c r="A2684" t="s">
        <v>209</v>
      </c>
      <c r="B2684">
        <v>74</v>
      </c>
      <c r="C2684" t="s">
        <v>210</v>
      </c>
      <c r="D2684">
        <v>967</v>
      </c>
      <c r="F2684" s="1">
        <v>1.77E-2</v>
      </c>
      <c r="G2684" s="1">
        <v>0.1384</v>
      </c>
      <c r="I2684" s="1">
        <v>0.14779999999999999</v>
      </c>
      <c r="K2684" s="1">
        <v>0.23419999999999999</v>
      </c>
      <c r="M2684" s="1">
        <v>1.77E-2</v>
      </c>
      <c r="N2684" s="1">
        <v>2.5000000000000001E-2</v>
      </c>
      <c r="T2684" s="1">
        <v>0.49730000000000002</v>
      </c>
      <c r="U2684" s="1">
        <v>0.4536</v>
      </c>
    </row>
    <row r="2685" spans="1:21">
      <c r="A2685" t="s">
        <v>209</v>
      </c>
      <c r="B2685">
        <v>97</v>
      </c>
      <c r="C2685" t="s">
        <v>211</v>
      </c>
      <c r="D2685">
        <v>967</v>
      </c>
      <c r="E2685" s="1">
        <v>0.13819999999999999</v>
      </c>
      <c r="G2685" s="1">
        <v>0.35020000000000001</v>
      </c>
      <c r="I2685" s="1">
        <v>0.1764</v>
      </c>
      <c r="K2685" s="1">
        <v>0.20960000000000001</v>
      </c>
      <c r="N2685" s="1">
        <v>4.1999999999999997E-3</v>
      </c>
      <c r="O2685" s="1">
        <v>1.2699999999999999E-2</v>
      </c>
      <c r="P2685" s="1">
        <v>4.1999999999999997E-3</v>
      </c>
      <c r="R2685" s="1">
        <v>1.52E-2</v>
      </c>
      <c r="T2685" s="1">
        <v>0.33860000000000001</v>
      </c>
      <c r="U2685" s="1">
        <v>0.3574</v>
      </c>
    </row>
    <row r="2686" spans="1:21">
      <c r="A2686" t="s">
        <v>209</v>
      </c>
      <c r="B2686">
        <v>85</v>
      </c>
      <c r="C2686" t="s">
        <v>212</v>
      </c>
      <c r="D2686">
        <v>967</v>
      </c>
      <c r="E2686" s="1">
        <v>7.2499999999999995E-2</v>
      </c>
      <c r="G2686" s="1">
        <v>0.40849999999999997</v>
      </c>
      <c r="I2686" s="1">
        <v>6.7500000000000004E-2</v>
      </c>
      <c r="K2686" s="1">
        <v>0.18590000000000001</v>
      </c>
      <c r="L2686" s="1">
        <v>1.4E-2</v>
      </c>
      <c r="O2686" s="1">
        <v>1.4E-2</v>
      </c>
      <c r="P2686" s="1">
        <v>1.4E-2</v>
      </c>
      <c r="T2686" s="1">
        <v>0.43359999999999999</v>
      </c>
      <c r="U2686" s="1">
        <v>0.42199999999999999</v>
      </c>
    </row>
    <row r="2688" spans="1:21">
      <c r="A2688" t="s">
        <v>790</v>
      </c>
    </row>
    <row r="2689" spans="1:22">
      <c r="A2689" t="s">
        <v>214</v>
      </c>
      <c r="B2689" t="s">
        <v>189</v>
      </c>
      <c r="C2689" t="s">
        <v>195</v>
      </c>
      <c r="D2689" t="s">
        <v>190</v>
      </c>
      <c r="E2689" t="s">
        <v>196</v>
      </c>
      <c r="F2689" t="s">
        <v>735</v>
      </c>
      <c r="G2689" t="s">
        <v>771</v>
      </c>
      <c r="H2689" t="s">
        <v>736</v>
      </c>
      <c r="I2689" t="s">
        <v>737</v>
      </c>
      <c r="J2689" t="s">
        <v>228</v>
      </c>
      <c r="K2689" t="s">
        <v>738</v>
      </c>
      <c r="L2689" t="s">
        <v>276</v>
      </c>
      <c r="M2689" t="s">
        <v>278</v>
      </c>
      <c r="N2689" t="s">
        <v>223</v>
      </c>
      <c r="O2689" t="s">
        <v>740</v>
      </c>
      <c r="P2689" t="s">
        <v>741</v>
      </c>
      <c r="Q2689" t="s">
        <v>742</v>
      </c>
      <c r="R2689" t="s">
        <v>743</v>
      </c>
      <c r="S2689" t="s">
        <v>744</v>
      </c>
      <c r="T2689" t="s">
        <v>745</v>
      </c>
      <c r="U2689" t="s">
        <v>747</v>
      </c>
      <c r="V2689" t="s">
        <v>748</v>
      </c>
    </row>
    <row r="2690" spans="1:22">
      <c r="A2690" t="s">
        <v>198</v>
      </c>
      <c r="B2690" t="s">
        <v>197</v>
      </c>
      <c r="C2690">
        <v>967</v>
      </c>
      <c r="D2690" t="s">
        <v>198</v>
      </c>
      <c r="E2690">
        <v>967</v>
      </c>
      <c r="F2690" s="1">
        <v>6.9500000000000006E-2</v>
      </c>
      <c r="G2690" s="1">
        <v>1E-4</v>
      </c>
      <c r="H2690" s="1">
        <v>0.34660000000000002</v>
      </c>
      <c r="I2690" s="1">
        <v>6.0000000000000001E-3</v>
      </c>
      <c r="J2690" s="1">
        <v>0.1038</v>
      </c>
      <c r="K2690" s="1">
        <v>2.0000000000000001E-4</v>
      </c>
      <c r="L2690" s="1">
        <v>0.2087</v>
      </c>
      <c r="M2690" s="1">
        <v>1.6999999999999999E-3</v>
      </c>
      <c r="N2690" s="1">
        <v>1E-4</v>
      </c>
      <c r="O2690" s="1">
        <v>3.5000000000000001E-3</v>
      </c>
      <c r="P2690" s="1">
        <v>5.5599999999999997E-2</v>
      </c>
      <c r="Q2690" s="1">
        <v>1.5299999999999999E-2</v>
      </c>
      <c r="R2690" s="1">
        <v>8.6E-3</v>
      </c>
      <c r="S2690" s="1">
        <v>2.7000000000000001E-3</v>
      </c>
      <c r="T2690" s="1">
        <v>3.3999999999999998E-3</v>
      </c>
      <c r="U2690" s="1">
        <v>0.5</v>
      </c>
      <c r="V2690" s="1">
        <v>0.4597</v>
      </c>
    </row>
    <row r="2691" spans="1:22" s="26" customFormat="1">
      <c r="A2691" s="26" t="s">
        <v>217</v>
      </c>
      <c r="B2691" s="26" t="s">
        <v>204</v>
      </c>
      <c r="C2691" s="26">
        <v>15</v>
      </c>
      <c r="D2691" s="26" t="s">
        <v>208</v>
      </c>
      <c r="E2691" s="26">
        <v>967</v>
      </c>
      <c r="H2691" s="27">
        <v>0.2</v>
      </c>
      <c r="J2691" s="27">
        <v>6.6699999999999995E-2</v>
      </c>
      <c r="L2691" s="27">
        <v>0.1333</v>
      </c>
      <c r="U2691" s="27">
        <v>0.73329999999999995</v>
      </c>
      <c r="V2691" s="27">
        <v>0.66669999999999996</v>
      </c>
    </row>
    <row r="2692" spans="1:22" s="26" customFormat="1">
      <c r="A2692" s="26" t="s">
        <v>217</v>
      </c>
      <c r="B2692" s="26" t="s">
        <v>204</v>
      </c>
      <c r="C2692" s="26">
        <v>27</v>
      </c>
      <c r="D2692" s="26" t="s">
        <v>205</v>
      </c>
      <c r="E2692" s="26">
        <v>967</v>
      </c>
      <c r="F2692" s="27">
        <v>5.57E-2</v>
      </c>
      <c r="H2692" s="27">
        <v>0.49769999999999998</v>
      </c>
      <c r="L2692" s="27">
        <v>0.3392</v>
      </c>
      <c r="P2692" s="27">
        <v>1.32E-2</v>
      </c>
      <c r="U2692" s="27">
        <v>0.43390000000000001</v>
      </c>
      <c r="V2692" s="27">
        <v>0.37819999999999998</v>
      </c>
    </row>
    <row r="2693" spans="1:22">
      <c r="A2693" t="s">
        <v>218</v>
      </c>
      <c r="B2693" t="s">
        <v>204</v>
      </c>
      <c r="C2693">
        <v>64</v>
      </c>
      <c r="D2693" t="s">
        <v>205</v>
      </c>
      <c r="E2693">
        <v>967</v>
      </c>
      <c r="F2693" s="1">
        <v>9.69E-2</v>
      </c>
      <c r="H2693" s="1">
        <v>0.32790000000000002</v>
      </c>
      <c r="J2693" s="1">
        <v>1.6E-2</v>
      </c>
      <c r="L2693" s="1">
        <v>0.19739999999999999</v>
      </c>
      <c r="Q2693" s="1">
        <v>5.16E-2</v>
      </c>
      <c r="R2693" s="1">
        <v>4.8399999999999999E-2</v>
      </c>
      <c r="T2693" s="1">
        <v>3.2000000000000002E-3</v>
      </c>
      <c r="U2693" s="1">
        <v>0.73809999999999998</v>
      </c>
      <c r="V2693" s="1">
        <v>0.54990000000000006</v>
      </c>
    </row>
    <row r="2694" spans="1:22" s="26" customFormat="1">
      <c r="A2694" s="26" t="s">
        <v>217</v>
      </c>
      <c r="B2694" s="26" t="s">
        <v>204</v>
      </c>
      <c r="C2694" s="26">
        <v>11</v>
      </c>
      <c r="D2694" s="26" t="s">
        <v>206</v>
      </c>
      <c r="E2694" s="26">
        <v>967</v>
      </c>
      <c r="F2694" s="27">
        <v>0.1966</v>
      </c>
      <c r="H2694" s="27">
        <v>0.27860000000000001</v>
      </c>
      <c r="L2694" s="27">
        <v>8.2000000000000003E-2</v>
      </c>
      <c r="P2694" s="27">
        <v>0.11459999999999999</v>
      </c>
      <c r="Q2694" s="27">
        <v>0.11459999999999999</v>
      </c>
      <c r="U2694" s="27">
        <v>0.63929999999999998</v>
      </c>
      <c r="V2694" s="27">
        <v>0.83589999999999998</v>
      </c>
    </row>
    <row r="2695" spans="1:22">
      <c r="A2695" t="s">
        <v>218</v>
      </c>
      <c r="B2695" t="s">
        <v>204</v>
      </c>
      <c r="C2695">
        <v>61</v>
      </c>
      <c r="D2695" t="s">
        <v>206</v>
      </c>
      <c r="E2695">
        <v>967</v>
      </c>
      <c r="H2695" s="1">
        <v>0.14369999999999999</v>
      </c>
      <c r="J2695" s="1">
        <v>0.18440000000000001</v>
      </c>
      <c r="K2695" s="1">
        <v>1.9E-2</v>
      </c>
      <c r="L2695" s="1">
        <v>0.16259999999999999</v>
      </c>
      <c r="M2695" s="1">
        <v>1.9E-2</v>
      </c>
      <c r="U2695" s="1">
        <v>0.50680000000000003</v>
      </c>
      <c r="V2695" s="1">
        <v>0.57720000000000005</v>
      </c>
    </row>
    <row r="2696" spans="1:22" s="26" customFormat="1">
      <c r="A2696" s="26" t="s">
        <v>217</v>
      </c>
      <c r="B2696" s="26" t="s">
        <v>204</v>
      </c>
      <c r="C2696" s="26">
        <v>23</v>
      </c>
      <c r="D2696" s="26" t="s">
        <v>207</v>
      </c>
      <c r="E2696" s="26">
        <v>967</v>
      </c>
      <c r="F2696" s="27">
        <v>0.35210000000000002</v>
      </c>
      <c r="H2696" s="27">
        <v>0.41889999999999999</v>
      </c>
      <c r="L2696" s="27">
        <v>8.6999999999999994E-3</v>
      </c>
      <c r="P2696" s="27">
        <v>0.3649</v>
      </c>
      <c r="U2696" s="27">
        <v>0.92759999999999998</v>
      </c>
      <c r="V2696" s="27">
        <v>0.92759999999999998</v>
      </c>
    </row>
    <row r="2697" spans="1:22">
      <c r="A2697" t="s">
        <v>218</v>
      </c>
      <c r="B2697" t="s">
        <v>204</v>
      </c>
      <c r="C2697">
        <v>108</v>
      </c>
      <c r="D2697" t="s">
        <v>207</v>
      </c>
      <c r="E2697">
        <v>967</v>
      </c>
      <c r="F2697" s="1">
        <v>7.5399999999999995E-2</v>
      </c>
      <c r="H2697" s="1">
        <v>0.53110000000000002</v>
      </c>
      <c r="I2697" s="1">
        <v>6.7000000000000002E-3</v>
      </c>
      <c r="J2697" s="1">
        <v>8.8700000000000001E-2</v>
      </c>
      <c r="L2697" s="1">
        <v>0.10299999999999999</v>
      </c>
      <c r="O2697" s="1">
        <v>4.8999999999999998E-3</v>
      </c>
      <c r="P2697" s="1">
        <v>0.20119999999999999</v>
      </c>
      <c r="Q2697" s="1">
        <v>1.1599999999999999E-2</v>
      </c>
      <c r="U2697" s="1">
        <v>0.60880000000000001</v>
      </c>
      <c r="V2697" s="1">
        <v>0.67090000000000005</v>
      </c>
    </row>
    <row r="2698" spans="1:22">
      <c r="A2698" t="s">
        <v>218</v>
      </c>
      <c r="B2698" t="s">
        <v>204</v>
      </c>
      <c r="C2698">
        <v>59</v>
      </c>
      <c r="D2698" t="s">
        <v>208</v>
      </c>
      <c r="E2698">
        <v>967</v>
      </c>
      <c r="F2698" s="1">
        <v>1.6899999999999998E-2</v>
      </c>
      <c r="H2698" s="1">
        <v>0.35589999999999999</v>
      </c>
      <c r="I2698" s="1">
        <v>1.6899999999999998E-2</v>
      </c>
      <c r="J2698" s="1">
        <v>0.1017</v>
      </c>
      <c r="L2698" s="1">
        <v>5.0799999999999998E-2</v>
      </c>
      <c r="T2698" s="1">
        <v>1.6899999999999998E-2</v>
      </c>
      <c r="U2698" s="1">
        <v>0.69489999999999996</v>
      </c>
      <c r="V2698" s="1">
        <v>0.67800000000000005</v>
      </c>
    </row>
    <row r="2699" spans="1:22" s="26" customFormat="1">
      <c r="A2699" s="26" t="s">
        <v>217</v>
      </c>
      <c r="B2699" s="26" t="s">
        <v>199</v>
      </c>
      <c r="C2699" s="26">
        <v>12</v>
      </c>
      <c r="D2699" s="26" t="s">
        <v>203</v>
      </c>
      <c r="E2699" s="26">
        <v>967</v>
      </c>
      <c r="H2699" s="27">
        <v>1.38E-2</v>
      </c>
      <c r="J2699" s="27">
        <v>0.12820000000000001</v>
      </c>
      <c r="L2699" s="27">
        <v>0.16370000000000001</v>
      </c>
      <c r="U2699" s="27">
        <v>0.69430000000000003</v>
      </c>
      <c r="V2699" s="27">
        <v>0.64890000000000003</v>
      </c>
    </row>
    <row r="2700" spans="1:22">
      <c r="A2700" t="s">
        <v>218</v>
      </c>
      <c r="B2700" t="s">
        <v>199</v>
      </c>
      <c r="C2700">
        <v>65</v>
      </c>
      <c r="D2700" t="s">
        <v>203</v>
      </c>
      <c r="E2700">
        <v>967</v>
      </c>
      <c r="H2700" s="1">
        <v>0.13100000000000001</v>
      </c>
      <c r="J2700" s="1">
        <v>0.18340000000000001</v>
      </c>
      <c r="L2700" s="1">
        <v>0.32550000000000001</v>
      </c>
      <c r="P2700" s="1">
        <v>1.2E-2</v>
      </c>
      <c r="R2700" s="1">
        <v>3.4000000000000002E-2</v>
      </c>
      <c r="U2700" s="1">
        <v>0.39190000000000003</v>
      </c>
      <c r="V2700" s="1">
        <v>0.31979999999999997</v>
      </c>
    </row>
    <row r="2701" spans="1:22">
      <c r="A2701" t="s">
        <v>218</v>
      </c>
      <c r="B2701" t="s">
        <v>199</v>
      </c>
      <c r="C2701">
        <v>71</v>
      </c>
      <c r="D2701" t="s">
        <v>202</v>
      </c>
      <c r="E2701">
        <v>967</v>
      </c>
      <c r="F2701" s="1">
        <v>2.3800000000000002E-2</v>
      </c>
      <c r="H2701" s="1">
        <v>0.16689999999999999</v>
      </c>
      <c r="J2701" s="1">
        <v>0.15920000000000001</v>
      </c>
      <c r="L2701" s="1">
        <v>0.4098</v>
      </c>
      <c r="P2701" s="1">
        <v>5.8999999999999999E-3</v>
      </c>
      <c r="S2701" s="1">
        <v>1.9099999999999999E-2</v>
      </c>
      <c r="T2701" s="1">
        <v>1.9099999999999999E-2</v>
      </c>
      <c r="U2701" s="1">
        <v>0.32819999999999999</v>
      </c>
      <c r="V2701" s="1">
        <v>0.30719999999999997</v>
      </c>
    </row>
    <row r="2702" spans="1:22" s="26" customFormat="1">
      <c r="A2702" s="26" t="s">
        <v>217</v>
      </c>
      <c r="B2702" s="26" t="s">
        <v>199</v>
      </c>
      <c r="C2702" s="26">
        <v>13</v>
      </c>
      <c r="D2702" s="26" t="s">
        <v>200</v>
      </c>
      <c r="E2702" s="26">
        <v>967</v>
      </c>
      <c r="H2702" s="27">
        <v>0.8085</v>
      </c>
      <c r="J2702" s="27">
        <v>1.0800000000000001E-2</v>
      </c>
      <c r="L2702" s="27">
        <v>3.2399999999999998E-2</v>
      </c>
      <c r="P2702" s="27">
        <v>0.31819999999999998</v>
      </c>
      <c r="U2702" s="27">
        <v>0.3614</v>
      </c>
      <c r="V2702" s="27">
        <v>0.6169</v>
      </c>
    </row>
    <row r="2703" spans="1:22">
      <c r="A2703" t="s">
        <v>218</v>
      </c>
      <c r="B2703" t="s">
        <v>199</v>
      </c>
      <c r="C2703">
        <v>79</v>
      </c>
      <c r="D2703" t="s">
        <v>201</v>
      </c>
      <c r="E2703">
        <v>967</v>
      </c>
      <c r="F2703" s="1">
        <v>1.2699999999999999E-2</v>
      </c>
      <c r="H2703" s="1">
        <v>0.29110000000000003</v>
      </c>
      <c r="J2703" s="1">
        <v>0.25319999999999998</v>
      </c>
      <c r="L2703" s="1">
        <v>0.1646</v>
      </c>
      <c r="P2703" s="1">
        <v>5.0599999999999999E-2</v>
      </c>
      <c r="Q2703" s="1">
        <v>1.2699999999999999E-2</v>
      </c>
      <c r="U2703" s="1">
        <v>0.3291</v>
      </c>
      <c r="V2703" s="1">
        <v>0.29110000000000003</v>
      </c>
    </row>
    <row r="2704" spans="1:22">
      <c r="A2704" t="s">
        <v>218</v>
      </c>
      <c r="B2704" t="s">
        <v>199</v>
      </c>
      <c r="C2704">
        <v>60</v>
      </c>
      <c r="D2704" t="s">
        <v>200</v>
      </c>
      <c r="E2704">
        <v>967</v>
      </c>
      <c r="F2704" s="1">
        <v>1.7899999999999999E-2</v>
      </c>
      <c r="H2704" s="1">
        <v>0.32979999999999998</v>
      </c>
      <c r="I2704" s="1">
        <v>1.7899999999999999E-2</v>
      </c>
      <c r="J2704" s="1">
        <v>7.6499999999999999E-2</v>
      </c>
      <c r="L2704" s="1">
        <v>0.29959999999999998</v>
      </c>
      <c r="O2704" s="1">
        <v>0.1105</v>
      </c>
      <c r="P2704" s="1">
        <v>5.4300000000000001E-2</v>
      </c>
      <c r="U2704" s="1">
        <v>0.34250000000000003</v>
      </c>
      <c r="V2704" s="1">
        <v>0.36449999999999999</v>
      </c>
    </row>
    <row r="2705" spans="1:22" s="26" customFormat="1">
      <c r="A2705" s="26" t="s">
        <v>217</v>
      </c>
      <c r="B2705" s="26" t="s">
        <v>199</v>
      </c>
      <c r="C2705" s="26">
        <v>27</v>
      </c>
      <c r="D2705" s="26" t="s">
        <v>202</v>
      </c>
      <c r="E2705" s="26">
        <v>967</v>
      </c>
      <c r="H2705" s="27">
        <v>0.38690000000000002</v>
      </c>
      <c r="L2705" s="27">
        <v>0.42849999999999999</v>
      </c>
      <c r="P2705" s="27">
        <v>3.3300000000000003E-2</v>
      </c>
      <c r="U2705" s="27">
        <v>0.23150000000000001</v>
      </c>
      <c r="V2705" s="27">
        <v>0.21690000000000001</v>
      </c>
    </row>
    <row r="2706" spans="1:22" s="26" customFormat="1">
      <c r="A2706" s="26" t="s">
        <v>217</v>
      </c>
      <c r="B2706" s="26" t="s">
        <v>199</v>
      </c>
      <c r="C2706" s="26">
        <v>16</v>
      </c>
      <c r="D2706" s="26" t="s">
        <v>201</v>
      </c>
      <c r="E2706" s="26">
        <v>967</v>
      </c>
      <c r="F2706" s="27">
        <v>0.25</v>
      </c>
      <c r="H2706" s="27">
        <v>0.4375</v>
      </c>
      <c r="I2706" s="27">
        <v>0.125</v>
      </c>
      <c r="J2706" s="27">
        <v>6.25E-2</v>
      </c>
      <c r="L2706" s="27">
        <v>0.1875</v>
      </c>
      <c r="P2706" s="27">
        <v>6.25E-2</v>
      </c>
      <c r="Q2706" s="27">
        <v>6.25E-2</v>
      </c>
      <c r="U2706" s="27">
        <v>0.5</v>
      </c>
      <c r="V2706" s="27">
        <v>0.375</v>
      </c>
    </row>
    <row r="2707" spans="1:22">
      <c r="A2707" t="s">
        <v>218</v>
      </c>
      <c r="B2707" t="s">
        <v>209</v>
      </c>
      <c r="C2707">
        <v>76</v>
      </c>
      <c r="D2707" t="s">
        <v>211</v>
      </c>
      <c r="E2707">
        <v>967</v>
      </c>
      <c r="F2707" s="1">
        <v>9.11E-2</v>
      </c>
      <c r="H2707" s="1">
        <v>0.32540000000000002</v>
      </c>
      <c r="J2707" s="1">
        <v>0.2079</v>
      </c>
      <c r="L2707" s="1">
        <v>0.20830000000000001</v>
      </c>
      <c r="O2707" s="1">
        <v>5.4999999999999997E-3</v>
      </c>
      <c r="P2707" s="1">
        <v>5.4999999999999997E-3</v>
      </c>
      <c r="Q2707" s="1">
        <v>5.4999999999999997E-3</v>
      </c>
      <c r="S2707" s="1">
        <v>1.9599999999999999E-2</v>
      </c>
      <c r="U2707" s="1">
        <v>0.29170000000000001</v>
      </c>
      <c r="V2707" s="1">
        <v>0.31719999999999998</v>
      </c>
    </row>
    <row r="2708" spans="1:22" s="26" customFormat="1">
      <c r="A2708" s="26" t="s">
        <v>217</v>
      </c>
      <c r="B2708" s="26" t="s">
        <v>209</v>
      </c>
      <c r="C2708" s="26">
        <v>21</v>
      </c>
      <c r="D2708" s="26" t="s">
        <v>211</v>
      </c>
      <c r="E2708" s="26">
        <v>967</v>
      </c>
      <c r="F2708" s="27">
        <v>0.30070000000000002</v>
      </c>
      <c r="H2708" s="27">
        <v>0.43590000000000001</v>
      </c>
      <c r="J2708" s="27">
        <v>6.7799999999999999E-2</v>
      </c>
      <c r="L2708" s="27">
        <v>0.2142</v>
      </c>
      <c r="P2708" s="27">
        <v>3.7699999999999997E-2</v>
      </c>
      <c r="U2708" s="27">
        <v>0.50070000000000003</v>
      </c>
      <c r="V2708" s="27">
        <v>0.49609999999999999</v>
      </c>
    </row>
    <row r="2709" spans="1:22">
      <c r="A2709" t="s">
        <v>218</v>
      </c>
      <c r="B2709" t="s">
        <v>209</v>
      </c>
      <c r="C2709">
        <v>71</v>
      </c>
      <c r="D2709" t="s">
        <v>212</v>
      </c>
      <c r="E2709">
        <v>967</v>
      </c>
      <c r="F2709" s="1">
        <v>5.6800000000000003E-2</v>
      </c>
      <c r="H2709" s="1">
        <v>0.35580000000000001</v>
      </c>
      <c r="J2709" s="1">
        <v>8.1699999999999995E-2</v>
      </c>
      <c r="L2709" s="1">
        <v>0.20799999999999999</v>
      </c>
      <c r="M2709" s="1">
        <v>1.6899999999999998E-2</v>
      </c>
      <c r="P2709" s="1">
        <v>1.6899999999999998E-2</v>
      </c>
      <c r="U2709" s="1">
        <v>0.45600000000000002</v>
      </c>
      <c r="V2709" s="1">
        <v>0.43909999999999999</v>
      </c>
    </row>
    <row r="2710" spans="1:22" s="26" customFormat="1">
      <c r="A2710" s="26" t="s">
        <v>217</v>
      </c>
      <c r="B2710" s="26" t="s">
        <v>209</v>
      </c>
      <c r="C2710" s="26">
        <v>14</v>
      </c>
      <c r="D2710" s="26" t="s">
        <v>212</v>
      </c>
      <c r="E2710" s="26">
        <v>967</v>
      </c>
      <c r="F2710" s="27">
        <v>0.14710000000000001</v>
      </c>
      <c r="H2710" s="27">
        <v>0.65939999999999999</v>
      </c>
      <c r="L2710" s="27">
        <v>8.0399999999999999E-2</v>
      </c>
      <c r="Q2710" s="27">
        <v>8.0399999999999999E-2</v>
      </c>
      <c r="U2710" s="27">
        <v>0.32690000000000002</v>
      </c>
      <c r="V2710" s="27">
        <v>0.34060000000000001</v>
      </c>
    </row>
    <row r="2711" spans="1:22" s="26" customFormat="1">
      <c r="A2711" s="26" t="s">
        <v>217</v>
      </c>
      <c r="B2711" s="26" t="s">
        <v>209</v>
      </c>
      <c r="C2711" s="26">
        <v>17</v>
      </c>
      <c r="D2711" s="26" t="s">
        <v>210</v>
      </c>
      <c r="E2711" s="26">
        <v>967</v>
      </c>
      <c r="G2711" s="27">
        <v>6.7199999999999996E-2</v>
      </c>
      <c r="H2711" s="27">
        <v>6.7199999999999996E-2</v>
      </c>
      <c r="J2711" s="27">
        <v>9.8900000000000002E-2</v>
      </c>
      <c r="L2711" s="27">
        <v>3.1699999999999999E-2</v>
      </c>
      <c r="N2711" s="27">
        <v>6.7199999999999996E-2</v>
      </c>
      <c r="U2711" s="27">
        <v>0.73509999999999998</v>
      </c>
      <c r="V2711" s="27">
        <v>0.66790000000000005</v>
      </c>
    </row>
    <row r="2712" spans="1:22">
      <c r="A2712" t="s">
        <v>218</v>
      </c>
      <c r="B2712" t="s">
        <v>209</v>
      </c>
      <c r="C2712">
        <v>57</v>
      </c>
      <c r="D2712" t="s">
        <v>210</v>
      </c>
      <c r="E2712">
        <v>967</v>
      </c>
      <c r="H2712" s="1">
        <v>0.16389999999999999</v>
      </c>
      <c r="J2712" s="1">
        <v>0.16520000000000001</v>
      </c>
      <c r="L2712" s="1">
        <v>0.30649999999999999</v>
      </c>
      <c r="O2712" s="1">
        <v>3.4000000000000002E-2</v>
      </c>
      <c r="U2712" s="1">
        <v>0.41239999999999999</v>
      </c>
      <c r="V2712" s="1">
        <v>0.37709999999999999</v>
      </c>
    </row>
    <row r="2714" spans="1:22">
      <c r="A2714" t="s">
        <v>791</v>
      </c>
    </row>
    <row r="2715" spans="1:22">
      <c r="A2715" t="s">
        <v>214</v>
      </c>
      <c r="B2715" t="s">
        <v>189</v>
      </c>
      <c r="C2715" t="s">
        <v>195</v>
      </c>
      <c r="D2715" t="s">
        <v>190</v>
      </c>
      <c r="E2715" t="s">
        <v>196</v>
      </c>
      <c r="F2715" t="s">
        <v>735</v>
      </c>
      <c r="G2715" t="s">
        <v>771</v>
      </c>
      <c r="H2715" t="s">
        <v>736</v>
      </c>
      <c r="I2715" t="s">
        <v>737</v>
      </c>
      <c r="J2715" t="s">
        <v>228</v>
      </c>
      <c r="K2715" t="s">
        <v>738</v>
      </c>
      <c r="L2715" t="s">
        <v>276</v>
      </c>
      <c r="M2715" t="s">
        <v>278</v>
      </c>
      <c r="N2715" t="s">
        <v>223</v>
      </c>
      <c r="O2715" t="s">
        <v>740</v>
      </c>
      <c r="P2715" t="s">
        <v>741</v>
      </c>
      <c r="Q2715" t="s">
        <v>742</v>
      </c>
      <c r="R2715" t="s">
        <v>743</v>
      </c>
      <c r="S2715" t="s">
        <v>744</v>
      </c>
      <c r="T2715" t="s">
        <v>745</v>
      </c>
      <c r="U2715" t="s">
        <v>747</v>
      </c>
      <c r="V2715" t="s">
        <v>748</v>
      </c>
    </row>
    <row r="2716" spans="1:22">
      <c r="A2716" t="s">
        <v>198</v>
      </c>
      <c r="B2716" t="s">
        <v>197</v>
      </c>
      <c r="C2716">
        <v>967</v>
      </c>
      <c r="D2716" t="s">
        <v>198</v>
      </c>
      <c r="E2716">
        <v>967</v>
      </c>
      <c r="F2716" s="1">
        <v>6.9500000000000006E-2</v>
      </c>
      <c r="G2716" s="1">
        <v>1E-4</v>
      </c>
      <c r="H2716" s="1">
        <v>0.34660000000000002</v>
      </c>
      <c r="I2716" s="1">
        <v>6.0000000000000001E-3</v>
      </c>
      <c r="J2716" s="1">
        <v>0.1038</v>
      </c>
      <c r="K2716" s="1">
        <v>2.0000000000000001E-4</v>
      </c>
      <c r="L2716" s="1">
        <v>0.2087</v>
      </c>
      <c r="M2716" s="1">
        <v>1.6999999999999999E-3</v>
      </c>
      <c r="N2716" s="1">
        <v>1E-4</v>
      </c>
      <c r="O2716" s="1">
        <v>3.5000000000000001E-3</v>
      </c>
      <c r="P2716" s="1">
        <v>5.5599999999999997E-2</v>
      </c>
      <c r="Q2716" s="1">
        <v>1.5299999999999999E-2</v>
      </c>
      <c r="R2716" s="1">
        <v>8.6E-3</v>
      </c>
      <c r="S2716" s="1">
        <v>2.7000000000000001E-3</v>
      </c>
      <c r="T2716" s="1">
        <v>3.3999999999999998E-3</v>
      </c>
      <c r="U2716" s="1">
        <v>0.5</v>
      </c>
      <c r="V2716" s="1">
        <v>0.4597</v>
      </c>
    </row>
    <row r="2717" spans="1:22">
      <c r="A2717" t="s">
        <v>235</v>
      </c>
      <c r="B2717" t="s">
        <v>204</v>
      </c>
      <c r="C2717">
        <v>63</v>
      </c>
      <c r="D2717" t="s">
        <v>208</v>
      </c>
      <c r="E2717">
        <v>967</v>
      </c>
      <c r="H2717" s="1">
        <v>0.34920000000000001</v>
      </c>
      <c r="J2717" s="1">
        <v>7.9399999999999998E-2</v>
      </c>
      <c r="L2717" s="1">
        <v>6.3500000000000001E-2</v>
      </c>
      <c r="T2717" s="1">
        <v>1.5900000000000001E-2</v>
      </c>
      <c r="U2717" s="1">
        <v>0.73019999999999996</v>
      </c>
      <c r="V2717" s="1">
        <v>0.71430000000000005</v>
      </c>
    </row>
    <row r="2718" spans="1:22">
      <c r="A2718" t="s">
        <v>236</v>
      </c>
      <c r="B2718" t="s">
        <v>204</v>
      </c>
      <c r="C2718">
        <v>32</v>
      </c>
      <c r="D2718" t="s">
        <v>205</v>
      </c>
      <c r="E2718">
        <v>967</v>
      </c>
      <c r="F2718" s="1">
        <v>0.20649999999999999</v>
      </c>
      <c r="H2718" s="1">
        <v>0.2339</v>
      </c>
      <c r="J2718" s="1">
        <v>5.4699999999999999E-2</v>
      </c>
      <c r="L2718" s="1">
        <v>0.36</v>
      </c>
      <c r="Q2718" s="1">
        <v>0.22020000000000001</v>
      </c>
      <c r="U2718" s="1">
        <v>0.5716</v>
      </c>
      <c r="V2718" s="1">
        <v>0.35139999999999999</v>
      </c>
    </row>
    <row r="2719" spans="1:22">
      <c r="A2719" t="s">
        <v>235</v>
      </c>
      <c r="B2719" t="s">
        <v>204</v>
      </c>
      <c r="C2719">
        <v>58</v>
      </c>
      <c r="D2719" t="s">
        <v>205</v>
      </c>
      <c r="E2719">
        <v>967</v>
      </c>
      <c r="F2719" s="1">
        <v>6.1199999999999997E-2</v>
      </c>
      <c r="H2719" s="1">
        <v>0.39929999999999999</v>
      </c>
      <c r="J2719" s="1">
        <v>3.0000000000000001E-3</v>
      </c>
      <c r="L2719" s="1">
        <v>0.2044</v>
      </c>
      <c r="P2719" s="1">
        <v>3.8999999999999998E-3</v>
      </c>
      <c r="R2719" s="1">
        <v>4.48E-2</v>
      </c>
      <c r="T2719" s="1">
        <v>3.0000000000000001E-3</v>
      </c>
      <c r="U2719" s="1">
        <v>0.68389999999999995</v>
      </c>
      <c r="V2719" s="1">
        <v>0.54110000000000003</v>
      </c>
    </row>
    <row r="2720" spans="1:22" s="26" customFormat="1">
      <c r="A2720" s="26" t="s">
        <v>236</v>
      </c>
      <c r="B2720" s="26" t="s">
        <v>204</v>
      </c>
      <c r="C2720" s="26">
        <v>21</v>
      </c>
      <c r="D2720" s="26" t="s">
        <v>206</v>
      </c>
      <c r="E2720" s="26">
        <v>967</v>
      </c>
      <c r="F2720" s="27">
        <v>4.2799999999999998E-2</v>
      </c>
      <c r="H2720" s="27">
        <v>0.23080000000000001</v>
      </c>
      <c r="J2720" s="27">
        <v>0.1283</v>
      </c>
      <c r="L2720" s="27">
        <v>0.1283</v>
      </c>
      <c r="U2720" s="27">
        <v>0.59809999999999997</v>
      </c>
      <c r="V2720" s="27">
        <v>0.64090000000000003</v>
      </c>
    </row>
    <row r="2721" spans="1:22">
      <c r="A2721" t="s">
        <v>235</v>
      </c>
      <c r="B2721" t="s">
        <v>204</v>
      </c>
      <c r="C2721">
        <v>47</v>
      </c>
      <c r="D2721" t="s">
        <v>206</v>
      </c>
      <c r="E2721">
        <v>967</v>
      </c>
      <c r="F2721" s="1">
        <v>2.4E-2</v>
      </c>
      <c r="H2721" s="1">
        <v>0.1237</v>
      </c>
      <c r="J2721" s="1">
        <v>0.14779999999999999</v>
      </c>
      <c r="K2721" s="1">
        <v>2.4E-2</v>
      </c>
      <c r="L2721" s="1">
        <v>0.15459999999999999</v>
      </c>
      <c r="M2721" s="1">
        <v>2.4E-2</v>
      </c>
      <c r="P2721" s="1">
        <v>2.4E-2</v>
      </c>
      <c r="Q2721" s="1">
        <v>2.4E-2</v>
      </c>
      <c r="U2721" s="1">
        <v>0.53620000000000001</v>
      </c>
      <c r="V2721" s="1">
        <v>0.64959999999999996</v>
      </c>
    </row>
    <row r="2722" spans="1:22">
      <c r="A2722" t="s">
        <v>236</v>
      </c>
      <c r="B2722" t="s">
        <v>204</v>
      </c>
      <c r="C2722">
        <v>81</v>
      </c>
      <c r="D2722" t="s">
        <v>207</v>
      </c>
      <c r="E2722">
        <v>967</v>
      </c>
      <c r="F2722" s="1">
        <v>0.2316</v>
      </c>
      <c r="H2722" s="1">
        <v>0.58850000000000002</v>
      </c>
      <c r="J2722" s="1">
        <v>0.1278</v>
      </c>
      <c r="L2722" s="1">
        <v>4.1399999999999999E-2</v>
      </c>
      <c r="O2722" s="1">
        <v>8.8000000000000005E-3</v>
      </c>
      <c r="P2722" s="1">
        <v>0.47360000000000002</v>
      </c>
      <c r="Q2722" s="1">
        <v>8.8000000000000005E-3</v>
      </c>
      <c r="U2722" s="1">
        <v>0.59409999999999996</v>
      </c>
      <c r="V2722" s="1">
        <v>0.70620000000000005</v>
      </c>
    </row>
    <row r="2723" spans="1:22">
      <c r="A2723" t="s">
        <v>235</v>
      </c>
      <c r="B2723" t="s">
        <v>204</v>
      </c>
      <c r="C2723">
        <v>45</v>
      </c>
      <c r="D2723" t="s">
        <v>207</v>
      </c>
      <c r="E2723">
        <v>967</v>
      </c>
      <c r="F2723" s="1">
        <v>9.5200000000000007E-2</v>
      </c>
      <c r="H2723" s="1">
        <v>0.44750000000000001</v>
      </c>
      <c r="I2723" s="1">
        <v>8.5000000000000006E-3</v>
      </c>
      <c r="J2723" s="1">
        <v>1.66E-2</v>
      </c>
      <c r="L2723" s="1">
        <v>0.1008</v>
      </c>
      <c r="P2723" s="1">
        <v>9.0800000000000006E-2</v>
      </c>
      <c r="Q2723" s="1">
        <v>8.5000000000000006E-3</v>
      </c>
      <c r="U2723" s="1">
        <v>0.7712</v>
      </c>
      <c r="V2723" s="1">
        <v>0.7712</v>
      </c>
    </row>
    <row r="2724" spans="1:22" s="26" customFormat="1">
      <c r="A2724" s="26" t="s">
        <v>236</v>
      </c>
      <c r="B2724" s="26" t="s">
        <v>204</v>
      </c>
      <c r="C2724" s="26">
        <v>11</v>
      </c>
      <c r="D2724" s="26" t="s">
        <v>208</v>
      </c>
      <c r="E2724" s="26">
        <v>967</v>
      </c>
      <c r="F2724" s="27">
        <v>9.0899999999999995E-2</v>
      </c>
      <c r="H2724" s="27">
        <v>0.18179999999999999</v>
      </c>
      <c r="I2724" s="27">
        <v>9.0899999999999995E-2</v>
      </c>
      <c r="J2724" s="27">
        <v>0.18179999999999999</v>
      </c>
      <c r="L2724" s="27">
        <v>9.0899999999999995E-2</v>
      </c>
      <c r="U2724" s="27">
        <v>0.54549999999999998</v>
      </c>
      <c r="V2724" s="27">
        <v>0.45450000000000002</v>
      </c>
    </row>
    <row r="2725" spans="1:22">
      <c r="A2725" t="s">
        <v>235</v>
      </c>
      <c r="B2725" t="s">
        <v>199</v>
      </c>
      <c r="C2725">
        <v>44</v>
      </c>
      <c r="D2725" t="s">
        <v>203</v>
      </c>
      <c r="E2725">
        <v>967</v>
      </c>
      <c r="H2725" s="1">
        <v>8.0199999999999994E-2</v>
      </c>
      <c r="J2725" s="1">
        <v>0.18759999999999999</v>
      </c>
      <c r="L2725" s="1">
        <v>0.24890000000000001</v>
      </c>
      <c r="P2725" s="1">
        <v>1.5100000000000001E-2</v>
      </c>
      <c r="R2725" s="1">
        <v>4.2799999999999998E-2</v>
      </c>
      <c r="U2725" s="1">
        <v>0.51029999999999998</v>
      </c>
      <c r="V2725" s="1">
        <v>0.4405</v>
      </c>
    </row>
    <row r="2726" spans="1:22">
      <c r="A2726" t="s">
        <v>236</v>
      </c>
      <c r="B2726" t="s">
        <v>199</v>
      </c>
      <c r="C2726">
        <v>32</v>
      </c>
      <c r="D2726" t="s">
        <v>203</v>
      </c>
      <c r="E2726">
        <v>967</v>
      </c>
      <c r="H2726" s="1">
        <v>0.16239999999999999</v>
      </c>
      <c r="J2726" s="1">
        <v>0.1565</v>
      </c>
      <c r="L2726" s="1">
        <v>0.39190000000000003</v>
      </c>
      <c r="U2726" s="1">
        <v>0.313</v>
      </c>
      <c r="V2726" s="1">
        <v>0.24740000000000001</v>
      </c>
    </row>
    <row r="2727" spans="1:22">
      <c r="A2727" t="s">
        <v>235</v>
      </c>
      <c r="B2727" t="s">
        <v>199</v>
      </c>
      <c r="C2727">
        <v>60</v>
      </c>
      <c r="D2727" t="s">
        <v>202</v>
      </c>
      <c r="E2727">
        <v>967</v>
      </c>
      <c r="F2727" s="1">
        <v>2.9499999999999998E-2</v>
      </c>
      <c r="H2727" s="1">
        <v>0.2228</v>
      </c>
      <c r="J2727" s="1">
        <v>0.12640000000000001</v>
      </c>
      <c r="L2727" s="1">
        <v>0.41010000000000002</v>
      </c>
      <c r="P2727" s="1">
        <v>2.41E-2</v>
      </c>
      <c r="U2727" s="1">
        <v>0.28110000000000002</v>
      </c>
      <c r="V2727" s="1">
        <v>0.24779999999999999</v>
      </c>
    </row>
    <row r="2728" spans="1:22" s="26" customFormat="1">
      <c r="A2728" s="26" t="s">
        <v>236</v>
      </c>
      <c r="B2728" s="26" t="s">
        <v>199</v>
      </c>
      <c r="C2728" s="26">
        <v>24</v>
      </c>
      <c r="D2728" s="26" t="s">
        <v>200</v>
      </c>
      <c r="E2728" s="26">
        <v>967</v>
      </c>
      <c r="H2728" s="27">
        <v>0.50860000000000005</v>
      </c>
      <c r="J2728" s="27">
        <v>1.01E-2</v>
      </c>
      <c r="L2728" s="27">
        <v>0.29709999999999998</v>
      </c>
      <c r="U2728" s="27">
        <v>0.15160000000000001</v>
      </c>
      <c r="V2728" s="27">
        <v>0.23089999999999999</v>
      </c>
    </row>
    <row r="2729" spans="1:22">
      <c r="A2729" t="s">
        <v>235</v>
      </c>
      <c r="B2729" t="s">
        <v>199</v>
      </c>
      <c r="C2729">
        <v>46</v>
      </c>
      <c r="D2729" t="s">
        <v>200</v>
      </c>
      <c r="E2729">
        <v>967</v>
      </c>
      <c r="F2729" s="1">
        <v>2.9100000000000001E-2</v>
      </c>
      <c r="H2729" s="1">
        <v>0.3029</v>
      </c>
      <c r="I2729" s="1">
        <v>2.9100000000000001E-2</v>
      </c>
      <c r="J2729" s="1">
        <v>0.1123</v>
      </c>
      <c r="L2729" s="1">
        <v>0.23039999999999999</v>
      </c>
      <c r="O2729" s="1">
        <v>0.17949999999999999</v>
      </c>
      <c r="P2729" s="1">
        <v>0.17649999999999999</v>
      </c>
      <c r="U2729" s="1">
        <v>0.52139999999999997</v>
      </c>
      <c r="V2729" s="1">
        <v>0.55710000000000004</v>
      </c>
    </row>
    <row r="2730" spans="1:22">
      <c r="A2730" t="s">
        <v>236</v>
      </c>
      <c r="B2730" t="s">
        <v>199</v>
      </c>
      <c r="C2730">
        <v>37</v>
      </c>
      <c r="D2730" t="s">
        <v>202</v>
      </c>
      <c r="E2730">
        <v>967</v>
      </c>
      <c r="H2730" s="1">
        <v>0.24859999999999999</v>
      </c>
      <c r="J2730" s="1">
        <v>9.8599999999999993E-2</v>
      </c>
      <c r="L2730" s="1">
        <v>0.43590000000000001</v>
      </c>
      <c r="S2730" s="1">
        <v>3.2800000000000003E-2</v>
      </c>
      <c r="T2730" s="1">
        <v>3.2800000000000003E-2</v>
      </c>
      <c r="U2730" s="1">
        <v>0.30380000000000001</v>
      </c>
      <c r="V2730" s="1">
        <v>0.30380000000000001</v>
      </c>
    </row>
    <row r="2731" spans="1:22">
      <c r="A2731" t="s">
        <v>235</v>
      </c>
      <c r="B2731" t="s">
        <v>199</v>
      </c>
      <c r="C2731">
        <v>95</v>
      </c>
      <c r="D2731" t="s">
        <v>201</v>
      </c>
      <c r="E2731">
        <v>967</v>
      </c>
      <c r="F2731" s="1">
        <v>5.2600000000000001E-2</v>
      </c>
      <c r="H2731" s="1">
        <v>0.31580000000000003</v>
      </c>
      <c r="I2731" s="1">
        <v>2.1100000000000001E-2</v>
      </c>
      <c r="J2731" s="1">
        <v>0.22109999999999999</v>
      </c>
      <c r="L2731" s="1">
        <v>0.16839999999999999</v>
      </c>
      <c r="P2731" s="1">
        <v>5.2600000000000001E-2</v>
      </c>
      <c r="Q2731" s="1">
        <v>2.1100000000000001E-2</v>
      </c>
      <c r="U2731" s="1">
        <v>0.3579</v>
      </c>
      <c r="V2731" s="1">
        <v>0.30530000000000002</v>
      </c>
    </row>
    <row r="2732" spans="1:22">
      <c r="A2732" t="s">
        <v>236</v>
      </c>
      <c r="B2732" t="s">
        <v>209</v>
      </c>
      <c r="C2732">
        <v>39</v>
      </c>
      <c r="D2732" t="s">
        <v>211</v>
      </c>
      <c r="E2732">
        <v>967</v>
      </c>
      <c r="F2732" s="1">
        <v>0.1244</v>
      </c>
      <c r="H2732" s="1">
        <v>0.45529999999999998</v>
      </c>
      <c r="J2732" s="1">
        <v>9.69E-2</v>
      </c>
      <c r="L2732" s="1">
        <v>0.26879999999999998</v>
      </c>
      <c r="O2732" s="1">
        <v>1.18E-2</v>
      </c>
      <c r="P2732" s="1">
        <v>2.3699999999999999E-2</v>
      </c>
      <c r="Q2732" s="1">
        <v>1.18E-2</v>
      </c>
      <c r="S2732" s="1">
        <v>4.2599999999999999E-2</v>
      </c>
      <c r="U2732" s="1">
        <v>0.28439999999999999</v>
      </c>
      <c r="V2732" s="1">
        <v>0.27260000000000001</v>
      </c>
    </row>
    <row r="2733" spans="1:22">
      <c r="A2733" t="s">
        <v>235</v>
      </c>
      <c r="B2733" t="s">
        <v>209</v>
      </c>
      <c r="C2733">
        <v>56</v>
      </c>
      <c r="D2733" t="s">
        <v>211</v>
      </c>
      <c r="E2733">
        <v>967</v>
      </c>
      <c r="F2733" s="1">
        <v>0.15310000000000001</v>
      </c>
      <c r="H2733" s="1">
        <v>0.30620000000000003</v>
      </c>
      <c r="J2733" s="1">
        <v>0.18190000000000001</v>
      </c>
      <c r="L2733" s="1">
        <v>0.1855</v>
      </c>
      <c r="P2733" s="1">
        <v>6.8999999999999999E-3</v>
      </c>
      <c r="U2733" s="1">
        <v>0.3871</v>
      </c>
      <c r="V2733" s="1">
        <v>0.42470000000000002</v>
      </c>
    </row>
    <row r="2734" spans="1:22">
      <c r="A2734" t="s">
        <v>235</v>
      </c>
      <c r="B2734" t="s">
        <v>209</v>
      </c>
      <c r="C2734">
        <v>67</v>
      </c>
      <c r="D2734" t="s">
        <v>212</v>
      </c>
      <c r="E2734">
        <v>967</v>
      </c>
      <c r="F2734" s="1">
        <v>3.4599999999999999E-2</v>
      </c>
      <c r="H2734" s="1">
        <v>0.39479999999999998</v>
      </c>
      <c r="J2734" s="1">
        <v>7.8299999999999995E-2</v>
      </c>
      <c r="L2734" s="1">
        <v>0.1643</v>
      </c>
      <c r="M2734" s="1">
        <v>1.6199999999999999E-2</v>
      </c>
      <c r="P2734" s="1">
        <v>1.6199999999999999E-2</v>
      </c>
      <c r="Q2734" s="1">
        <v>1.6199999999999999E-2</v>
      </c>
      <c r="U2734" s="1">
        <v>0.44369999999999998</v>
      </c>
      <c r="V2734" s="1">
        <v>0.44369999999999998</v>
      </c>
    </row>
    <row r="2735" spans="1:22" s="26" customFormat="1">
      <c r="A2735" s="26" t="s">
        <v>236</v>
      </c>
      <c r="B2735" s="26" t="s">
        <v>209</v>
      </c>
      <c r="C2735" s="26">
        <v>18</v>
      </c>
      <c r="D2735" s="26" t="s">
        <v>212</v>
      </c>
      <c r="E2735" s="26">
        <v>967</v>
      </c>
      <c r="F2735" s="27">
        <v>0.30890000000000001</v>
      </c>
      <c r="H2735" s="27">
        <v>0.49430000000000002</v>
      </c>
      <c r="L2735" s="27">
        <v>0.32050000000000001</v>
      </c>
      <c r="U2735" s="27">
        <v>0.37040000000000001</v>
      </c>
      <c r="V2735" s="27">
        <v>0.28649999999999998</v>
      </c>
    </row>
    <row r="2736" spans="1:22">
      <c r="A2736" t="s">
        <v>236</v>
      </c>
      <c r="B2736" t="s">
        <v>209</v>
      </c>
      <c r="C2736">
        <v>38</v>
      </c>
      <c r="D2736" t="s">
        <v>210</v>
      </c>
      <c r="E2736">
        <v>967</v>
      </c>
      <c r="G2736" s="1">
        <v>4.3099999999999999E-2</v>
      </c>
      <c r="H2736" s="1">
        <v>0.122</v>
      </c>
      <c r="J2736" s="1">
        <v>0.1447</v>
      </c>
      <c r="L2736" s="1">
        <v>0.35770000000000002</v>
      </c>
      <c r="O2736" s="1">
        <v>6.0999999999999999E-2</v>
      </c>
      <c r="U2736" s="1">
        <v>0.37559999999999999</v>
      </c>
      <c r="V2736" s="1">
        <v>0.31219999999999998</v>
      </c>
    </row>
    <row r="2737" spans="1:22">
      <c r="A2737" t="s">
        <v>235</v>
      </c>
      <c r="B2737" t="s">
        <v>209</v>
      </c>
      <c r="C2737">
        <v>32</v>
      </c>
      <c r="D2737" t="s">
        <v>210</v>
      </c>
      <c r="E2737">
        <v>967</v>
      </c>
      <c r="H2737" s="1">
        <v>0.16159999999999999</v>
      </c>
      <c r="J2737" s="1">
        <v>0.16159999999999999</v>
      </c>
      <c r="L2737" s="1">
        <v>9.69E-2</v>
      </c>
      <c r="N2737" s="1">
        <v>3.2300000000000002E-2</v>
      </c>
      <c r="U2737" s="1">
        <v>0.61219999999999997</v>
      </c>
      <c r="V2737" s="1">
        <v>0.57989999999999997</v>
      </c>
    </row>
    <row r="2739" spans="1:22">
      <c r="A2739" t="s">
        <v>792</v>
      </c>
    </row>
    <row r="2740" spans="1:22">
      <c r="A2740" t="s">
        <v>189</v>
      </c>
      <c r="B2740" t="s">
        <v>195</v>
      </c>
      <c r="C2740" t="s">
        <v>190</v>
      </c>
      <c r="D2740" t="s">
        <v>196</v>
      </c>
      <c r="E2740" t="s">
        <v>735</v>
      </c>
      <c r="F2740" t="s">
        <v>737</v>
      </c>
      <c r="G2740" t="s">
        <v>228</v>
      </c>
      <c r="H2740" t="s">
        <v>738</v>
      </c>
      <c r="I2740" t="s">
        <v>276</v>
      </c>
      <c r="J2740" t="s">
        <v>223</v>
      </c>
      <c r="K2740" t="s">
        <v>740</v>
      </c>
      <c r="L2740" t="s">
        <v>741</v>
      </c>
      <c r="M2740" t="s">
        <v>742</v>
      </c>
      <c r="N2740" t="s">
        <v>743</v>
      </c>
      <c r="O2740" t="s">
        <v>793</v>
      </c>
      <c r="P2740" t="s">
        <v>744</v>
      </c>
      <c r="Q2740" t="s">
        <v>745</v>
      </c>
      <c r="R2740" t="s">
        <v>747</v>
      </c>
      <c r="S2740" t="s">
        <v>748</v>
      </c>
    </row>
    <row r="2741" spans="1:22">
      <c r="A2741" t="s">
        <v>197</v>
      </c>
      <c r="B2741">
        <v>967</v>
      </c>
      <c r="C2741" t="s">
        <v>198</v>
      </c>
      <c r="D2741">
        <v>967</v>
      </c>
      <c r="E2741" s="1">
        <v>2.0000000000000001E-4</v>
      </c>
      <c r="F2741" s="1">
        <v>4.1000000000000003E-3</v>
      </c>
      <c r="G2741" s="1">
        <v>0.1221</v>
      </c>
      <c r="H2741" s="1">
        <v>1E-3</v>
      </c>
      <c r="I2741" s="1">
        <v>0.21809999999999999</v>
      </c>
      <c r="J2741" s="1">
        <v>5.9999999999999995E-4</v>
      </c>
      <c r="K2741" s="1">
        <v>1.09E-2</v>
      </c>
      <c r="L2741" s="1">
        <v>1.5599999999999999E-2</v>
      </c>
      <c r="M2741" s="1">
        <v>1.9E-3</v>
      </c>
      <c r="N2741" s="1">
        <v>3.7900000000000003E-2</v>
      </c>
      <c r="O2741" s="1">
        <v>3.9899999999999998E-2</v>
      </c>
      <c r="P2741" s="1">
        <v>2E-3</v>
      </c>
      <c r="Q2741" s="1">
        <v>1.2999999999999999E-3</v>
      </c>
      <c r="R2741" s="1">
        <v>0.58979999999999999</v>
      </c>
      <c r="S2741" s="1">
        <v>0.57809999999999995</v>
      </c>
    </row>
    <row r="2742" spans="1:22">
      <c r="A2742" t="s">
        <v>204</v>
      </c>
      <c r="B2742">
        <v>91</v>
      </c>
      <c r="C2742" t="s">
        <v>205</v>
      </c>
      <c r="D2742">
        <v>967</v>
      </c>
      <c r="G2742" s="1">
        <v>5.8900000000000001E-2</v>
      </c>
      <c r="I2742" s="1">
        <v>0.17899999999999999</v>
      </c>
      <c r="L2742" s="1">
        <v>2.3999999999999998E-3</v>
      </c>
      <c r="N2742" s="1">
        <v>9.6500000000000002E-2</v>
      </c>
      <c r="O2742" s="1">
        <v>8.6900000000000005E-2</v>
      </c>
      <c r="R2742" s="1">
        <v>0.66410000000000002</v>
      </c>
      <c r="S2742" s="1">
        <v>0.56730000000000003</v>
      </c>
    </row>
    <row r="2743" spans="1:22">
      <c r="A2743" t="s">
        <v>204</v>
      </c>
      <c r="B2743">
        <v>72</v>
      </c>
      <c r="C2743" t="s">
        <v>206</v>
      </c>
      <c r="D2743">
        <v>967</v>
      </c>
      <c r="G2743" s="1">
        <v>9.5399999999999999E-2</v>
      </c>
      <c r="I2743" s="1">
        <v>0.1953</v>
      </c>
      <c r="K2743" s="1">
        <v>1.1599999999999999E-2</v>
      </c>
      <c r="L2743" s="1">
        <v>1.6299999999999999E-2</v>
      </c>
      <c r="M2743" s="1">
        <v>3.2500000000000001E-2</v>
      </c>
      <c r="N2743" s="1">
        <v>3.49E-2</v>
      </c>
      <c r="O2743" s="1">
        <v>1.1599999999999999E-2</v>
      </c>
      <c r="R2743" s="1">
        <v>0.59309999999999996</v>
      </c>
      <c r="S2743" s="1">
        <v>0.66510000000000002</v>
      </c>
    </row>
    <row r="2744" spans="1:22">
      <c r="A2744" t="s">
        <v>204</v>
      </c>
      <c r="B2744">
        <v>131</v>
      </c>
      <c r="C2744" t="s">
        <v>207</v>
      </c>
      <c r="D2744">
        <v>967</v>
      </c>
      <c r="G2744" s="1">
        <v>7.51E-2</v>
      </c>
      <c r="I2744" s="1">
        <v>5.6800000000000003E-2</v>
      </c>
      <c r="K2744" s="1">
        <v>1.46E-2</v>
      </c>
      <c r="L2744" s="1">
        <v>9.0899999999999995E-2</v>
      </c>
      <c r="M2744" s="1">
        <v>3.5999999999999999E-3</v>
      </c>
      <c r="N2744" s="1">
        <v>1.34E-2</v>
      </c>
      <c r="O2744" s="1">
        <v>1.6299999999999999E-2</v>
      </c>
      <c r="R2744" s="1">
        <v>0.84570000000000001</v>
      </c>
      <c r="S2744" s="1">
        <v>0.85109999999999997</v>
      </c>
    </row>
    <row r="2745" spans="1:22">
      <c r="A2745" t="s">
        <v>204</v>
      </c>
      <c r="B2745">
        <v>74</v>
      </c>
      <c r="C2745" t="s">
        <v>208</v>
      </c>
      <c r="D2745">
        <v>967</v>
      </c>
      <c r="F2745" s="1">
        <v>1.35E-2</v>
      </c>
      <c r="G2745" s="1">
        <v>0.1216</v>
      </c>
      <c r="I2745" s="1">
        <v>5.4100000000000002E-2</v>
      </c>
      <c r="M2745" s="1">
        <v>1.35E-2</v>
      </c>
      <c r="N2745" s="1">
        <v>6.7599999999999993E-2</v>
      </c>
      <c r="O2745" s="1">
        <v>4.0500000000000001E-2</v>
      </c>
      <c r="Q2745" s="1">
        <v>1.35E-2</v>
      </c>
      <c r="R2745" s="1">
        <v>0.81079999999999997</v>
      </c>
      <c r="S2745" s="1">
        <v>0.75680000000000003</v>
      </c>
    </row>
    <row r="2746" spans="1:22">
      <c r="A2746" t="s">
        <v>199</v>
      </c>
      <c r="B2746">
        <v>73</v>
      </c>
      <c r="C2746" t="s">
        <v>200</v>
      </c>
      <c r="D2746">
        <v>967</v>
      </c>
      <c r="G2746" s="1">
        <v>0.1133</v>
      </c>
      <c r="I2746" s="1">
        <v>0.36620000000000003</v>
      </c>
      <c r="K2746" s="1">
        <v>9.6000000000000002E-2</v>
      </c>
      <c r="N2746" s="1">
        <v>4.6399999999999997E-2</v>
      </c>
      <c r="P2746" s="1">
        <v>6.8400000000000002E-2</v>
      </c>
      <c r="R2746" s="1">
        <v>0.30359999999999998</v>
      </c>
      <c r="S2746" s="1">
        <v>0.43209999999999998</v>
      </c>
    </row>
    <row r="2747" spans="1:22">
      <c r="A2747" t="s">
        <v>199</v>
      </c>
      <c r="B2747">
        <v>96</v>
      </c>
      <c r="C2747" t="s">
        <v>201</v>
      </c>
      <c r="D2747">
        <v>967</v>
      </c>
      <c r="F2747" s="1">
        <v>1.04E-2</v>
      </c>
      <c r="G2747" s="1">
        <v>0.17710000000000001</v>
      </c>
      <c r="I2747" s="1">
        <v>0.23960000000000001</v>
      </c>
      <c r="K2747" s="1">
        <v>1.04E-2</v>
      </c>
      <c r="O2747" s="1">
        <v>6.25E-2</v>
      </c>
      <c r="R2747" s="1">
        <v>0.51039999999999996</v>
      </c>
      <c r="S2747" s="1">
        <v>0.51039999999999996</v>
      </c>
    </row>
    <row r="2748" spans="1:22">
      <c r="A2748" t="s">
        <v>199</v>
      </c>
      <c r="B2748">
        <v>98</v>
      </c>
      <c r="C2748" t="s">
        <v>202</v>
      </c>
      <c r="D2748">
        <v>967</v>
      </c>
      <c r="F2748" s="1">
        <v>8.5000000000000006E-3</v>
      </c>
      <c r="G2748" s="1">
        <v>0.18790000000000001</v>
      </c>
      <c r="I2748" s="1">
        <v>0.42199999999999999</v>
      </c>
      <c r="J2748" s="1">
        <v>4.1999999999999997E-3</v>
      </c>
      <c r="K2748" s="1">
        <v>1.35E-2</v>
      </c>
      <c r="N2748" s="1">
        <v>1.3299999999999999E-2</v>
      </c>
      <c r="O2748" s="1">
        <v>8.3999999999999995E-3</v>
      </c>
      <c r="R2748" s="1">
        <v>0.30790000000000001</v>
      </c>
      <c r="S2748" s="1">
        <v>0.36809999999999998</v>
      </c>
    </row>
    <row r="2749" spans="1:22">
      <c r="A2749" t="s">
        <v>199</v>
      </c>
      <c r="B2749">
        <v>77</v>
      </c>
      <c r="C2749" t="s">
        <v>203</v>
      </c>
      <c r="D2749">
        <v>967</v>
      </c>
      <c r="G2749" s="1">
        <v>8.8300000000000003E-2</v>
      </c>
      <c r="H2749" s="1">
        <v>2.69E-2</v>
      </c>
      <c r="I2749" s="1">
        <v>0.17249999999999999</v>
      </c>
      <c r="L2749" s="1">
        <v>1.9E-2</v>
      </c>
      <c r="N2749" s="1">
        <v>8.0600000000000005E-2</v>
      </c>
      <c r="P2749" s="1">
        <v>2.8999999999999998E-3</v>
      </c>
      <c r="Q2749" s="1">
        <v>1.24E-2</v>
      </c>
      <c r="R2749" s="1">
        <v>0.61890000000000001</v>
      </c>
      <c r="S2749" s="1">
        <v>0.60029999999999994</v>
      </c>
    </row>
    <row r="2750" spans="1:22">
      <c r="A2750" t="s">
        <v>209</v>
      </c>
      <c r="B2750">
        <v>74</v>
      </c>
      <c r="C2750" t="s">
        <v>210</v>
      </c>
      <c r="D2750">
        <v>967</v>
      </c>
      <c r="G2750" s="1">
        <v>0.1384</v>
      </c>
      <c r="I2750" s="1">
        <v>0.1915</v>
      </c>
      <c r="M2750" s="1">
        <v>1.77E-2</v>
      </c>
      <c r="R2750" s="1">
        <v>0.60040000000000004</v>
      </c>
      <c r="S2750" s="1">
        <v>0.62639999999999996</v>
      </c>
    </row>
    <row r="2751" spans="1:22">
      <c r="A2751" t="s">
        <v>209</v>
      </c>
      <c r="B2751">
        <v>97</v>
      </c>
      <c r="C2751" t="s">
        <v>211</v>
      </c>
      <c r="D2751">
        <v>967</v>
      </c>
      <c r="E2751" s="1">
        <v>4.1999999999999997E-3</v>
      </c>
      <c r="G2751" s="1">
        <v>0.12870000000000001</v>
      </c>
      <c r="I2751" s="1">
        <v>0.34329999999999999</v>
      </c>
      <c r="K2751" s="1">
        <v>8.5000000000000006E-3</v>
      </c>
      <c r="L2751" s="1">
        <v>4.1999999999999997E-3</v>
      </c>
      <c r="N2751" s="1">
        <v>7.2099999999999997E-2</v>
      </c>
      <c r="O2751" s="1">
        <v>2.47E-2</v>
      </c>
      <c r="R2751" s="1">
        <v>0.46579999999999999</v>
      </c>
      <c r="S2751" s="1">
        <v>0.44319999999999998</v>
      </c>
    </row>
    <row r="2752" spans="1:22">
      <c r="A2752" t="s">
        <v>209</v>
      </c>
      <c r="B2752">
        <v>84</v>
      </c>
      <c r="C2752" t="s">
        <v>212</v>
      </c>
      <c r="D2752">
        <v>967</v>
      </c>
      <c r="G2752" s="1">
        <v>0.13500000000000001</v>
      </c>
      <c r="I2752" s="1">
        <v>0.2303</v>
      </c>
      <c r="K2752" s="1">
        <v>1.4200000000000001E-2</v>
      </c>
      <c r="N2752" s="1">
        <v>1.4200000000000001E-2</v>
      </c>
      <c r="O2752" s="1">
        <v>2.1700000000000001E-2</v>
      </c>
      <c r="R2752" s="1">
        <v>0.59379999999999999</v>
      </c>
      <c r="S2752" s="1">
        <v>0.58709999999999996</v>
      </c>
    </row>
    <row r="2754" spans="1:20">
      <c r="A2754" t="s">
        <v>794</v>
      </c>
    </row>
    <row r="2755" spans="1:20">
      <c r="A2755" t="s">
        <v>214</v>
      </c>
      <c r="B2755" t="s">
        <v>189</v>
      </c>
      <c r="C2755" t="s">
        <v>195</v>
      </c>
      <c r="D2755" t="s">
        <v>190</v>
      </c>
      <c r="E2755" t="s">
        <v>196</v>
      </c>
      <c r="F2755" t="s">
        <v>735</v>
      </c>
      <c r="G2755" t="s">
        <v>737</v>
      </c>
      <c r="H2755" t="s">
        <v>228</v>
      </c>
      <c r="I2755" t="s">
        <v>738</v>
      </c>
      <c r="J2755" t="s">
        <v>276</v>
      </c>
      <c r="K2755" t="s">
        <v>223</v>
      </c>
      <c r="L2755" t="s">
        <v>740</v>
      </c>
      <c r="M2755" t="s">
        <v>741</v>
      </c>
      <c r="N2755" t="s">
        <v>742</v>
      </c>
      <c r="O2755" t="s">
        <v>743</v>
      </c>
      <c r="P2755" t="s">
        <v>793</v>
      </c>
      <c r="Q2755" t="s">
        <v>744</v>
      </c>
      <c r="R2755" t="s">
        <v>745</v>
      </c>
      <c r="S2755" t="s">
        <v>747</v>
      </c>
      <c r="T2755" t="s">
        <v>748</v>
      </c>
    </row>
    <row r="2756" spans="1:20">
      <c r="A2756" t="s">
        <v>198</v>
      </c>
      <c r="B2756" t="s">
        <v>197</v>
      </c>
      <c r="C2756">
        <v>967</v>
      </c>
      <c r="D2756" t="s">
        <v>198</v>
      </c>
      <c r="E2756">
        <v>967</v>
      </c>
      <c r="F2756" s="1">
        <v>2.0000000000000001E-4</v>
      </c>
      <c r="G2756" s="1">
        <v>4.1000000000000003E-3</v>
      </c>
      <c r="H2756" s="1">
        <v>0.1221</v>
      </c>
      <c r="I2756" s="1">
        <v>1E-3</v>
      </c>
      <c r="J2756" s="1">
        <v>0.21809999999999999</v>
      </c>
      <c r="K2756" s="1">
        <v>5.9999999999999995E-4</v>
      </c>
      <c r="L2756" s="1">
        <v>1.09E-2</v>
      </c>
      <c r="M2756" s="1">
        <v>1.5599999999999999E-2</v>
      </c>
      <c r="N2756" s="1">
        <v>1.9E-3</v>
      </c>
      <c r="O2756" s="1">
        <v>3.7900000000000003E-2</v>
      </c>
      <c r="P2756" s="1">
        <v>3.9899999999999998E-2</v>
      </c>
      <c r="Q2756" s="1">
        <v>2E-3</v>
      </c>
      <c r="R2756" s="1">
        <v>1.2999999999999999E-3</v>
      </c>
      <c r="S2756" s="1">
        <v>0.58979999999999999</v>
      </c>
      <c r="T2756" s="1">
        <v>0.57809999999999995</v>
      </c>
    </row>
    <row r="2757" spans="1:20" s="26" customFormat="1">
      <c r="A2757" s="26" t="s">
        <v>217</v>
      </c>
      <c r="B2757" s="26" t="s">
        <v>204</v>
      </c>
      <c r="C2757" s="26">
        <v>15</v>
      </c>
      <c r="D2757" s="26" t="s">
        <v>208</v>
      </c>
      <c r="E2757" s="26">
        <v>967</v>
      </c>
      <c r="H2757" s="27">
        <v>6.6699999999999995E-2</v>
      </c>
      <c r="J2757" s="27">
        <v>0.1333</v>
      </c>
      <c r="P2757" s="27">
        <v>6.6699999999999995E-2</v>
      </c>
      <c r="S2757" s="27">
        <v>0.8</v>
      </c>
      <c r="T2757" s="27">
        <v>0.73329999999999995</v>
      </c>
    </row>
    <row r="2758" spans="1:20" s="26" customFormat="1">
      <c r="A2758" s="26" t="s">
        <v>217</v>
      </c>
      <c r="B2758" s="26" t="s">
        <v>204</v>
      </c>
      <c r="C2758" s="26">
        <v>27</v>
      </c>
      <c r="D2758" s="26" t="s">
        <v>205</v>
      </c>
      <c r="E2758" s="26">
        <v>967</v>
      </c>
      <c r="H2758" s="27">
        <v>0.17549999999999999</v>
      </c>
      <c r="J2758" s="27">
        <v>0.26910000000000001</v>
      </c>
      <c r="P2758" s="27">
        <v>0.1522</v>
      </c>
      <c r="S2758" s="27">
        <v>0.34739999999999999</v>
      </c>
      <c r="T2758" s="27">
        <v>0.34739999999999999</v>
      </c>
    </row>
    <row r="2759" spans="1:20">
      <c r="A2759" t="s">
        <v>218</v>
      </c>
      <c r="B2759" t="s">
        <v>204</v>
      </c>
      <c r="C2759">
        <v>64</v>
      </c>
      <c r="D2759" t="s">
        <v>205</v>
      </c>
      <c r="E2759">
        <v>967</v>
      </c>
      <c r="H2759" s="1">
        <v>2.18E-2</v>
      </c>
      <c r="J2759" s="1">
        <v>0.15040000000000001</v>
      </c>
      <c r="M2759" s="1">
        <v>3.2000000000000002E-3</v>
      </c>
      <c r="O2759" s="1">
        <v>0.12720000000000001</v>
      </c>
      <c r="P2759" s="1">
        <v>6.6199999999999995E-2</v>
      </c>
      <c r="S2759" s="1">
        <v>0.76490000000000002</v>
      </c>
      <c r="T2759" s="1">
        <v>0.63729999999999998</v>
      </c>
    </row>
    <row r="2760" spans="1:20" s="26" customFormat="1">
      <c r="A2760" s="26" t="s">
        <v>217</v>
      </c>
      <c r="B2760" s="26" t="s">
        <v>204</v>
      </c>
      <c r="C2760" s="26">
        <v>11</v>
      </c>
      <c r="D2760" s="26" t="s">
        <v>206</v>
      </c>
      <c r="E2760" s="26">
        <v>967</v>
      </c>
      <c r="H2760" s="27">
        <v>8.2000000000000003E-2</v>
      </c>
      <c r="M2760" s="27">
        <v>0.11459999999999999</v>
      </c>
      <c r="N2760" s="27">
        <v>0.11459999999999999</v>
      </c>
      <c r="S2760" s="27">
        <v>0.72140000000000004</v>
      </c>
      <c r="T2760" s="27">
        <v>0.91800000000000004</v>
      </c>
    </row>
    <row r="2761" spans="1:20">
      <c r="A2761" t="s">
        <v>218</v>
      </c>
      <c r="B2761" t="s">
        <v>204</v>
      </c>
      <c r="C2761">
        <v>61</v>
      </c>
      <c r="D2761" t="s">
        <v>206</v>
      </c>
      <c r="E2761">
        <v>967</v>
      </c>
      <c r="H2761" s="1">
        <v>9.7600000000000006E-2</v>
      </c>
      <c r="J2761" s="1">
        <v>0.22770000000000001</v>
      </c>
      <c r="L2761" s="1">
        <v>1.3599999999999999E-2</v>
      </c>
      <c r="N2761" s="1">
        <v>1.9E-2</v>
      </c>
      <c r="O2761" s="1">
        <v>4.07E-2</v>
      </c>
      <c r="P2761" s="1">
        <v>1.3599999999999999E-2</v>
      </c>
      <c r="S2761" s="1">
        <v>0.57179999999999997</v>
      </c>
      <c r="T2761" s="1">
        <v>0.62329999999999997</v>
      </c>
    </row>
    <row r="2762" spans="1:20" s="26" customFormat="1">
      <c r="A2762" s="26" t="s">
        <v>217</v>
      </c>
      <c r="B2762" s="26" t="s">
        <v>204</v>
      </c>
      <c r="C2762" s="26">
        <v>23</v>
      </c>
      <c r="D2762" s="26" t="s">
        <v>207</v>
      </c>
      <c r="E2762" s="26">
        <v>967</v>
      </c>
      <c r="H2762" s="27">
        <v>0.18890000000000001</v>
      </c>
      <c r="J2762" s="27">
        <v>2.87E-2</v>
      </c>
      <c r="S2762" s="27">
        <v>0.78239999999999998</v>
      </c>
      <c r="T2762" s="27">
        <v>0.76400000000000001</v>
      </c>
    </row>
    <row r="2763" spans="1:20">
      <c r="A2763" t="s">
        <v>218</v>
      </c>
      <c r="B2763" t="s">
        <v>204</v>
      </c>
      <c r="C2763">
        <v>108</v>
      </c>
      <c r="D2763" t="s">
        <v>207</v>
      </c>
      <c r="E2763">
        <v>967</v>
      </c>
      <c r="H2763" s="1">
        <v>3.3700000000000001E-2</v>
      </c>
      <c r="J2763" s="1">
        <v>6.7000000000000004E-2</v>
      </c>
      <c r="L2763" s="1">
        <v>1.9900000000000001E-2</v>
      </c>
      <c r="M2763" s="1">
        <v>0.124</v>
      </c>
      <c r="N2763" s="1">
        <v>4.8999999999999998E-3</v>
      </c>
      <c r="O2763" s="1">
        <v>1.83E-2</v>
      </c>
      <c r="P2763" s="1">
        <v>2.2200000000000001E-2</v>
      </c>
      <c r="S2763" s="1">
        <v>0.86870000000000003</v>
      </c>
      <c r="T2763" s="1">
        <v>0.88280000000000003</v>
      </c>
    </row>
    <row r="2764" spans="1:20">
      <c r="A2764" t="s">
        <v>218</v>
      </c>
      <c r="B2764" t="s">
        <v>204</v>
      </c>
      <c r="C2764">
        <v>59</v>
      </c>
      <c r="D2764" t="s">
        <v>208</v>
      </c>
      <c r="E2764">
        <v>967</v>
      </c>
      <c r="G2764" s="1">
        <v>1.6899999999999998E-2</v>
      </c>
      <c r="H2764" s="1">
        <v>0.1356</v>
      </c>
      <c r="J2764" s="1">
        <v>3.39E-2</v>
      </c>
      <c r="N2764" s="1">
        <v>1.6899999999999998E-2</v>
      </c>
      <c r="O2764" s="1">
        <v>8.4699999999999998E-2</v>
      </c>
      <c r="P2764" s="1">
        <v>3.39E-2</v>
      </c>
      <c r="R2764" s="1">
        <v>1.6899999999999998E-2</v>
      </c>
      <c r="S2764" s="1">
        <v>0.81359999999999999</v>
      </c>
      <c r="T2764" s="1">
        <v>0.76270000000000004</v>
      </c>
    </row>
    <row r="2765" spans="1:20" s="26" customFormat="1">
      <c r="A2765" s="26" t="s">
        <v>217</v>
      </c>
      <c r="B2765" s="26" t="s">
        <v>199</v>
      </c>
      <c r="C2765" s="26">
        <v>12</v>
      </c>
      <c r="D2765" s="26" t="s">
        <v>203</v>
      </c>
      <c r="E2765" s="26">
        <v>967</v>
      </c>
      <c r="H2765" s="27">
        <v>9.0700000000000003E-2</v>
      </c>
      <c r="J2765" s="27">
        <v>8.0799999999999997E-2</v>
      </c>
      <c r="S2765" s="27">
        <v>0.82850000000000001</v>
      </c>
      <c r="T2765" s="27">
        <v>0.6865</v>
      </c>
    </row>
    <row r="2766" spans="1:20">
      <c r="A2766" t="s">
        <v>218</v>
      </c>
      <c r="B2766" t="s">
        <v>199</v>
      </c>
      <c r="C2766">
        <v>65</v>
      </c>
      <c r="D2766" t="s">
        <v>203</v>
      </c>
      <c r="E2766">
        <v>967</v>
      </c>
      <c r="H2766" s="1">
        <v>8.77E-2</v>
      </c>
      <c r="I2766" s="1">
        <v>3.4000000000000002E-2</v>
      </c>
      <c r="J2766" s="1">
        <v>0.19689999999999999</v>
      </c>
      <c r="M2766" s="1">
        <v>2.4E-2</v>
      </c>
      <c r="O2766" s="1">
        <v>0.10199999999999999</v>
      </c>
      <c r="Q2766" s="1">
        <v>3.7000000000000002E-3</v>
      </c>
      <c r="R2766" s="1">
        <v>1.5699999999999999E-2</v>
      </c>
      <c r="S2766" s="1">
        <v>0.56330000000000002</v>
      </c>
      <c r="T2766" s="1">
        <v>0.57750000000000001</v>
      </c>
    </row>
    <row r="2767" spans="1:20">
      <c r="A2767" t="s">
        <v>218</v>
      </c>
      <c r="B2767" t="s">
        <v>199</v>
      </c>
      <c r="C2767">
        <v>71</v>
      </c>
      <c r="D2767" t="s">
        <v>202</v>
      </c>
      <c r="E2767">
        <v>967</v>
      </c>
      <c r="G2767" s="1">
        <v>1.2E-2</v>
      </c>
      <c r="H2767" s="1">
        <v>0.127</v>
      </c>
      <c r="J2767" s="1">
        <v>0.43740000000000001</v>
      </c>
      <c r="K2767" s="1">
        <v>5.8999999999999999E-3</v>
      </c>
      <c r="O2767" s="1">
        <v>1.8700000000000001E-2</v>
      </c>
      <c r="P2767" s="1">
        <v>5.8999999999999999E-3</v>
      </c>
      <c r="S2767" s="1">
        <v>0.3569</v>
      </c>
      <c r="T2767" s="1">
        <v>0.41060000000000002</v>
      </c>
    </row>
    <row r="2768" spans="1:20" s="26" customFormat="1">
      <c r="A2768" s="26" t="s">
        <v>217</v>
      </c>
      <c r="B2768" s="26" t="s">
        <v>199</v>
      </c>
      <c r="C2768" s="26">
        <v>13</v>
      </c>
      <c r="D2768" s="26" t="s">
        <v>200</v>
      </c>
      <c r="E2768" s="26">
        <v>967</v>
      </c>
      <c r="H2768" s="27">
        <v>0.35060000000000002</v>
      </c>
      <c r="J2768" s="27">
        <v>0.4904</v>
      </c>
      <c r="S2768" s="27">
        <v>4.3299999999999998E-2</v>
      </c>
      <c r="T2768" s="27">
        <v>0.159</v>
      </c>
    </row>
    <row r="2769" spans="1:20">
      <c r="A2769" t="s">
        <v>218</v>
      </c>
      <c r="B2769" t="s">
        <v>199</v>
      </c>
      <c r="C2769">
        <v>80</v>
      </c>
      <c r="D2769" t="s">
        <v>201</v>
      </c>
      <c r="E2769">
        <v>967</v>
      </c>
      <c r="H2769" s="1">
        <v>0.16250000000000001</v>
      </c>
      <c r="J2769" s="1">
        <v>0.25</v>
      </c>
      <c r="P2769" s="1">
        <v>3.7499999999999999E-2</v>
      </c>
      <c r="S2769" s="1">
        <v>0.53749999999999998</v>
      </c>
      <c r="T2769" s="1">
        <v>0.51249999999999996</v>
      </c>
    </row>
    <row r="2770" spans="1:20">
      <c r="A2770" t="s">
        <v>218</v>
      </c>
      <c r="B2770" t="s">
        <v>199</v>
      </c>
      <c r="C2770">
        <v>60</v>
      </c>
      <c r="D2770" t="s">
        <v>200</v>
      </c>
      <c r="E2770">
        <v>967</v>
      </c>
      <c r="H2770" s="1">
        <v>7.2800000000000004E-2</v>
      </c>
      <c r="J2770" s="1">
        <v>0.34510000000000002</v>
      </c>
      <c r="L2770" s="1">
        <v>0.1123</v>
      </c>
      <c r="O2770" s="1">
        <v>5.4300000000000001E-2</v>
      </c>
      <c r="Q2770" s="1">
        <v>0.08</v>
      </c>
      <c r="S2770" s="1">
        <v>0.34799999999999998</v>
      </c>
      <c r="T2770" s="1">
        <v>0.47870000000000001</v>
      </c>
    </row>
    <row r="2771" spans="1:20" s="26" customFormat="1">
      <c r="A2771" s="26" t="s">
        <v>217</v>
      </c>
      <c r="B2771" s="26" t="s">
        <v>199</v>
      </c>
      <c r="C2771" s="26">
        <v>27</v>
      </c>
      <c r="D2771" s="26" t="s">
        <v>202</v>
      </c>
      <c r="E2771" s="26">
        <v>967</v>
      </c>
      <c r="H2771" s="27">
        <v>0.33779999999999999</v>
      </c>
      <c r="J2771" s="27">
        <v>0.38400000000000001</v>
      </c>
      <c r="L2771" s="27">
        <v>4.6899999999999997E-2</v>
      </c>
      <c r="P2771" s="27">
        <v>1.46E-2</v>
      </c>
      <c r="S2771" s="27">
        <v>0.1875</v>
      </c>
      <c r="T2771" s="27">
        <v>0.2636</v>
      </c>
    </row>
    <row r="2772" spans="1:20" s="26" customFormat="1">
      <c r="A2772" s="26" t="s">
        <v>217</v>
      </c>
      <c r="B2772" s="26" t="s">
        <v>199</v>
      </c>
      <c r="C2772" s="26">
        <v>16</v>
      </c>
      <c r="D2772" s="26" t="s">
        <v>201</v>
      </c>
      <c r="E2772" s="26">
        <v>967</v>
      </c>
      <c r="G2772" s="27">
        <v>6.25E-2</v>
      </c>
      <c r="H2772" s="27">
        <v>0.25</v>
      </c>
      <c r="J2772" s="27">
        <v>0.1875</v>
      </c>
      <c r="L2772" s="27">
        <v>6.25E-2</v>
      </c>
      <c r="P2772" s="27">
        <v>0.1875</v>
      </c>
      <c r="S2772" s="27">
        <v>0.375</v>
      </c>
      <c r="T2772" s="27">
        <v>0.5</v>
      </c>
    </row>
    <row r="2773" spans="1:20">
      <c r="A2773" t="s">
        <v>218</v>
      </c>
      <c r="B2773" t="s">
        <v>209</v>
      </c>
      <c r="C2773">
        <v>76</v>
      </c>
      <c r="D2773" t="s">
        <v>211</v>
      </c>
      <c r="E2773">
        <v>967</v>
      </c>
      <c r="F2773" s="1">
        <v>5.4999999999999997E-3</v>
      </c>
      <c r="H2773" s="1">
        <v>9.4299999999999995E-2</v>
      </c>
      <c r="J2773" s="1">
        <v>0.38800000000000001</v>
      </c>
      <c r="L2773" s="1">
        <v>5.4999999999999997E-3</v>
      </c>
      <c r="M2773" s="1">
        <v>5.4999999999999997E-3</v>
      </c>
      <c r="O2773" s="1">
        <v>6.4699999999999994E-2</v>
      </c>
      <c r="P2773" s="1">
        <v>1.6400000000000001E-2</v>
      </c>
      <c r="S2773" s="1">
        <v>0.47860000000000003</v>
      </c>
      <c r="T2773" s="1">
        <v>0.41920000000000002</v>
      </c>
    </row>
    <row r="2774" spans="1:20" s="26" customFormat="1">
      <c r="A2774" s="26" t="s">
        <v>217</v>
      </c>
      <c r="B2774" s="26" t="s">
        <v>209</v>
      </c>
      <c r="C2774" s="26">
        <v>21</v>
      </c>
      <c r="D2774" s="26" t="s">
        <v>211</v>
      </c>
      <c r="E2774" s="26">
        <v>967</v>
      </c>
      <c r="H2774" s="27">
        <v>0.24729999999999999</v>
      </c>
      <c r="J2774" s="27">
        <v>0.18909999999999999</v>
      </c>
      <c r="L2774" s="27">
        <v>1.8800000000000001E-2</v>
      </c>
      <c r="O2774" s="27">
        <v>9.7600000000000006E-2</v>
      </c>
      <c r="P2774" s="27">
        <v>5.3600000000000002E-2</v>
      </c>
      <c r="S2774" s="27">
        <v>0.4219</v>
      </c>
      <c r="T2774" s="27">
        <v>0.52590000000000003</v>
      </c>
    </row>
    <row r="2775" spans="1:20">
      <c r="A2775" t="s">
        <v>218</v>
      </c>
      <c r="B2775" t="s">
        <v>209</v>
      </c>
      <c r="C2775">
        <v>70</v>
      </c>
      <c r="D2775" t="s">
        <v>212</v>
      </c>
      <c r="E2775">
        <v>967</v>
      </c>
      <c r="H2775" s="1">
        <v>0.1295</v>
      </c>
      <c r="J2775" s="1">
        <v>0.23880000000000001</v>
      </c>
      <c r="L2775" s="1">
        <v>1.72E-2</v>
      </c>
      <c r="O2775" s="1">
        <v>1.72E-2</v>
      </c>
      <c r="P2775" s="1">
        <v>2.63E-2</v>
      </c>
      <c r="S2775" s="1">
        <v>0.58209999999999995</v>
      </c>
      <c r="T2775" s="1">
        <v>0.58819999999999995</v>
      </c>
    </row>
    <row r="2776" spans="1:20" s="26" customFormat="1">
      <c r="A2776" s="26" t="s">
        <v>217</v>
      </c>
      <c r="B2776" s="26" t="s">
        <v>209</v>
      </c>
      <c r="C2776" s="26">
        <v>14</v>
      </c>
      <c r="D2776" s="26" t="s">
        <v>212</v>
      </c>
      <c r="E2776" s="26">
        <v>967</v>
      </c>
      <c r="H2776" s="27">
        <v>0.16089999999999999</v>
      </c>
      <c r="J2776" s="27">
        <v>0.19040000000000001</v>
      </c>
      <c r="S2776" s="27">
        <v>0.64870000000000005</v>
      </c>
      <c r="T2776" s="27">
        <v>0.58199999999999996</v>
      </c>
    </row>
    <row r="2777" spans="1:20" s="26" customFormat="1">
      <c r="A2777" s="26" t="s">
        <v>217</v>
      </c>
      <c r="B2777" s="26" t="s">
        <v>209</v>
      </c>
      <c r="C2777" s="26">
        <v>17</v>
      </c>
      <c r="D2777" s="26" t="s">
        <v>210</v>
      </c>
      <c r="E2777" s="26">
        <v>967</v>
      </c>
      <c r="H2777" s="27">
        <v>0.23319999999999999</v>
      </c>
      <c r="S2777" s="27">
        <v>0.56530000000000002</v>
      </c>
      <c r="T2777" s="27">
        <v>0.6996</v>
      </c>
    </row>
    <row r="2778" spans="1:20">
      <c r="A2778" t="s">
        <v>218</v>
      </c>
      <c r="B2778" t="s">
        <v>209</v>
      </c>
      <c r="C2778">
        <v>57</v>
      </c>
      <c r="D2778" t="s">
        <v>210</v>
      </c>
      <c r="E2778">
        <v>967</v>
      </c>
      <c r="H2778" s="1">
        <v>0.1046</v>
      </c>
      <c r="J2778" s="1">
        <v>0.25979999999999998</v>
      </c>
      <c r="N2778" s="1">
        <v>2.4E-2</v>
      </c>
      <c r="S2778" s="1">
        <v>0.6129</v>
      </c>
      <c r="T2778" s="1">
        <v>0.60029999999999994</v>
      </c>
    </row>
    <row r="2780" spans="1:20">
      <c r="A2780" t="s">
        <v>795</v>
      </c>
    </row>
    <row r="2781" spans="1:20">
      <c r="A2781" t="s">
        <v>214</v>
      </c>
      <c r="B2781" t="s">
        <v>189</v>
      </c>
      <c r="C2781" t="s">
        <v>195</v>
      </c>
      <c r="D2781" t="s">
        <v>190</v>
      </c>
      <c r="E2781" t="s">
        <v>196</v>
      </c>
      <c r="F2781" t="s">
        <v>735</v>
      </c>
      <c r="G2781" t="s">
        <v>737</v>
      </c>
      <c r="H2781" t="s">
        <v>228</v>
      </c>
      <c r="I2781" t="s">
        <v>738</v>
      </c>
      <c r="J2781" t="s">
        <v>276</v>
      </c>
      <c r="K2781" t="s">
        <v>223</v>
      </c>
      <c r="L2781" t="s">
        <v>740</v>
      </c>
      <c r="M2781" t="s">
        <v>741</v>
      </c>
      <c r="N2781" t="s">
        <v>742</v>
      </c>
      <c r="O2781" t="s">
        <v>743</v>
      </c>
      <c r="P2781" t="s">
        <v>793</v>
      </c>
      <c r="Q2781" t="s">
        <v>744</v>
      </c>
      <c r="R2781" t="s">
        <v>745</v>
      </c>
      <c r="S2781" t="s">
        <v>747</v>
      </c>
      <c r="T2781" t="s">
        <v>748</v>
      </c>
    </row>
    <row r="2782" spans="1:20">
      <c r="A2782" t="s">
        <v>198</v>
      </c>
      <c r="B2782" t="s">
        <v>197</v>
      </c>
      <c r="C2782">
        <v>967</v>
      </c>
      <c r="D2782" t="s">
        <v>198</v>
      </c>
      <c r="E2782">
        <v>967</v>
      </c>
      <c r="F2782" s="1">
        <v>2.0000000000000001E-4</v>
      </c>
      <c r="G2782" s="1">
        <v>4.1000000000000003E-3</v>
      </c>
      <c r="H2782" s="1">
        <v>0.1221</v>
      </c>
      <c r="I2782" s="1">
        <v>1E-3</v>
      </c>
      <c r="J2782" s="1">
        <v>0.21809999999999999</v>
      </c>
      <c r="K2782" s="1">
        <v>5.9999999999999995E-4</v>
      </c>
      <c r="L2782" s="1">
        <v>1.09E-2</v>
      </c>
      <c r="M2782" s="1">
        <v>1.5599999999999999E-2</v>
      </c>
      <c r="N2782" s="1">
        <v>1.9E-3</v>
      </c>
      <c r="O2782" s="1">
        <v>3.7900000000000003E-2</v>
      </c>
      <c r="P2782" s="1">
        <v>3.9899999999999998E-2</v>
      </c>
      <c r="Q2782" s="1">
        <v>2E-3</v>
      </c>
      <c r="R2782" s="1">
        <v>1.2999999999999999E-3</v>
      </c>
      <c r="S2782" s="1">
        <v>0.58979999999999999</v>
      </c>
      <c r="T2782" s="1">
        <v>0.57809999999999995</v>
      </c>
    </row>
    <row r="2783" spans="1:20">
      <c r="A2783" t="s">
        <v>796</v>
      </c>
      <c r="B2783" t="s">
        <v>204</v>
      </c>
      <c r="C2783">
        <v>40</v>
      </c>
      <c r="D2783" t="s">
        <v>208</v>
      </c>
      <c r="E2783">
        <v>967</v>
      </c>
      <c r="G2783" s="1">
        <v>2.5000000000000001E-2</v>
      </c>
      <c r="H2783" s="1">
        <v>7.4999999999999997E-2</v>
      </c>
      <c r="J2783" s="1">
        <v>7.4999999999999997E-2</v>
      </c>
      <c r="N2783" s="1">
        <v>2.5000000000000001E-2</v>
      </c>
      <c r="O2783" s="1">
        <v>7.4999999999999997E-2</v>
      </c>
      <c r="P2783" s="1">
        <v>7.4999999999999997E-2</v>
      </c>
      <c r="S2783" s="1">
        <v>0.82499999999999996</v>
      </c>
      <c r="T2783" s="1">
        <v>0.77500000000000002</v>
      </c>
    </row>
    <row r="2784" spans="1:20">
      <c r="A2784" t="s">
        <v>796</v>
      </c>
      <c r="B2784" t="s">
        <v>204</v>
      </c>
      <c r="C2784">
        <v>42</v>
      </c>
      <c r="D2784" t="s">
        <v>205</v>
      </c>
      <c r="E2784">
        <v>967</v>
      </c>
      <c r="H2784" s="1">
        <v>6.7999999999999996E-3</v>
      </c>
      <c r="J2784" s="1">
        <v>0.25509999999999999</v>
      </c>
      <c r="M2784" s="1">
        <v>6.7999999999999996E-3</v>
      </c>
      <c r="O2784" s="1">
        <v>0.17299999999999999</v>
      </c>
      <c r="P2784" s="1">
        <v>0.1022</v>
      </c>
      <c r="S2784" s="1">
        <v>0.59850000000000003</v>
      </c>
      <c r="T2784" s="1">
        <v>0.4521</v>
      </c>
    </row>
    <row r="2785" spans="1:20">
      <c r="A2785" t="s">
        <v>797</v>
      </c>
      <c r="B2785" t="s">
        <v>204</v>
      </c>
      <c r="C2785">
        <v>49</v>
      </c>
      <c r="D2785" t="s">
        <v>205</v>
      </c>
      <c r="E2785">
        <v>967</v>
      </c>
      <c r="H2785" s="1">
        <v>8.8099999999999998E-2</v>
      </c>
      <c r="J2785" s="1">
        <v>0.1363</v>
      </c>
      <c r="O2785" s="1">
        <v>5.3600000000000002E-2</v>
      </c>
      <c r="P2785" s="1">
        <v>7.8399999999999997E-2</v>
      </c>
      <c r="S2785" s="1">
        <v>0.70099999999999996</v>
      </c>
      <c r="T2785" s="1">
        <v>0.63200000000000001</v>
      </c>
    </row>
    <row r="2786" spans="1:20" s="26" customFormat="1">
      <c r="A2786" s="26" t="s">
        <v>797</v>
      </c>
      <c r="B2786" s="26" t="s">
        <v>204</v>
      </c>
      <c r="C2786" s="26">
        <v>25</v>
      </c>
      <c r="D2786" s="26" t="s">
        <v>206</v>
      </c>
      <c r="E2786" s="26">
        <v>967</v>
      </c>
      <c r="H2786" s="27">
        <v>0.18379999999999999</v>
      </c>
      <c r="J2786" s="27">
        <v>0.1157</v>
      </c>
      <c r="L2786" s="27">
        <v>3.4099999999999998E-2</v>
      </c>
      <c r="M2786" s="27">
        <v>4.7600000000000003E-2</v>
      </c>
      <c r="N2786" s="27">
        <v>4.7600000000000003E-2</v>
      </c>
      <c r="S2786" s="27">
        <v>0.65300000000000002</v>
      </c>
      <c r="T2786" s="27">
        <v>0.65300000000000002</v>
      </c>
    </row>
    <row r="2787" spans="1:20">
      <c r="A2787" t="s">
        <v>796</v>
      </c>
      <c r="B2787" t="s">
        <v>204</v>
      </c>
      <c r="C2787">
        <v>47</v>
      </c>
      <c r="D2787" t="s">
        <v>206</v>
      </c>
      <c r="E2787">
        <v>967</v>
      </c>
      <c r="H2787" s="1">
        <v>4.9399999999999999E-2</v>
      </c>
      <c r="J2787" s="1">
        <v>0.23669999999999999</v>
      </c>
      <c r="N2787" s="1">
        <v>2.47E-2</v>
      </c>
      <c r="O2787" s="1">
        <v>5.3100000000000001E-2</v>
      </c>
      <c r="P2787" s="1">
        <v>1.77E-2</v>
      </c>
      <c r="S2787" s="1">
        <v>0.56189999999999996</v>
      </c>
      <c r="T2787" s="1">
        <v>0.6714</v>
      </c>
    </row>
    <row r="2788" spans="1:20">
      <c r="A2788" t="s">
        <v>796</v>
      </c>
      <c r="B2788" t="s">
        <v>204</v>
      </c>
      <c r="C2788">
        <v>70</v>
      </c>
      <c r="D2788" t="s">
        <v>207</v>
      </c>
      <c r="E2788">
        <v>967</v>
      </c>
      <c r="H2788" s="1">
        <v>2.2200000000000001E-2</v>
      </c>
      <c r="J2788" s="1">
        <v>8.0799999999999997E-2</v>
      </c>
      <c r="L2788" s="1">
        <v>2.2200000000000001E-2</v>
      </c>
      <c r="M2788" s="1">
        <v>0.1047</v>
      </c>
      <c r="O2788" s="1">
        <v>8.3000000000000001E-3</v>
      </c>
      <c r="P2788" s="1">
        <v>3.5000000000000001E-3</v>
      </c>
      <c r="S2788" s="1">
        <v>0.87380000000000002</v>
      </c>
      <c r="T2788" s="1">
        <v>0.87739999999999996</v>
      </c>
    </row>
    <row r="2789" spans="1:20">
      <c r="A2789" t="s">
        <v>797</v>
      </c>
      <c r="B2789" t="s">
        <v>204</v>
      </c>
      <c r="C2789">
        <v>61</v>
      </c>
      <c r="D2789" t="s">
        <v>207</v>
      </c>
      <c r="E2789">
        <v>967</v>
      </c>
      <c r="H2789" s="1">
        <v>0.1157</v>
      </c>
      <c r="J2789" s="1">
        <v>3.8399999999999997E-2</v>
      </c>
      <c r="L2789" s="1">
        <v>8.6999999999999994E-3</v>
      </c>
      <c r="M2789" s="1">
        <v>8.0399999999999999E-2</v>
      </c>
      <c r="N2789" s="1">
        <v>6.3E-3</v>
      </c>
      <c r="O2789" s="1">
        <v>1.7399999999999999E-2</v>
      </c>
      <c r="P2789" s="1">
        <v>2.6100000000000002E-2</v>
      </c>
      <c r="S2789" s="1">
        <v>0.82410000000000005</v>
      </c>
      <c r="T2789" s="1">
        <v>0.83079999999999998</v>
      </c>
    </row>
    <row r="2790" spans="1:20">
      <c r="A2790" t="s">
        <v>797</v>
      </c>
      <c r="B2790" t="s">
        <v>204</v>
      </c>
      <c r="C2790">
        <v>34</v>
      </c>
      <c r="D2790" t="s">
        <v>208</v>
      </c>
      <c r="E2790">
        <v>967</v>
      </c>
      <c r="H2790" s="1">
        <v>0.17649999999999999</v>
      </c>
      <c r="J2790" s="1">
        <v>2.9399999999999999E-2</v>
      </c>
      <c r="O2790" s="1">
        <v>5.8799999999999998E-2</v>
      </c>
      <c r="R2790" s="1">
        <v>2.9399999999999999E-2</v>
      </c>
      <c r="S2790" s="1">
        <v>0.79410000000000003</v>
      </c>
      <c r="T2790" s="1">
        <v>0.73529999999999995</v>
      </c>
    </row>
    <row r="2791" spans="1:20">
      <c r="A2791" t="s">
        <v>797</v>
      </c>
      <c r="B2791" t="s">
        <v>199</v>
      </c>
      <c r="C2791">
        <v>36</v>
      </c>
      <c r="D2791" t="s">
        <v>203</v>
      </c>
      <c r="E2791">
        <v>967</v>
      </c>
      <c r="H2791" s="1">
        <v>0.13289999999999999</v>
      </c>
      <c r="J2791" s="1">
        <v>0.21659999999999999</v>
      </c>
      <c r="M2791" s="1">
        <v>4.7E-2</v>
      </c>
      <c r="S2791" s="1">
        <v>0.60350000000000004</v>
      </c>
      <c r="T2791" s="1">
        <v>0.55330000000000001</v>
      </c>
    </row>
    <row r="2792" spans="1:20">
      <c r="A2792" t="s">
        <v>796</v>
      </c>
      <c r="B2792" t="s">
        <v>199</v>
      </c>
      <c r="C2792">
        <v>41</v>
      </c>
      <c r="D2792" t="s">
        <v>203</v>
      </c>
      <c r="E2792">
        <v>967</v>
      </c>
      <c r="H2792" s="1">
        <v>5.8200000000000002E-2</v>
      </c>
      <c r="I2792" s="1">
        <v>4.5100000000000001E-2</v>
      </c>
      <c r="J2792" s="1">
        <v>0.14269999999999999</v>
      </c>
      <c r="O2792" s="1">
        <v>0.13519999999999999</v>
      </c>
      <c r="Q2792" s="1">
        <v>4.8999999999999998E-3</v>
      </c>
      <c r="R2792" s="1">
        <v>2.0799999999999999E-2</v>
      </c>
      <c r="S2792" s="1">
        <v>0.62929999999999997</v>
      </c>
      <c r="T2792" s="1">
        <v>0.6321</v>
      </c>
    </row>
    <row r="2793" spans="1:20">
      <c r="A2793" t="s">
        <v>797</v>
      </c>
      <c r="B2793" t="s">
        <v>199</v>
      </c>
      <c r="C2793">
        <v>53</v>
      </c>
      <c r="D2793" t="s">
        <v>202</v>
      </c>
      <c r="E2793">
        <v>967</v>
      </c>
      <c r="G2793" s="1">
        <v>1.67E-2</v>
      </c>
      <c r="H2793" s="1">
        <v>0.31619999999999998</v>
      </c>
      <c r="J2793" s="1">
        <v>0.43580000000000002</v>
      </c>
      <c r="K2793" s="1">
        <v>8.3000000000000001E-3</v>
      </c>
      <c r="P2793" s="1">
        <v>1.66E-2</v>
      </c>
      <c r="S2793" s="1">
        <v>0.17219999999999999</v>
      </c>
      <c r="T2793" s="1">
        <v>0.23150000000000001</v>
      </c>
    </row>
    <row r="2794" spans="1:20">
      <c r="A2794" t="s">
        <v>796</v>
      </c>
      <c r="B2794" t="s">
        <v>199</v>
      </c>
      <c r="C2794">
        <v>30</v>
      </c>
      <c r="D2794" t="s">
        <v>200</v>
      </c>
      <c r="E2794">
        <v>967</v>
      </c>
      <c r="H2794" s="1">
        <v>1.26E-2</v>
      </c>
      <c r="J2794" s="1">
        <v>0.32029999999999997</v>
      </c>
      <c r="L2794" s="1">
        <v>0.18909999999999999</v>
      </c>
      <c r="O2794" s="1">
        <v>9.2899999999999996E-2</v>
      </c>
      <c r="S2794" s="1">
        <v>0.434</v>
      </c>
      <c r="T2794" s="1">
        <v>0.66390000000000005</v>
      </c>
    </row>
    <row r="2795" spans="1:20">
      <c r="A2795" t="s">
        <v>796</v>
      </c>
      <c r="B2795" t="s">
        <v>199</v>
      </c>
      <c r="C2795">
        <v>62</v>
      </c>
      <c r="D2795" t="s">
        <v>201</v>
      </c>
      <c r="E2795">
        <v>967</v>
      </c>
      <c r="G2795" s="1">
        <v>1.61E-2</v>
      </c>
      <c r="H2795" s="1">
        <v>6.4500000000000002E-2</v>
      </c>
      <c r="J2795" s="1">
        <v>0.2742</v>
      </c>
      <c r="L2795" s="1">
        <v>1.61E-2</v>
      </c>
      <c r="P2795" s="1">
        <v>6.4500000000000002E-2</v>
      </c>
      <c r="S2795" s="1">
        <v>0.629</v>
      </c>
      <c r="T2795" s="1">
        <v>0.5806</v>
      </c>
    </row>
    <row r="2796" spans="1:20">
      <c r="A2796" t="s">
        <v>797</v>
      </c>
      <c r="B2796" t="s">
        <v>199</v>
      </c>
      <c r="C2796">
        <v>43</v>
      </c>
      <c r="D2796" t="s">
        <v>200</v>
      </c>
      <c r="E2796">
        <v>967</v>
      </c>
      <c r="H2796" s="1">
        <v>0.21360000000000001</v>
      </c>
      <c r="J2796" s="1">
        <v>0.41199999999999998</v>
      </c>
      <c r="L2796" s="1">
        <v>3.0999999999999999E-3</v>
      </c>
      <c r="Q2796" s="1">
        <v>0.13650000000000001</v>
      </c>
      <c r="S2796" s="1">
        <v>0.1736</v>
      </c>
      <c r="T2796" s="1">
        <v>0.20100000000000001</v>
      </c>
    </row>
    <row r="2797" spans="1:20">
      <c r="A2797" t="s">
        <v>796</v>
      </c>
      <c r="B2797" t="s">
        <v>199</v>
      </c>
      <c r="C2797">
        <v>45</v>
      </c>
      <c r="D2797" t="s">
        <v>202</v>
      </c>
      <c r="E2797">
        <v>967</v>
      </c>
      <c r="H2797" s="1">
        <v>5.4800000000000001E-2</v>
      </c>
      <c r="J2797" s="1">
        <v>0.40770000000000001</v>
      </c>
      <c r="L2797" s="1">
        <v>2.76E-2</v>
      </c>
      <c r="O2797" s="1">
        <v>2.7199999999999998E-2</v>
      </c>
      <c r="S2797" s="1">
        <v>0.44890000000000002</v>
      </c>
      <c r="T2797" s="1">
        <v>0.50990000000000002</v>
      </c>
    </row>
    <row r="2798" spans="1:20">
      <c r="A2798" t="s">
        <v>797</v>
      </c>
      <c r="B2798" t="s">
        <v>199</v>
      </c>
      <c r="C2798">
        <v>34</v>
      </c>
      <c r="D2798" t="s">
        <v>201</v>
      </c>
      <c r="E2798">
        <v>967</v>
      </c>
      <c r="H2798" s="1">
        <v>0.38240000000000002</v>
      </c>
      <c r="J2798" s="1">
        <v>0.17649999999999999</v>
      </c>
      <c r="P2798" s="1">
        <v>5.8799999999999998E-2</v>
      </c>
      <c r="S2798" s="1">
        <v>0.29409999999999997</v>
      </c>
      <c r="T2798" s="1">
        <v>0.38240000000000002</v>
      </c>
    </row>
    <row r="2799" spans="1:20">
      <c r="A2799" t="s">
        <v>796</v>
      </c>
      <c r="B2799" t="s">
        <v>209</v>
      </c>
      <c r="C2799">
        <v>57</v>
      </c>
      <c r="D2799" t="s">
        <v>211</v>
      </c>
      <c r="E2799">
        <v>967</v>
      </c>
      <c r="F2799" s="1">
        <v>7.0000000000000001E-3</v>
      </c>
      <c r="H2799" s="1">
        <v>6.8500000000000005E-2</v>
      </c>
      <c r="J2799" s="1">
        <v>0.39379999999999998</v>
      </c>
      <c r="L2799" s="1">
        <v>7.0000000000000001E-3</v>
      </c>
      <c r="O2799" s="1">
        <v>8.3199999999999996E-2</v>
      </c>
      <c r="P2799" s="1">
        <v>3.39E-2</v>
      </c>
      <c r="S2799" s="1">
        <v>0.47099999999999997</v>
      </c>
      <c r="T2799" s="1">
        <v>0.46389999999999998</v>
      </c>
    </row>
    <row r="2800" spans="1:20">
      <c r="A2800" t="s">
        <v>797</v>
      </c>
      <c r="B2800" t="s">
        <v>209</v>
      </c>
      <c r="C2800">
        <v>40</v>
      </c>
      <c r="D2800" t="s">
        <v>211</v>
      </c>
      <c r="E2800">
        <v>967</v>
      </c>
      <c r="H2800" s="1">
        <v>0.22020000000000001</v>
      </c>
      <c r="J2800" s="1">
        <v>0.26650000000000001</v>
      </c>
      <c r="L2800" s="1">
        <v>1.0699999999999999E-2</v>
      </c>
      <c r="M2800" s="1">
        <v>1.0699999999999999E-2</v>
      </c>
      <c r="O2800" s="1">
        <v>5.5199999999999999E-2</v>
      </c>
      <c r="P2800" s="1">
        <v>1.0699999999999999E-2</v>
      </c>
      <c r="S2800" s="1">
        <v>0.45800000000000002</v>
      </c>
      <c r="T2800" s="1">
        <v>0.41170000000000001</v>
      </c>
    </row>
    <row r="2801" spans="1:20">
      <c r="A2801" t="s">
        <v>796</v>
      </c>
      <c r="B2801" t="s">
        <v>209</v>
      </c>
      <c r="C2801">
        <v>56</v>
      </c>
      <c r="D2801" t="s">
        <v>212</v>
      </c>
      <c r="E2801">
        <v>967</v>
      </c>
      <c r="H2801" s="1">
        <v>4.24E-2</v>
      </c>
      <c r="J2801" s="1">
        <v>0.26960000000000001</v>
      </c>
      <c r="O2801" s="1">
        <v>2.12E-2</v>
      </c>
      <c r="P2801" s="1">
        <v>3.2399999999999998E-2</v>
      </c>
      <c r="S2801" s="1">
        <v>0.63800000000000001</v>
      </c>
      <c r="T2801" s="1">
        <v>0.63429999999999997</v>
      </c>
    </row>
    <row r="2802" spans="1:20" s="26" customFormat="1">
      <c r="A2802" s="26" t="s">
        <v>797</v>
      </c>
      <c r="B2802" s="26" t="s">
        <v>209</v>
      </c>
      <c r="C2802" s="26">
        <v>28</v>
      </c>
      <c r="D2802" s="26" t="s">
        <v>212</v>
      </c>
      <c r="E2802" s="26">
        <v>967</v>
      </c>
      <c r="H2802" s="27">
        <v>0.32129999999999997</v>
      </c>
      <c r="J2802" s="27">
        <v>0.15110000000000001</v>
      </c>
      <c r="L2802" s="27">
        <v>4.2700000000000002E-2</v>
      </c>
      <c r="S2802" s="27">
        <v>0.505</v>
      </c>
      <c r="T2802" s="27">
        <v>0.49220000000000003</v>
      </c>
    </row>
    <row r="2803" spans="1:20">
      <c r="A2803" t="s">
        <v>797</v>
      </c>
      <c r="B2803" t="s">
        <v>209</v>
      </c>
      <c r="C2803">
        <v>36</v>
      </c>
      <c r="D2803" t="s">
        <v>210</v>
      </c>
      <c r="E2803">
        <v>967</v>
      </c>
      <c r="H2803" s="1">
        <v>0.25259999999999999</v>
      </c>
      <c r="J2803" s="1">
        <v>0.10100000000000001</v>
      </c>
      <c r="S2803" s="1">
        <v>0.57769999999999999</v>
      </c>
      <c r="T2803" s="1">
        <v>0.61199999999999999</v>
      </c>
    </row>
    <row r="2804" spans="1:20">
      <c r="A2804" t="s">
        <v>796</v>
      </c>
      <c r="B2804" t="s">
        <v>209</v>
      </c>
      <c r="C2804">
        <v>38</v>
      </c>
      <c r="D2804" t="s">
        <v>210</v>
      </c>
      <c r="E2804">
        <v>967</v>
      </c>
      <c r="H2804" s="1">
        <v>1.72E-2</v>
      </c>
      <c r="J2804" s="1">
        <v>0.28739999999999999</v>
      </c>
      <c r="N2804" s="1">
        <v>3.6400000000000002E-2</v>
      </c>
      <c r="S2804" s="1">
        <v>0.62450000000000006</v>
      </c>
      <c r="T2804" s="1">
        <v>0.64170000000000005</v>
      </c>
    </row>
    <row r="2806" spans="1:20">
      <c r="A2806" t="s">
        <v>798</v>
      </c>
    </row>
    <row r="2807" spans="1:20">
      <c r="A2807" t="s">
        <v>214</v>
      </c>
      <c r="B2807" t="s">
        <v>189</v>
      </c>
      <c r="C2807" t="s">
        <v>195</v>
      </c>
      <c r="D2807" t="s">
        <v>190</v>
      </c>
      <c r="E2807" t="s">
        <v>196</v>
      </c>
      <c r="F2807" t="s">
        <v>735</v>
      </c>
      <c r="G2807" t="s">
        <v>737</v>
      </c>
      <c r="H2807" t="s">
        <v>228</v>
      </c>
      <c r="I2807" t="s">
        <v>738</v>
      </c>
      <c r="J2807" t="s">
        <v>276</v>
      </c>
      <c r="K2807" t="s">
        <v>223</v>
      </c>
      <c r="L2807" t="s">
        <v>740</v>
      </c>
      <c r="M2807" t="s">
        <v>741</v>
      </c>
      <c r="N2807" t="s">
        <v>742</v>
      </c>
      <c r="O2807" t="s">
        <v>743</v>
      </c>
      <c r="P2807" t="s">
        <v>793</v>
      </c>
      <c r="Q2807" t="s">
        <v>744</v>
      </c>
      <c r="R2807" t="s">
        <v>745</v>
      </c>
      <c r="S2807" t="s">
        <v>747</v>
      </c>
      <c r="T2807" t="s">
        <v>748</v>
      </c>
    </row>
    <row r="2808" spans="1:20">
      <c r="A2808" t="s">
        <v>198</v>
      </c>
      <c r="B2808" t="s">
        <v>197</v>
      </c>
      <c r="C2808">
        <v>967</v>
      </c>
      <c r="D2808" t="s">
        <v>198</v>
      </c>
      <c r="E2808">
        <v>967</v>
      </c>
      <c r="F2808" s="1">
        <v>2.0000000000000001E-4</v>
      </c>
      <c r="G2808" s="1">
        <v>4.1000000000000003E-3</v>
      </c>
      <c r="H2808" s="1">
        <v>0.1221</v>
      </c>
      <c r="I2808" s="1">
        <v>1E-3</v>
      </c>
      <c r="J2808" s="1">
        <v>0.21809999999999999</v>
      </c>
      <c r="K2808" s="1">
        <v>5.9999999999999995E-4</v>
      </c>
      <c r="L2808" s="1">
        <v>1.09E-2</v>
      </c>
      <c r="M2808" s="1">
        <v>1.5599999999999999E-2</v>
      </c>
      <c r="N2808" s="1">
        <v>1.9E-3</v>
      </c>
      <c r="O2808" s="1">
        <v>3.7900000000000003E-2</v>
      </c>
      <c r="P2808" s="1">
        <v>3.9899999999999998E-2</v>
      </c>
      <c r="Q2808" s="1">
        <v>2E-3</v>
      </c>
      <c r="R2808" s="1">
        <v>1.2999999999999999E-3</v>
      </c>
      <c r="S2808" s="1">
        <v>0.58979999999999999</v>
      </c>
      <c r="T2808" s="1">
        <v>0.57809999999999995</v>
      </c>
    </row>
    <row r="2809" spans="1:20">
      <c r="A2809" t="s">
        <v>235</v>
      </c>
      <c r="B2809" t="s">
        <v>204</v>
      </c>
      <c r="C2809">
        <v>63</v>
      </c>
      <c r="D2809" t="s">
        <v>208</v>
      </c>
      <c r="E2809">
        <v>967</v>
      </c>
      <c r="H2809" s="1">
        <v>0.1111</v>
      </c>
      <c r="J2809" s="1">
        <v>4.7600000000000003E-2</v>
      </c>
      <c r="O2809" s="1">
        <v>7.9399999999999998E-2</v>
      </c>
      <c r="P2809" s="1">
        <v>4.7600000000000003E-2</v>
      </c>
      <c r="R2809" s="1">
        <v>1.5900000000000001E-2</v>
      </c>
      <c r="S2809" s="1">
        <v>0.84130000000000005</v>
      </c>
      <c r="T2809" s="1">
        <v>0.79369999999999996</v>
      </c>
    </row>
    <row r="2810" spans="1:20">
      <c r="A2810" t="s">
        <v>236</v>
      </c>
      <c r="B2810" t="s">
        <v>204</v>
      </c>
      <c r="C2810">
        <v>32</v>
      </c>
      <c r="D2810" t="s">
        <v>205</v>
      </c>
      <c r="E2810">
        <v>967</v>
      </c>
      <c r="H2810" s="1">
        <v>5.8799999999999998E-2</v>
      </c>
      <c r="J2810" s="1">
        <v>0.31490000000000001</v>
      </c>
      <c r="M2810" s="1">
        <v>1.37E-2</v>
      </c>
      <c r="S2810" s="1">
        <v>0.62629999999999997</v>
      </c>
      <c r="T2810" s="1">
        <v>0.61260000000000003</v>
      </c>
    </row>
    <row r="2811" spans="1:20">
      <c r="A2811" t="s">
        <v>235</v>
      </c>
      <c r="B2811" t="s">
        <v>204</v>
      </c>
      <c r="C2811">
        <v>58</v>
      </c>
      <c r="D2811" t="s">
        <v>205</v>
      </c>
      <c r="E2811">
        <v>967</v>
      </c>
      <c r="H2811" s="1">
        <v>5.8999999999999997E-2</v>
      </c>
      <c r="J2811" s="1">
        <v>0.15010000000000001</v>
      </c>
      <c r="O2811" s="1">
        <v>0.1177</v>
      </c>
      <c r="P2811" s="1">
        <v>0.1061</v>
      </c>
      <c r="S2811" s="1">
        <v>0.6714</v>
      </c>
      <c r="T2811" s="1">
        <v>0.55620000000000003</v>
      </c>
    </row>
    <row r="2812" spans="1:20" s="26" customFormat="1">
      <c r="A2812" s="26" t="s">
        <v>236</v>
      </c>
      <c r="B2812" s="26" t="s">
        <v>204</v>
      </c>
      <c r="C2812" s="26">
        <v>21</v>
      </c>
      <c r="D2812" s="26" t="s">
        <v>206</v>
      </c>
      <c r="E2812" s="26">
        <v>967</v>
      </c>
      <c r="J2812" s="27">
        <v>0.1711</v>
      </c>
      <c r="O2812" s="27">
        <v>8.5500000000000007E-2</v>
      </c>
      <c r="P2812" s="27">
        <v>4.2799999999999998E-2</v>
      </c>
      <c r="S2812" s="27">
        <v>0.72640000000000005</v>
      </c>
      <c r="T2812" s="27">
        <v>0.76919999999999999</v>
      </c>
    </row>
    <row r="2813" spans="1:20">
      <c r="A2813" t="s">
        <v>235</v>
      </c>
      <c r="B2813" t="s">
        <v>204</v>
      </c>
      <c r="C2813">
        <v>47</v>
      </c>
      <c r="D2813" t="s">
        <v>206</v>
      </c>
      <c r="E2813">
        <v>967</v>
      </c>
      <c r="H2813" s="1">
        <v>0.1237</v>
      </c>
      <c r="J2813" s="1">
        <v>0.21990000000000001</v>
      </c>
      <c r="L2813" s="1">
        <v>1.72E-2</v>
      </c>
      <c r="M2813" s="1">
        <v>2.4E-2</v>
      </c>
      <c r="N2813" s="1">
        <v>4.8099999999999997E-2</v>
      </c>
      <c r="S2813" s="1">
        <v>0.54300000000000004</v>
      </c>
      <c r="T2813" s="1">
        <v>0.63229999999999997</v>
      </c>
    </row>
    <row r="2814" spans="1:20">
      <c r="A2814" t="s">
        <v>236</v>
      </c>
      <c r="B2814" t="s">
        <v>204</v>
      </c>
      <c r="C2814">
        <v>81</v>
      </c>
      <c r="D2814" t="s">
        <v>207</v>
      </c>
      <c r="E2814">
        <v>967</v>
      </c>
      <c r="H2814" s="1">
        <v>7.0800000000000002E-2</v>
      </c>
      <c r="J2814" s="1">
        <v>9.7199999999999995E-2</v>
      </c>
      <c r="L2814" s="1">
        <v>1.4999999999999999E-2</v>
      </c>
      <c r="M2814" s="1">
        <v>0.11210000000000001</v>
      </c>
      <c r="N2814" s="1">
        <v>8.8000000000000005E-3</v>
      </c>
      <c r="O2814" s="1">
        <v>8.8000000000000005E-3</v>
      </c>
      <c r="P2814" s="1">
        <v>3.7000000000000002E-3</v>
      </c>
      <c r="S2814" s="1">
        <v>0.80759999999999998</v>
      </c>
      <c r="T2814" s="1">
        <v>0.80220000000000002</v>
      </c>
    </row>
    <row r="2815" spans="1:20">
      <c r="A2815" t="s">
        <v>235</v>
      </c>
      <c r="B2815" t="s">
        <v>204</v>
      </c>
      <c r="C2815">
        <v>45</v>
      </c>
      <c r="D2815" t="s">
        <v>207</v>
      </c>
      <c r="E2815">
        <v>967</v>
      </c>
      <c r="H2815" s="1">
        <v>7.9899999999999999E-2</v>
      </c>
      <c r="J2815" s="1">
        <v>2.9899999999999999E-2</v>
      </c>
      <c r="L2815" s="1">
        <v>8.5000000000000006E-3</v>
      </c>
      <c r="M2815" s="1">
        <v>7.8299999999999995E-2</v>
      </c>
      <c r="O2815" s="1">
        <v>1.6899999999999998E-2</v>
      </c>
      <c r="P2815" s="1">
        <v>2.5399999999999999E-2</v>
      </c>
      <c r="S2815" s="1">
        <v>0.86870000000000003</v>
      </c>
      <c r="T2815" s="1">
        <v>0.88170000000000004</v>
      </c>
    </row>
    <row r="2816" spans="1:20" s="26" customFormat="1">
      <c r="A2816" s="26" t="s">
        <v>236</v>
      </c>
      <c r="B2816" s="26" t="s">
        <v>204</v>
      </c>
      <c r="C2816" s="26">
        <v>11</v>
      </c>
      <c r="D2816" s="26" t="s">
        <v>208</v>
      </c>
      <c r="E2816" s="26">
        <v>967</v>
      </c>
      <c r="G2816" s="27">
        <v>9.0899999999999995E-2</v>
      </c>
      <c r="H2816" s="27">
        <v>0.18179999999999999</v>
      </c>
      <c r="J2816" s="27">
        <v>9.0899999999999995E-2</v>
      </c>
      <c r="N2816" s="27">
        <v>9.0899999999999995E-2</v>
      </c>
      <c r="S2816" s="27">
        <v>0.63639999999999997</v>
      </c>
      <c r="T2816" s="27">
        <v>0.54549999999999998</v>
      </c>
    </row>
    <row r="2817" spans="1:22">
      <c r="A2817" t="s">
        <v>235</v>
      </c>
      <c r="B2817" t="s">
        <v>199</v>
      </c>
      <c r="C2817">
        <v>44</v>
      </c>
      <c r="D2817" t="s">
        <v>203</v>
      </c>
      <c r="E2817">
        <v>967</v>
      </c>
      <c r="H2817" s="1">
        <v>7.3700000000000002E-2</v>
      </c>
      <c r="I2817" s="1">
        <v>4.2799999999999998E-2</v>
      </c>
      <c r="J2817" s="1">
        <v>0.12959999999999999</v>
      </c>
      <c r="M2817" s="1">
        <v>1.5100000000000001E-2</v>
      </c>
      <c r="O2817" s="1">
        <v>0.12839999999999999</v>
      </c>
      <c r="R2817" s="1">
        <v>1.5100000000000001E-2</v>
      </c>
      <c r="S2817" s="1">
        <v>0.6532</v>
      </c>
      <c r="T2817" s="1">
        <v>0.72370000000000001</v>
      </c>
    </row>
    <row r="2818" spans="1:22">
      <c r="A2818" t="s">
        <v>236</v>
      </c>
      <c r="B2818" t="s">
        <v>199</v>
      </c>
      <c r="C2818">
        <v>32</v>
      </c>
      <c r="D2818" t="s">
        <v>203</v>
      </c>
      <c r="E2818">
        <v>967</v>
      </c>
      <c r="H2818" s="1">
        <v>0.12180000000000001</v>
      </c>
      <c r="J2818" s="1">
        <v>0.26400000000000001</v>
      </c>
      <c r="M2818" s="1">
        <v>2.75E-2</v>
      </c>
      <c r="Q2818" s="1">
        <v>8.3999999999999995E-3</v>
      </c>
      <c r="R2818" s="1">
        <v>8.3999999999999995E-3</v>
      </c>
      <c r="S2818" s="1">
        <v>0.52700000000000002</v>
      </c>
      <c r="T2818" s="1">
        <v>0.3453</v>
      </c>
    </row>
    <row r="2819" spans="1:22">
      <c r="A2819" t="s">
        <v>235</v>
      </c>
      <c r="B2819" t="s">
        <v>199</v>
      </c>
      <c r="C2819">
        <v>60</v>
      </c>
      <c r="D2819" t="s">
        <v>202</v>
      </c>
      <c r="E2819">
        <v>967</v>
      </c>
      <c r="G2819" s="1">
        <v>1.4800000000000001E-2</v>
      </c>
      <c r="H2819" s="1">
        <v>0.10100000000000001</v>
      </c>
      <c r="J2819" s="1">
        <v>0.46910000000000002</v>
      </c>
      <c r="K2819" s="1">
        <v>7.4000000000000003E-3</v>
      </c>
      <c r="O2819" s="1">
        <v>2.3199999999999998E-2</v>
      </c>
      <c r="P2819" s="1">
        <v>1.47E-2</v>
      </c>
      <c r="S2819" s="1">
        <v>0.34079999999999999</v>
      </c>
      <c r="T2819" s="1">
        <v>0.41520000000000001</v>
      </c>
    </row>
    <row r="2820" spans="1:22" s="26" customFormat="1">
      <c r="A2820" s="26" t="s">
        <v>236</v>
      </c>
      <c r="B2820" s="26" t="s">
        <v>199</v>
      </c>
      <c r="C2820" s="26">
        <v>24</v>
      </c>
      <c r="D2820" s="26" t="s">
        <v>200</v>
      </c>
      <c r="E2820" s="26">
        <v>967</v>
      </c>
      <c r="H2820" s="27">
        <v>0.1089</v>
      </c>
      <c r="J2820" s="27">
        <v>0.61750000000000005</v>
      </c>
      <c r="L2820" s="27">
        <v>3.3999999999999998E-3</v>
      </c>
      <c r="Q2820" s="27">
        <v>0.14560000000000001</v>
      </c>
      <c r="S2820" s="27">
        <v>5.9499999999999997E-2</v>
      </c>
      <c r="T2820" s="27">
        <v>9.2100000000000001E-2</v>
      </c>
    </row>
    <row r="2821" spans="1:22">
      <c r="A2821" t="s">
        <v>235</v>
      </c>
      <c r="B2821" t="s">
        <v>199</v>
      </c>
      <c r="C2821">
        <v>46</v>
      </c>
      <c r="D2821" t="s">
        <v>200</v>
      </c>
      <c r="E2821">
        <v>967</v>
      </c>
      <c r="H2821" s="1">
        <v>0.10929999999999999</v>
      </c>
      <c r="J2821" s="1">
        <v>0.14510000000000001</v>
      </c>
      <c r="L2821" s="1">
        <v>0.17949999999999999</v>
      </c>
      <c r="O2821" s="1">
        <v>8.8300000000000003E-2</v>
      </c>
      <c r="S2821" s="1">
        <v>0.52439999999999998</v>
      </c>
      <c r="T2821" s="1">
        <v>0.73960000000000004</v>
      </c>
    </row>
    <row r="2822" spans="1:22">
      <c r="A2822" t="s">
        <v>236</v>
      </c>
      <c r="B2822" t="s">
        <v>199</v>
      </c>
      <c r="C2822">
        <v>37</v>
      </c>
      <c r="D2822" t="s">
        <v>202</v>
      </c>
      <c r="E2822">
        <v>967</v>
      </c>
      <c r="H2822" s="1">
        <v>0.28189999999999998</v>
      </c>
      <c r="J2822" s="1">
        <v>0.37040000000000001</v>
      </c>
      <c r="L2822" s="1">
        <v>3.2800000000000003E-2</v>
      </c>
      <c r="S2822" s="1">
        <v>0.27229999999999999</v>
      </c>
      <c r="T2822" s="1">
        <v>0.31480000000000002</v>
      </c>
    </row>
    <row r="2823" spans="1:22">
      <c r="A2823" t="s">
        <v>235</v>
      </c>
      <c r="B2823" t="s">
        <v>199</v>
      </c>
      <c r="C2823">
        <v>96</v>
      </c>
      <c r="D2823" t="s">
        <v>201</v>
      </c>
      <c r="E2823">
        <v>967</v>
      </c>
      <c r="G2823" s="1">
        <v>1.04E-2</v>
      </c>
      <c r="H2823" s="1">
        <v>0.17710000000000001</v>
      </c>
      <c r="J2823" s="1">
        <v>0.23960000000000001</v>
      </c>
      <c r="L2823" s="1">
        <v>1.04E-2</v>
      </c>
      <c r="P2823" s="1">
        <v>6.25E-2</v>
      </c>
      <c r="S2823" s="1">
        <v>0.51039999999999996</v>
      </c>
      <c r="T2823" s="1">
        <v>0.51039999999999996</v>
      </c>
    </row>
    <row r="2824" spans="1:22">
      <c r="A2824" t="s">
        <v>236</v>
      </c>
      <c r="B2824" t="s">
        <v>209</v>
      </c>
      <c r="C2824">
        <v>39</v>
      </c>
      <c r="D2824" t="s">
        <v>211</v>
      </c>
      <c r="E2824">
        <v>967</v>
      </c>
      <c r="H2824" s="1">
        <v>0.15820000000000001</v>
      </c>
      <c r="J2824" s="1">
        <v>0.49430000000000002</v>
      </c>
      <c r="L2824" s="1">
        <v>2.3699999999999999E-2</v>
      </c>
      <c r="M2824" s="1">
        <v>1.18E-2</v>
      </c>
      <c r="O2824" s="1">
        <v>2.76E-2</v>
      </c>
      <c r="P2824" s="1">
        <v>2.3699999999999999E-2</v>
      </c>
      <c r="S2824" s="1">
        <v>0.29220000000000002</v>
      </c>
      <c r="T2824" s="1">
        <v>0.3357</v>
      </c>
    </row>
    <row r="2825" spans="1:22">
      <c r="A2825" t="s">
        <v>235</v>
      </c>
      <c r="B2825" t="s">
        <v>209</v>
      </c>
      <c r="C2825">
        <v>56</v>
      </c>
      <c r="D2825" t="s">
        <v>211</v>
      </c>
      <c r="E2825">
        <v>967</v>
      </c>
      <c r="F2825" s="1">
        <v>6.8999999999999999E-3</v>
      </c>
      <c r="H2825" s="1">
        <v>0.1178</v>
      </c>
      <c r="J2825" s="1">
        <v>0.24729999999999999</v>
      </c>
      <c r="O2825" s="1">
        <v>0.1017</v>
      </c>
      <c r="P2825" s="1">
        <v>2.6599999999999999E-2</v>
      </c>
      <c r="S2825" s="1">
        <v>0.56559999999999999</v>
      </c>
      <c r="T2825" s="1">
        <v>0.50319999999999998</v>
      </c>
    </row>
    <row r="2826" spans="1:22">
      <c r="A2826" t="s">
        <v>235</v>
      </c>
      <c r="B2826" t="s">
        <v>209</v>
      </c>
      <c r="C2826">
        <v>66</v>
      </c>
      <c r="D2826" t="s">
        <v>212</v>
      </c>
      <c r="E2826">
        <v>967</v>
      </c>
      <c r="H2826" s="1">
        <v>0.14050000000000001</v>
      </c>
      <c r="J2826" s="1">
        <v>0.2019</v>
      </c>
      <c r="L2826" s="1">
        <v>1.6500000000000001E-2</v>
      </c>
      <c r="O2826" s="1">
        <v>1.6500000000000001E-2</v>
      </c>
      <c r="P2826" s="1">
        <v>1.6500000000000001E-2</v>
      </c>
      <c r="S2826" s="1">
        <v>0.61870000000000003</v>
      </c>
      <c r="T2826" s="1">
        <v>0.62460000000000004</v>
      </c>
    </row>
    <row r="2827" spans="1:22" s="26" customFormat="1">
      <c r="A2827" s="26" t="s">
        <v>236</v>
      </c>
      <c r="B2827" s="26" t="s">
        <v>209</v>
      </c>
      <c r="C2827" s="26">
        <v>18</v>
      </c>
      <c r="D2827" s="26" t="s">
        <v>212</v>
      </c>
      <c r="E2827" s="26">
        <v>967</v>
      </c>
      <c r="H2827" s="27">
        <v>0.1013</v>
      </c>
      <c r="J2827" s="27">
        <v>0.40460000000000002</v>
      </c>
      <c r="P2827" s="27">
        <v>5.3400000000000003E-2</v>
      </c>
      <c r="S2827" s="27">
        <v>0.44059999999999999</v>
      </c>
      <c r="T2827" s="27">
        <v>0.35670000000000002</v>
      </c>
    </row>
    <row r="2828" spans="1:22">
      <c r="A2828" t="s">
        <v>236</v>
      </c>
      <c r="B2828" t="s">
        <v>209</v>
      </c>
      <c r="C2828">
        <v>38</v>
      </c>
      <c r="D2828" t="s">
        <v>210</v>
      </c>
      <c r="E2828">
        <v>967</v>
      </c>
      <c r="H2828" s="1">
        <v>0.122</v>
      </c>
      <c r="J2828" s="1">
        <v>0.33729999999999999</v>
      </c>
      <c r="S2828" s="1">
        <v>0.5</v>
      </c>
      <c r="T2828" s="1">
        <v>0.4773</v>
      </c>
    </row>
    <row r="2829" spans="1:22">
      <c r="A2829" t="s">
        <v>235</v>
      </c>
      <c r="B2829" t="s">
        <v>209</v>
      </c>
      <c r="C2829">
        <v>32</v>
      </c>
      <c r="D2829" t="s">
        <v>210</v>
      </c>
      <c r="E2829">
        <v>967</v>
      </c>
      <c r="H2829" s="1">
        <v>0.16159999999999999</v>
      </c>
      <c r="J2829" s="1">
        <v>6.4600000000000005E-2</v>
      </c>
      <c r="N2829" s="1">
        <v>3.2300000000000002E-2</v>
      </c>
      <c r="S2829" s="1">
        <v>0.67679999999999996</v>
      </c>
      <c r="T2829" s="1">
        <v>0.74150000000000005</v>
      </c>
    </row>
    <row r="2831" spans="1:22">
      <c r="A2831" t="s">
        <v>799</v>
      </c>
    </row>
    <row r="2832" spans="1:22">
      <c r="A2832" t="s">
        <v>189</v>
      </c>
      <c r="B2832" t="s">
        <v>195</v>
      </c>
      <c r="C2832" t="s">
        <v>190</v>
      </c>
      <c r="D2832" t="s">
        <v>196</v>
      </c>
      <c r="E2832" t="s">
        <v>800</v>
      </c>
      <c r="F2832" t="s">
        <v>801</v>
      </c>
      <c r="G2832" t="s">
        <v>802</v>
      </c>
      <c r="H2832" t="s">
        <v>228</v>
      </c>
      <c r="I2832" t="s">
        <v>803</v>
      </c>
      <c r="J2832" t="s">
        <v>804</v>
      </c>
      <c r="K2832" t="s">
        <v>805</v>
      </c>
      <c r="L2832" t="s">
        <v>806</v>
      </c>
      <c r="M2832" t="s">
        <v>807</v>
      </c>
      <c r="N2832" t="s">
        <v>808</v>
      </c>
      <c r="O2832" t="s">
        <v>809</v>
      </c>
      <c r="P2832" t="s">
        <v>810</v>
      </c>
      <c r="Q2832" t="s">
        <v>811</v>
      </c>
      <c r="R2832" t="s">
        <v>276</v>
      </c>
      <c r="S2832" t="s">
        <v>278</v>
      </c>
      <c r="T2832" t="s">
        <v>223</v>
      </c>
      <c r="U2832" t="s">
        <v>812</v>
      </c>
      <c r="V2832" t="s">
        <v>813</v>
      </c>
    </row>
    <row r="2833" spans="1:23">
      <c r="A2833" t="s">
        <v>197</v>
      </c>
      <c r="B2833">
        <v>966</v>
      </c>
      <c r="C2833" t="s">
        <v>198</v>
      </c>
      <c r="D2833">
        <v>966</v>
      </c>
      <c r="E2833" s="1">
        <v>5.7700000000000001E-2</v>
      </c>
      <c r="F2833" s="1">
        <v>0.17119999999999999</v>
      </c>
      <c r="G2833" s="1">
        <v>0.26090000000000002</v>
      </c>
      <c r="H2833" s="1">
        <v>5.4999999999999997E-3</v>
      </c>
      <c r="I2833" s="1">
        <v>0.17180000000000001</v>
      </c>
      <c r="J2833" s="1">
        <v>3.8100000000000002E-2</v>
      </c>
      <c r="K2833" s="1">
        <v>3.44E-2</v>
      </c>
      <c r="L2833" s="1">
        <v>1.61E-2</v>
      </c>
      <c r="M2833" s="1">
        <v>1.35E-2</v>
      </c>
      <c r="N2833" s="1">
        <v>1.49E-2</v>
      </c>
      <c r="O2833" s="1">
        <v>3.27E-2</v>
      </c>
      <c r="P2833" s="1">
        <v>9.9500000000000005E-2</v>
      </c>
      <c r="Q2833" s="1">
        <v>9.4000000000000004E-3</v>
      </c>
      <c r="R2833" s="1">
        <v>0.36230000000000001</v>
      </c>
      <c r="S2833" s="1">
        <v>1.1000000000000001E-3</v>
      </c>
      <c r="T2833" s="1">
        <v>1.2E-2</v>
      </c>
      <c r="U2833" s="1">
        <v>6.2600000000000003E-2</v>
      </c>
      <c r="V2833" s="1">
        <v>4.0000000000000002E-4</v>
      </c>
    </row>
    <row r="2834" spans="1:23">
      <c r="A2834" t="s">
        <v>204</v>
      </c>
      <c r="B2834">
        <v>91</v>
      </c>
      <c r="C2834" t="s">
        <v>205</v>
      </c>
      <c r="D2834">
        <v>966</v>
      </c>
      <c r="E2834" s="1">
        <v>2.7900000000000001E-2</v>
      </c>
      <c r="F2834" s="1">
        <v>0.12529999999999999</v>
      </c>
      <c r="G2834" s="1">
        <v>0.42659999999999998</v>
      </c>
      <c r="I2834" s="1">
        <v>5.8700000000000002E-2</v>
      </c>
      <c r="J2834" s="1">
        <v>5.0200000000000002E-2</v>
      </c>
      <c r="K2834" s="1">
        <v>8.4400000000000003E-2</v>
      </c>
      <c r="M2834" s="1">
        <v>3.9199999999999999E-2</v>
      </c>
      <c r="N2834" s="1">
        <v>4.8399999999999999E-2</v>
      </c>
      <c r="O2834" s="1">
        <v>2.4299999999999999E-2</v>
      </c>
      <c r="P2834" s="1">
        <v>0.1275</v>
      </c>
      <c r="Q2834" s="1">
        <v>1.52E-2</v>
      </c>
      <c r="R2834" s="1">
        <v>0.26569999999999999</v>
      </c>
      <c r="T2834" s="1">
        <v>3.6700000000000003E-2</v>
      </c>
      <c r="U2834" s="1">
        <v>8.8300000000000003E-2</v>
      </c>
    </row>
    <row r="2835" spans="1:23">
      <c r="A2835" t="s">
        <v>204</v>
      </c>
      <c r="B2835">
        <v>72</v>
      </c>
      <c r="C2835" t="s">
        <v>206</v>
      </c>
      <c r="D2835">
        <v>966</v>
      </c>
      <c r="E2835" s="1">
        <v>6.0400000000000002E-2</v>
      </c>
      <c r="F2835" s="1">
        <v>0.33489999999999998</v>
      </c>
      <c r="G2835" s="1">
        <v>0.20219999999999999</v>
      </c>
      <c r="I2835" s="1">
        <v>9.5399999999999999E-2</v>
      </c>
      <c r="K2835" s="1">
        <v>1.6299999999999999E-2</v>
      </c>
      <c r="L2835" s="1">
        <v>1.6299999999999999E-2</v>
      </c>
      <c r="M2835" s="1">
        <v>1.1599999999999999E-2</v>
      </c>
      <c r="O2835" s="1">
        <v>3.9600000000000003E-2</v>
      </c>
      <c r="P2835" s="1">
        <v>4.4200000000000003E-2</v>
      </c>
      <c r="Q2835" s="1">
        <v>1.1599999999999999E-2</v>
      </c>
      <c r="R2835" s="1">
        <v>0.38850000000000001</v>
      </c>
      <c r="S2835" s="1">
        <v>1.1599999999999999E-2</v>
      </c>
    </row>
    <row r="2836" spans="1:23">
      <c r="A2836" t="s">
        <v>204</v>
      </c>
      <c r="B2836">
        <v>131</v>
      </c>
      <c r="C2836" t="s">
        <v>207</v>
      </c>
      <c r="D2836">
        <v>966</v>
      </c>
      <c r="E2836" s="1">
        <v>4.9799999999999997E-2</v>
      </c>
      <c r="F2836" s="1">
        <v>0.123</v>
      </c>
      <c r="G2836" s="1">
        <v>0.16689999999999999</v>
      </c>
      <c r="I2836" s="1">
        <v>0.29899999999999999</v>
      </c>
      <c r="J2836" s="1">
        <v>4.7E-2</v>
      </c>
      <c r="K2836" s="1">
        <v>4.7800000000000002E-2</v>
      </c>
      <c r="L2836" s="1">
        <v>5.3100000000000001E-2</v>
      </c>
      <c r="M2836" s="1">
        <v>5.1000000000000004E-3</v>
      </c>
      <c r="N2836" s="1">
        <v>3.5999999999999999E-3</v>
      </c>
      <c r="O2836" s="1">
        <v>0.1038</v>
      </c>
      <c r="P2836" s="1">
        <v>5.2299999999999999E-2</v>
      </c>
      <c r="Q2836" s="1">
        <v>1.23E-2</v>
      </c>
      <c r="R2836" s="1">
        <v>0.4582</v>
      </c>
      <c r="U2836" s="1">
        <v>2.3999999999999998E-3</v>
      </c>
      <c r="V2836" s="1">
        <v>2.5000000000000001E-3</v>
      </c>
    </row>
    <row r="2837" spans="1:23">
      <c r="A2837" t="s">
        <v>204</v>
      </c>
      <c r="B2837">
        <v>74</v>
      </c>
      <c r="C2837" t="s">
        <v>208</v>
      </c>
      <c r="D2837">
        <v>966</v>
      </c>
      <c r="E2837" s="1">
        <v>6.7599999999999993E-2</v>
      </c>
      <c r="F2837" s="1">
        <v>0.29730000000000001</v>
      </c>
      <c r="G2837" s="1">
        <v>0.1216</v>
      </c>
      <c r="H2837" s="1">
        <v>1.35E-2</v>
      </c>
      <c r="I2837" s="1">
        <v>0.1757</v>
      </c>
      <c r="J2837" s="1">
        <v>0.1081</v>
      </c>
      <c r="K2837" s="1">
        <v>4.0500000000000001E-2</v>
      </c>
      <c r="L2837" s="1">
        <v>1.35E-2</v>
      </c>
      <c r="M2837" s="1">
        <v>1.35E-2</v>
      </c>
      <c r="N2837" s="1">
        <v>1.35E-2</v>
      </c>
      <c r="P2837" s="1">
        <v>0.14860000000000001</v>
      </c>
      <c r="R2837" s="1">
        <v>0.29730000000000001</v>
      </c>
      <c r="T2837" s="1">
        <v>2.7E-2</v>
      </c>
      <c r="U2837" s="1">
        <v>0.14860000000000001</v>
      </c>
    </row>
    <row r="2838" spans="1:23">
      <c r="A2838" t="s">
        <v>199</v>
      </c>
      <c r="B2838">
        <v>73</v>
      </c>
      <c r="C2838" t="s">
        <v>200</v>
      </c>
      <c r="D2838">
        <v>966</v>
      </c>
      <c r="E2838" s="1">
        <v>9.4999999999999998E-3</v>
      </c>
      <c r="F2838" s="1">
        <v>0.19059999999999999</v>
      </c>
      <c r="G2838" s="1">
        <v>0.21540000000000001</v>
      </c>
      <c r="H2838" s="1">
        <v>1.6000000000000001E-3</v>
      </c>
      <c r="I2838" s="1">
        <v>0.24329999999999999</v>
      </c>
      <c r="J2838" s="1">
        <v>4.6399999999999997E-2</v>
      </c>
      <c r="L2838" s="1">
        <v>1.6000000000000001E-3</v>
      </c>
      <c r="O2838" s="1">
        <v>5.5899999999999998E-2</v>
      </c>
      <c r="P2838" s="1">
        <v>1.6000000000000001E-3</v>
      </c>
      <c r="R2838" s="1">
        <v>0.42020000000000002</v>
      </c>
    </row>
    <row r="2839" spans="1:23">
      <c r="A2839" t="s">
        <v>199</v>
      </c>
      <c r="B2839">
        <v>96</v>
      </c>
      <c r="C2839" t="s">
        <v>201</v>
      </c>
      <c r="D2839">
        <v>966</v>
      </c>
      <c r="E2839" s="1">
        <v>8.3299999999999999E-2</v>
      </c>
      <c r="F2839" s="1">
        <v>0.125</v>
      </c>
      <c r="G2839" s="1">
        <v>0.35420000000000001</v>
      </c>
      <c r="I2839" s="1">
        <v>0.22919999999999999</v>
      </c>
      <c r="J2839" s="1">
        <v>1.04E-2</v>
      </c>
      <c r="K2839" s="1">
        <v>1.04E-2</v>
      </c>
      <c r="L2839" s="1">
        <v>1.04E-2</v>
      </c>
      <c r="M2839" s="1">
        <v>1.04E-2</v>
      </c>
      <c r="N2839" s="1">
        <v>1.04E-2</v>
      </c>
      <c r="O2839" s="1">
        <v>1.04E-2</v>
      </c>
      <c r="P2839" s="1">
        <v>0.13539999999999999</v>
      </c>
      <c r="Q2839" s="1">
        <v>1.04E-2</v>
      </c>
      <c r="R2839" s="1">
        <v>0.28120000000000001</v>
      </c>
      <c r="U2839" s="1">
        <v>0.125</v>
      </c>
    </row>
    <row r="2840" spans="1:23">
      <c r="A2840" t="s">
        <v>199</v>
      </c>
      <c r="B2840">
        <v>98</v>
      </c>
      <c r="C2840" t="s">
        <v>202</v>
      </c>
      <c r="D2840">
        <v>966</v>
      </c>
      <c r="E2840" s="1">
        <v>8.0799999999999997E-2</v>
      </c>
      <c r="F2840" s="1">
        <v>0.1744</v>
      </c>
      <c r="G2840" s="1">
        <v>0.25940000000000002</v>
      </c>
      <c r="H2840" s="1">
        <v>1.8700000000000001E-2</v>
      </c>
      <c r="I2840" s="1">
        <v>0.18679999999999999</v>
      </c>
      <c r="J2840" s="1">
        <v>5.33E-2</v>
      </c>
      <c r="K2840" s="1">
        <v>2.69E-2</v>
      </c>
      <c r="L2840" s="1">
        <v>1.2200000000000001E-2</v>
      </c>
      <c r="M2840" s="1">
        <v>8.5000000000000006E-3</v>
      </c>
      <c r="N2840" s="1">
        <v>8.5000000000000006E-3</v>
      </c>
      <c r="O2840" s="1">
        <v>1.7500000000000002E-2</v>
      </c>
      <c r="P2840" s="1">
        <v>8.8099999999999998E-2</v>
      </c>
      <c r="R2840" s="1">
        <v>0.36309999999999998</v>
      </c>
      <c r="T2840" s="1">
        <v>8.9999999999999993E-3</v>
      </c>
      <c r="U2840" s="1">
        <v>3.9800000000000002E-2</v>
      </c>
    </row>
    <row r="2841" spans="1:23">
      <c r="A2841" t="s">
        <v>199</v>
      </c>
      <c r="B2841">
        <v>76</v>
      </c>
      <c r="C2841" t="s">
        <v>203</v>
      </c>
      <c r="D2841">
        <v>966</v>
      </c>
      <c r="E2841" s="1">
        <v>1.9099999999999999E-2</v>
      </c>
      <c r="F2841" s="1">
        <v>0.23089999999999999</v>
      </c>
      <c r="G2841" s="1">
        <v>3.78E-2</v>
      </c>
      <c r="I2841" s="1">
        <v>6.2399999999999997E-2</v>
      </c>
      <c r="M2841" s="1">
        <v>8.5000000000000006E-3</v>
      </c>
      <c r="O2841" s="1">
        <v>8.4900000000000003E-2</v>
      </c>
      <c r="P2841" s="1">
        <v>1.6899999999999998E-2</v>
      </c>
      <c r="R2841" s="1">
        <v>0.59499999999999997</v>
      </c>
      <c r="S2841" s="1">
        <v>2.76E-2</v>
      </c>
    </row>
    <row r="2842" spans="1:23">
      <c r="A2842" t="s">
        <v>209</v>
      </c>
      <c r="B2842">
        <v>73</v>
      </c>
      <c r="C2842" t="s">
        <v>210</v>
      </c>
      <c r="D2842">
        <v>966</v>
      </c>
      <c r="E2842" s="1">
        <v>0.1759</v>
      </c>
      <c r="F2842" s="1">
        <v>0.51070000000000004</v>
      </c>
      <c r="G2842" s="1">
        <v>0.25090000000000001</v>
      </c>
      <c r="I2842" s="1">
        <v>7.85E-2</v>
      </c>
      <c r="K2842" s="1">
        <v>8.5000000000000006E-3</v>
      </c>
      <c r="L2842" s="1">
        <v>8.5000000000000006E-3</v>
      </c>
      <c r="M2842" s="1">
        <v>8.5000000000000006E-3</v>
      </c>
      <c r="O2842" s="1">
        <v>8.6999999999999994E-2</v>
      </c>
      <c r="P2842" s="1">
        <v>7.85E-2</v>
      </c>
      <c r="R2842" s="1">
        <v>0.2394</v>
      </c>
      <c r="U2842" s="1">
        <v>1.7999999999999999E-2</v>
      </c>
    </row>
    <row r="2843" spans="1:23">
      <c r="A2843" t="s">
        <v>209</v>
      </c>
      <c r="B2843">
        <v>97</v>
      </c>
      <c r="C2843" t="s">
        <v>211</v>
      </c>
      <c r="D2843">
        <v>966</v>
      </c>
      <c r="E2843" s="1">
        <v>0.1004</v>
      </c>
      <c r="F2843" s="1">
        <v>0.3619</v>
      </c>
      <c r="G2843" s="1">
        <v>8.9099999999999999E-2</v>
      </c>
      <c r="H2843" s="1">
        <v>1.2E-2</v>
      </c>
      <c r="I2843" s="1">
        <v>3.8199999999999998E-2</v>
      </c>
      <c r="J2843" s="1">
        <v>2.4E-2</v>
      </c>
      <c r="K2843" s="1">
        <v>1.6299999999999999E-2</v>
      </c>
      <c r="L2843" s="1">
        <v>3.6700000000000003E-2</v>
      </c>
      <c r="N2843" s="1">
        <v>4.1999999999999997E-3</v>
      </c>
      <c r="O2843" s="1">
        <v>3.39E-2</v>
      </c>
      <c r="P2843" s="1">
        <v>6.4000000000000001E-2</v>
      </c>
      <c r="Q2843" s="1">
        <v>1.52E-2</v>
      </c>
      <c r="R2843" s="1">
        <v>0.40870000000000001</v>
      </c>
      <c r="T2843" s="1">
        <v>1.2E-2</v>
      </c>
      <c r="U2843" s="1">
        <v>3.15E-2</v>
      </c>
    </row>
    <row r="2844" spans="1:23">
      <c r="A2844" t="s">
        <v>209</v>
      </c>
      <c r="B2844">
        <v>85</v>
      </c>
      <c r="C2844" t="s">
        <v>212</v>
      </c>
      <c r="D2844">
        <v>966</v>
      </c>
      <c r="E2844" s="1">
        <v>4.19E-2</v>
      </c>
      <c r="F2844" s="1">
        <v>0.185</v>
      </c>
      <c r="G2844" s="1">
        <v>0.16569999999999999</v>
      </c>
      <c r="H2844" s="1">
        <v>1.1599999999999999E-2</v>
      </c>
      <c r="I2844" s="1">
        <v>0.17199999999999999</v>
      </c>
      <c r="J2844" s="1">
        <v>1.1599999999999999E-2</v>
      </c>
      <c r="L2844" s="1">
        <v>1.1599999999999999E-2</v>
      </c>
      <c r="P2844" s="1">
        <v>0.11070000000000001</v>
      </c>
      <c r="Q2844" s="1">
        <v>1.4E-2</v>
      </c>
      <c r="R2844" s="1">
        <v>0.48399999999999999</v>
      </c>
      <c r="T2844" s="1">
        <v>7.1999999999999998E-3</v>
      </c>
      <c r="U2844" s="1">
        <v>2.7900000000000001E-2</v>
      </c>
    </row>
    <row r="2846" spans="1:23">
      <c r="A2846" t="s">
        <v>814</v>
      </c>
    </row>
    <row r="2847" spans="1:23">
      <c r="A2847" t="s">
        <v>214</v>
      </c>
      <c r="B2847" t="s">
        <v>189</v>
      </c>
      <c r="C2847" t="s">
        <v>195</v>
      </c>
      <c r="D2847" t="s">
        <v>190</v>
      </c>
      <c r="E2847" t="s">
        <v>196</v>
      </c>
      <c r="F2847" t="s">
        <v>800</v>
      </c>
      <c r="G2847" t="s">
        <v>801</v>
      </c>
      <c r="H2847" t="s">
        <v>802</v>
      </c>
      <c r="I2847" t="s">
        <v>228</v>
      </c>
      <c r="J2847" t="s">
        <v>803</v>
      </c>
      <c r="K2847" t="s">
        <v>804</v>
      </c>
      <c r="L2847" t="s">
        <v>805</v>
      </c>
      <c r="M2847" t="s">
        <v>806</v>
      </c>
      <c r="N2847" t="s">
        <v>807</v>
      </c>
      <c r="O2847" t="s">
        <v>808</v>
      </c>
      <c r="P2847" t="s">
        <v>809</v>
      </c>
      <c r="Q2847" t="s">
        <v>810</v>
      </c>
      <c r="R2847" t="s">
        <v>811</v>
      </c>
      <c r="S2847" t="s">
        <v>276</v>
      </c>
      <c r="T2847" t="s">
        <v>278</v>
      </c>
      <c r="U2847" t="s">
        <v>223</v>
      </c>
      <c r="V2847" t="s">
        <v>812</v>
      </c>
      <c r="W2847" t="s">
        <v>813</v>
      </c>
    </row>
    <row r="2848" spans="1:23">
      <c r="A2848" t="s">
        <v>198</v>
      </c>
      <c r="B2848" t="s">
        <v>197</v>
      </c>
      <c r="C2848">
        <v>966</v>
      </c>
      <c r="D2848" t="s">
        <v>198</v>
      </c>
      <c r="E2848">
        <v>966</v>
      </c>
      <c r="F2848" s="1">
        <v>5.7700000000000001E-2</v>
      </c>
      <c r="G2848" s="1">
        <v>0.17119999999999999</v>
      </c>
      <c r="H2848" s="1">
        <v>0.26090000000000002</v>
      </c>
      <c r="I2848" s="1">
        <v>5.4999999999999997E-3</v>
      </c>
      <c r="J2848" s="1">
        <v>0.17180000000000001</v>
      </c>
      <c r="K2848" s="1">
        <v>3.8100000000000002E-2</v>
      </c>
      <c r="L2848" s="1">
        <v>3.44E-2</v>
      </c>
      <c r="M2848" s="1">
        <v>1.61E-2</v>
      </c>
      <c r="N2848" s="1">
        <v>1.35E-2</v>
      </c>
      <c r="O2848" s="1">
        <v>1.49E-2</v>
      </c>
      <c r="P2848" s="1">
        <v>3.27E-2</v>
      </c>
      <c r="Q2848" s="1">
        <v>9.9500000000000005E-2</v>
      </c>
      <c r="R2848" s="1">
        <v>9.4000000000000004E-3</v>
      </c>
      <c r="S2848" s="1">
        <v>0.36230000000000001</v>
      </c>
      <c r="T2848" s="1">
        <v>1.1000000000000001E-3</v>
      </c>
      <c r="U2848" s="1">
        <v>1.2E-2</v>
      </c>
      <c r="V2848" s="1">
        <v>6.2600000000000003E-2</v>
      </c>
      <c r="W2848" s="1">
        <v>4.0000000000000002E-4</v>
      </c>
    </row>
    <row r="2849" spans="1:23">
      <c r="A2849" t="s">
        <v>235</v>
      </c>
      <c r="B2849" t="s">
        <v>204</v>
      </c>
      <c r="C2849">
        <v>63</v>
      </c>
      <c r="D2849" t="s">
        <v>208</v>
      </c>
      <c r="E2849">
        <v>966</v>
      </c>
      <c r="F2849" s="1">
        <v>6.3500000000000001E-2</v>
      </c>
      <c r="G2849" s="1">
        <v>0.30159999999999998</v>
      </c>
      <c r="H2849" s="1">
        <v>0.1429</v>
      </c>
      <c r="J2849" s="1">
        <v>0.20630000000000001</v>
      </c>
      <c r="K2849" s="1">
        <v>0.127</v>
      </c>
      <c r="L2849" s="1">
        <v>4.7600000000000003E-2</v>
      </c>
      <c r="M2849" s="1">
        <v>1.5900000000000001E-2</v>
      </c>
      <c r="N2849" s="1">
        <v>1.5900000000000001E-2</v>
      </c>
      <c r="O2849" s="1">
        <v>1.5900000000000001E-2</v>
      </c>
      <c r="Q2849" s="1">
        <v>0.17460000000000001</v>
      </c>
      <c r="S2849" s="1">
        <v>0.26979999999999998</v>
      </c>
      <c r="U2849" s="1">
        <v>1.5900000000000001E-2</v>
      </c>
      <c r="V2849" s="1">
        <v>0.15870000000000001</v>
      </c>
    </row>
    <row r="2850" spans="1:23">
      <c r="A2850" t="s">
        <v>236</v>
      </c>
      <c r="B2850" t="s">
        <v>204</v>
      </c>
      <c r="C2850">
        <v>32</v>
      </c>
      <c r="D2850" t="s">
        <v>205</v>
      </c>
      <c r="E2850">
        <v>966</v>
      </c>
      <c r="F2850" s="1">
        <v>1.37E-2</v>
      </c>
      <c r="G2850" s="1">
        <v>0.33960000000000001</v>
      </c>
      <c r="H2850" s="1">
        <v>0.40400000000000003</v>
      </c>
      <c r="J2850" s="1">
        <v>8.5199999999999998E-2</v>
      </c>
      <c r="L2850" s="1">
        <v>6.13E-2</v>
      </c>
      <c r="N2850" s="1">
        <v>1.37E-2</v>
      </c>
      <c r="O2850" s="1">
        <v>0.25409999999999999</v>
      </c>
      <c r="P2850" s="1">
        <v>6.13E-2</v>
      </c>
      <c r="Q2850" s="1">
        <v>0.17080000000000001</v>
      </c>
      <c r="S2850" s="1">
        <v>0.1706</v>
      </c>
    </row>
    <row r="2851" spans="1:23">
      <c r="A2851" t="s">
        <v>235</v>
      </c>
      <c r="B2851" t="s">
        <v>204</v>
      </c>
      <c r="C2851">
        <v>58</v>
      </c>
      <c r="D2851" t="s">
        <v>205</v>
      </c>
      <c r="E2851">
        <v>966</v>
      </c>
      <c r="F2851" s="1">
        <v>3.1E-2</v>
      </c>
      <c r="G2851" s="1">
        <v>7.9200000000000007E-2</v>
      </c>
      <c r="H2851" s="1">
        <v>0.43280000000000002</v>
      </c>
      <c r="J2851" s="1">
        <v>5.3100000000000001E-2</v>
      </c>
      <c r="K2851" s="1">
        <v>6.1199999999999997E-2</v>
      </c>
      <c r="L2851" s="1">
        <v>8.9700000000000002E-2</v>
      </c>
      <c r="N2851" s="1">
        <v>4.48E-2</v>
      </c>
      <c r="O2851" s="1">
        <v>3.8999999999999998E-3</v>
      </c>
      <c r="P2851" s="1">
        <v>1.6400000000000001E-2</v>
      </c>
      <c r="Q2851" s="1">
        <v>0.11849999999999999</v>
      </c>
      <c r="R2851" s="1">
        <v>1.8499999999999999E-2</v>
      </c>
      <c r="S2851" s="1">
        <v>0.28410000000000002</v>
      </c>
      <c r="U2851" s="1">
        <v>4.48E-2</v>
      </c>
      <c r="V2851" s="1">
        <v>0.10780000000000001</v>
      </c>
    </row>
    <row r="2852" spans="1:23" s="26" customFormat="1">
      <c r="A2852" s="26" t="s">
        <v>236</v>
      </c>
      <c r="B2852" s="26" t="s">
        <v>204</v>
      </c>
      <c r="C2852" s="26">
        <v>21</v>
      </c>
      <c r="D2852" s="26" t="s">
        <v>206</v>
      </c>
      <c r="E2852" s="26">
        <v>966</v>
      </c>
      <c r="F2852" s="27">
        <v>0.1195</v>
      </c>
      <c r="G2852" s="27">
        <v>0.47860000000000003</v>
      </c>
      <c r="H2852" s="27">
        <v>0.1792</v>
      </c>
      <c r="J2852" s="27">
        <v>4.2799999999999998E-2</v>
      </c>
      <c r="N2852" s="27">
        <v>4.2799999999999998E-2</v>
      </c>
      <c r="P2852" s="27">
        <v>5.9700000000000003E-2</v>
      </c>
      <c r="Q2852" s="27">
        <v>0.10249999999999999</v>
      </c>
      <c r="S2852" s="27">
        <v>0.25659999999999999</v>
      </c>
    </row>
    <row r="2853" spans="1:23">
      <c r="A2853" t="s">
        <v>235</v>
      </c>
      <c r="B2853" t="s">
        <v>204</v>
      </c>
      <c r="C2853">
        <v>47</v>
      </c>
      <c r="D2853" t="s">
        <v>206</v>
      </c>
      <c r="E2853">
        <v>966</v>
      </c>
      <c r="F2853" s="1">
        <v>4.1200000000000001E-2</v>
      </c>
      <c r="G2853" s="1">
        <v>0.3024</v>
      </c>
      <c r="H2853" s="1">
        <v>0.20269999999999999</v>
      </c>
      <c r="J2853" s="1">
        <v>0.1237</v>
      </c>
      <c r="L2853" s="1">
        <v>2.4E-2</v>
      </c>
      <c r="M2853" s="1">
        <v>2.4E-2</v>
      </c>
      <c r="P2853" s="1">
        <v>1.72E-2</v>
      </c>
      <c r="Q2853" s="1">
        <v>2.4E-2</v>
      </c>
      <c r="R2853" s="1">
        <v>1.72E-2</v>
      </c>
      <c r="S2853" s="1">
        <v>0.4365</v>
      </c>
      <c r="T2853" s="1">
        <v>1.72E-2</v>
      </c>
    </row>
    <row r="2854" spans="1:23">
      <c r="A2854" t="s">
        <v>236</v>
      </c>
      <c r="B2854" t="s">
        <v>204</v>
      </c>
      <c r="C2854">
        <v>81</v>
      </c>
      <c r="D2854" t="s">
        <v>207</v>
      </c>
      <c r="E2854">
        <v>966</v>
      </c>
      <c r="F2854" s="1">
        <v>6.1000000000000004E-3</v>
      </c>
      <c r="G2854" s="1">
        <v>0.14249999999999999</v>
      </c>
      <c r="H2854" s="1">
        <v>4.2900000000000001E-2</v>
      </c>
      <c r="J2854" s="1">
        <v>0.25900000000000001</v>
      </c>
      <c r="K2854" s="1">
        <v>3.7000000000000002E-3</v>
      </c>
      <c r="L2854" s="1">
        <v>0.11210000000000001</v>
      </c>
      <c r="M2854" s="1">
        <v>0.1195</v>
      </c>
      <c r="N2854" s="1">
        <v>1.2500000000000001E-2</v>
      </c>
      <c r="O2854" s="1">
        <v>8.8000000000000005E-3</v>
      </c>
      <c r="P2854" s="1">
        <v>3.1800000000000002E-2</v>
      </c>
      <c r="Q2854" s="1">
        <v>1.11E-2</v>
      </c>
      <c r="R2854" s="1">
        <v>6.1000000000000004E-3</v>
      </c>
      <c r="S2854" s="1">
        <v>0.54579999999999995</v>
      </c>
      <c r="V2854" s="1">
        <v>6.0000000000000001E-3</v>
      </c>
      <c r="W2854" s="1">
        <v>6.1000000000000004E-3</v>
      </c>
    </row>
    <row r="2855" spans="1:23">
      <c r="A2855" t="s">
        <v>235</v>
      </c>
      <c r="B2855" t="s">
        <v>204</v>
      </c>
      <c r="C2855">
        <v>45</v>
      </c>
      <c r="D2855" t="s">
        <v>207</v>
      </c>
      <c r="E2855">
        <v>966</v>
      </c>
      <c r="F2855" s="1">
        <v>8.14E-2</v>
      </c>
      <c r="G2855" s="1">
        <v>0.1123</v>
      </c>
      <c r="H2855" s="1">
        <v>0.25319999999999998</v>
      </c>
      <c r="J2855" s="1">
        <v>0.32969999999999999</v>
      </c>
      <c r="K2855" s="1">
        <v>7.8299999999999995E-2</v>
      </c>
      <c r="L2855" s="1">
        <v>4.0000000000000001E-3</v>
      </c>
      <c r="M2855" s="1">
        <v>8.0000000000000002E-3</v>
      </c>
      <c r="P2855" s="1">
        <v>0.15659999999999999</v>
      </c>
      <c r="Q2855" s="1">
        <v>8.2299999999999998E-2</v>
      </c>
      <c r="R2855" s="1">
        <v>1.6899999999999998E-2</v>
      </c>
      <c r="S2855" s="1">
        <v>0.3886</v>
      </c>
    </row>
    <row r="2856" spans="1:23" s="26" customFormat="1">
      <c r="A2856" s="26" t="s">
        <v>236</v>
      </c>
      <c r="B2856" s="26" t="s">
        <v>204</v>
      </c>
      <c r="C2856" s="26">
        <v>11</v>
      </c>
      <c r="D2856" s="26" t="s">
        <v>208</v>
      </c>
      <c r="E2856" s="26">
        <v>966</v>
      </c>
      <c r="F2856" s="27">
        <v>9.0899999999999995E-2</v>
      </c>
      <c r="G2856" s="27">
        <v>0.2727</v>
      </c>
      <c r="I2856" s="27">
        <v>9.0899999999999995E-2</v>
      </c>
      <c r="S2856" s="27">
        <v>0.45450000000000002</v>
      </c>
      <c r="U2856" s="27">
        <v>9.0899999999999995E-2</v>
      </c>
      <c r="V2856" s="27">
        <v>9.0899999999999995E-2</v>
      </c>
    </row>
    <row r="2857" spans="1:23">
      <c r="A2857" t="s">
        <v>235</v>
      </c>
      <c r="B2857" t="s">
        <v>199</v>
      </c>
      <c r="C2857">
        <v>43</v>
      </c>
      <c r="D2857" t="s">
        <v>203</v>
      </c>
      <c r="E2857">
        <v>966</v>
      </c>
      <c r="F2857" s="1">
        <v>1.37E-2</v>
      </c>
      <c r="G2857" s="1">
        <v>0.22489999999999999</v>
      </c>
      <c r="H2857" s="1">
        <v>1.5800000000000002E-2</v>
      </c>
      <c r="J2857" s="1">
        <v>4.3999999999999997E-2</v>
      </c>
      <c r="N2857" s="1">
        <v>1.37E-2</v>
      </c>
      <c r="P2857" s="1">
        <v>8.9499999999999996E-2</v>
      </c>
      <c r="Q2857" s="1">
        <v>1.37E-2</v>
      </c>
      <c r="S2857" s="1">
        <v>0.57969999999999999</v>
      </c>
      <c r="T2857" s="1">
        <v>4.4699999999999997E-2</v>
      </c>
    </row>
    <row r="2858" spans="1:23">
      <c r="A2858" t="s">
        <v>236</v>
      </c>
      <c r="B2858" t="s">
        <v>199</v>
      </c>
      <c r="C2858">
        <v>32</v>
      </c>
      <c r="D2858" t="s">
        <v>203</v>
      </c>
      <c r="E2858">
        <v>966</v>
      </c>
      <c r="F2858" s="1">
        <v>2.9899999999999999E-2</v>
      </c>
      <c r="G2858" s="1">
        <v>0.25919999999999999</v>
      </c>
      <c r="H2858" s="1">
        <v>7.8799999999999995E-2</v>
      </c>
      <c r="J2858" s="1">
        <v>9.9199999999999997E-2</v>
      </c>
      <c r="P2858" s="1">
        <v>8.3599999999999994E-2</v>
      </c>
      <c r="Q2858" s="1">
        <v>2.3900000000000001E-2</v>
      </c>
      <c r="S2858" s="1">
        <v>0.59019999999999995</v>
      </c>
    </row>
    <row r="2859" spans="1:23">
      <c r="A2859" t="s">
        <v>235</v>
      </c>
      <c r="B2859" t="s">
        <v>199</v>
      </c>
      <c r="C2859">
        <v>60</v>
      </c>
      <c r="D2859" t="s">
        <v>202</v>
      </c>
      <c r="E2859">
        <v>966</v>
      </c>
      <c r="F2859" s="1">
        <v>7.0000000000000007E-2</v>
      </c>
      <c r="G2859" s="1">
        <v>9.4200000000000006E-2</v>
      </c>
      <c r="H2859" s="1">
        <v>0.40649999999999997</v>
      </c>
      <c r="J2859" s="1">
        <v>0.1666</v>
      </c>
      <c r="K2859" s="1">
        <v>6.93E-2</v>
      </c>
      <c r="M2859" s="1">
        <v>2.1299999999999999E-2</v>
      </c>
      <c r="O2859" s="1">
        <v>1.4800000000000001E-2</v>
      </c>
      <c r="P2859" s="1">
        <v>3.0599999999999999E-2</v>
      </c>
      <c r="Q2859" s="1">
        <v>0.10639999999999999</v>
      </c>
      <c r="S2859" s="1">
        <v>0.38400000000000001</v>
      </c>
      <c r="V2859" s="1">
        <v>3.8300000000000001E-2</v>
      </c>
    </row>
    <row r="2860" spans="1:23" s="26" customFormat="1">
      <c r="A2860" s="26" t="s">
        <v>236</v>
      </c>
      <c r="B2860" s="26" t="s">
        <v>199</v>
      </c>
      <c r="C2860" s="26">
        <v>24</v>
      </c>
      <c r="D2860" s="26" t="s">
        <v>200</v>
      </c>
      <c r="E2860" s="26">
        <v>966</v>
      </c>
      <c r="F2860" s="27">
        <v>1.01E-2</v>
      </c>
      <c r="G2860" s="27">
        <v>7.8600000000000003E-2</v>
      </c>
      <c r="H2860" s="27">
        <v>0.25779999999999997</v>
      </c>
      <c r="J2860" s="27">
        <v>0.27450000000000002</v>
      </c>
      <c r="S2860" s="27">
        <v>0.51459999999999995</v>
      </c>
    </row>
    <row r="2861" spans="1:23">
      <c r="A2861" t="s">
        <v>235</v>
      </c>
      <c r="B2861" t="s">
        <v>199</v>
      </c>
      <c r="C2861">
        <v>46</v>
      </c>
      <c r="D2861" t="s">
        <v>200</v>
      </c>
      <c r="E2861">
        <v>966</v>
      </c>
      <c r="F2861" s="1">
        <v>8.9999999999999993E-3</v>
      </c>
      <c r="G2861" s="1">
        <v>0.28939999999999999</v>
      </c>
      <c r="H2861" s="1">
        <v>0.17949999999999999</v>
      </c>
      <c r="I2861" s="1">
        <v>3.0000000000000001E-3</v>
      </c>
      <c r="J2861" s="1">
        <v>0.21759999999999999</v>
      </c>
      <c r="K2861" s="1">
        <v>8.8300000000000003E-2</v>
      </c>
      <c r="M2861" s="1">
        <v>3.0000000000000001E-3</v>
      </c>
      <c r="P2861" s="1">
        <v>0.1033</v>
      </c>
      <c r="Q2861" s="1">
        <v>3.0000000000000001E-3</v>
      </c>
      <c r="S2861" s="1">
        <v>0.33360000000000001</v>
      </c>
    </row>
    <row r="2862" spans="1:23">
      <c r="A2862" t="s">
        <v>236</v>
      </c>
      <c r="B2862" t="s">
        <v>199</v>
      </c>
      <c r="C2862">
        <v>37</v>
      </c>
      <c r="D2862" t="s">
        <v>202</v>
      </c>
      <c r="E2862">
        <v>966</v>
      </c>
      <c r="F2862" s="1">
        <v>6.5600000000000006E-2</v>
      </c>
      <c r="G2862" s="1">
        <v>0.2586</v>
      </c>
      <c r="H2862" s="1">
        <v>6.3600000000000004E-2</v>
      </c>
      <c r="I2862" s="1">
        <v>4.5199999999999997E-2</v>
      </c>
      <c r="J2862" s="1">
        <v>0.221</v>
      </c>
      <c r="K2862" s="1">
        <v>3.2800000000000003E-2</v>
      </c>
      <c r="L2862" s="1">
        <v>6.5100000000000005E-2</v>
      </c>
      <c r="N2862" s="1">
        <v>2.06E-2</v>
      </c>
      <c r="Q2862" s="1">
        <v>6.5600000000000006E-2</v>
      </c>
      <c r="S2862" s="1">
        <v>0.34610000000000002</v>
      </c>
      <c r="U2862" s="1">
        <v>2.1899999999999999E-2</v>
      </c>
      <c r="V2862" s="1">
        <v>4.2999999999999997E-2</v>
      </c>
    </row>
    <row r="2863" spans="1:23">
      <c r="A2863" t="s">
        <v>235</v>
      </c>
      <c r="B2863" t="s">
        <v>199</v>
      </c>
      <c r="C2863">
        <v>96</v>
      </c>
      <c r="D2863" t="s">
        <v>201</v>
      </c>
      <c r="E2863">
        <v>966</v>
      </c>
      <c r="F2863" s="1">
        <v>8.3299999999999999E-2</v>
      </c>
      <c r="G2863" s="1">
        <v>0.125</v>
      </c>
      <c r="H2863" s="1">
        <v>0.35420000000000001</v>
      </c>
      <c r="J2863" s="1">
        <v>0.22919999999999999</v>
      </c>
      <c r="K2863" s="1">
        <v>1.04E-2</v>
      </c>
      <c r="L2863" s="1">
        <v>1.04E-2</v>
      </c>
      <c r="M2863" s="1">
        <v>1.04E-2</v>
      </c>
      <c r="N2863" s="1">
        <v>1.04E-2</v>
      </c>
      <c r="O2863" s="1">
        <v>1.04E-2</v>
      </c>
      <c r="P2863" s="1">
        <v>1.04E-2</v>
      </c>
      <c r="Q2863" s="1">
        <v>0.13539999999999999</v>
      </c>
      <c r="R2863" s="1">
        <v>1.04E-2</v>
      </c>
      <c r="S2863" s="1">
        <v>0.28120000000000001</v>
      </c>
      <c r="V2863" s="1">
        <v>0.125</v>
      </c>
    </row>
    <row r="2864" spans="1:23">
      <c r="A2864" t="s">
        <v>236</v>
      </c>
      <c r="B2864" t="s">
        <v>209</v>
      </c>
      <c r="C2864">
        <v>39</v>
      </c>
      <c r="D2864" t="s">
        <v>211</v>
      </c>
      <c r="E2864">
        <v>966</v>
      </c>
      <c r="F2864" s="1">
        <v>0.11849999999999999</v>
      </c>
      <c r="G2864" s="1">
        <v>0.20349999999999999</v>
      </c>
      <c r="H2864" s="1">
        <v>6.9099999999999995E-2</v>
      </c>
      <c r="J2864" s="1">
        <v>1.18E-2</v>
      </c>
      <c r="K2864" s="1">
        <v>3.3599999999999998E-2</v>
      </c>
      <c r="L2864" s="1">
        <v>1.18E-2</v>
      </c>
      <c r="M2864" s="1">
        <v>1.18E-2</v>
      </c>
      <c r="O2864" s="1">
        <v>1.18E-2</v>
      </c>
      <c r="Q2864" s="1">
        <v>2.3699999999999999E-2</v>
      </c>
      <c r="S2864" s="1">
        <v>0.6583</v>
      </c>
      <c r="U2864" s="1">
        <v>3.3599999999999998E-2</v>
      </c>
      <c r="V2864" s="1">
        <v>1.18E-2</v>
      </c>
    </row>
    <row r="2865" spans="1:22">
      <c r="A2865" t="s">
        <v>235</v>
      </c>
      <c r="B2865" t="s">
        <v>209</v>
      </c>
      <c r="C2865">
        <v>56</v>
      </c>
      <c r="D2865" t="s">
        <v>211</v>
      </c>
      <c r="E2865">
        <v>966</v>
      </c>
      <c r="F2865" s="1">
        <v>9.4700000000000006E-2</v>
      </c>
      <c r="G2865" s="1">
        <v>0.47249999999999998</v>
      </c>
      <c r="H2865" s="1">
        <v>5.5399999999999998E-2</v>
      </c>
      <c r="I2865" s="1">
        <v>1.9599999999999999E-2</v>
      </c>
      <c r="J2865" s="1">
        <v>5.5399999999999998E-2</v>
      </c>
      <c r="K2865" s="1">
        <v>1.9599999999999999E-2</v>
      </c>
      <c r="L2865" s="1">
        <v>1.9599999999999999E-2</v>
      </c>
      <c r="M2865" s="1">
        <v>5.3100000000000001E-2</v>
      </c>
      <c r="P2865" s="1">
        <v>5.5399999999999998E-2</v>
      </c>
      <c r="Q2865" s="1">
        <v>9.0700000000000003E-2</v>
      </c>
      <c r="R2865" s="1">
        <v>2.4899999999999999E-2</v>
      </c>
      <c r="S2865" s="1">
        <v>0.28310000000000002</v>
      </c>
      <c r="V2865" s="1">
        <v>4.4499999999999998E-2</v>
      </c>
    </row>
    <row r="2866" spans="1:22">
      <c r="A2866" t="s">
        <v>235</v>
      </c>
      <c r="B2866" t="s">
        <v>209</v>
      </c>
      <c r="C2866">
        <v>67</v>
      </c>
      <c r="D2866" t="s">
        <v>212</v>
      </c>
      <c r="E2866">
        <v>966</v>
      </c>
      <c r="F2866" s="1">
        <v>3.2399999999999998E-2</v>
      </c>
      <c r="G2866" s="1">
        <v>0.1983</v>
      </c>
      <c r="H2866" s="1">
        <v>0.18</v>
      </c>
      <c r="J2866" s="1">
        <v>0.184</v>
      </c>
      <c r="M2866" s="1">
        <v>1.34E-2</v>
      </c>
      <c r="Q2866" s="1">
        <v>0.1129</v>
      </c>
      <c r="R2866" s="1">
        <v>1.6199999999999999E-2</v>
      </c>
      <c r="S2866" s="1">
        <v>0.48359999999999997</v>
      </c>
      <c r="V2866" s="1">
        <v>3.2399999999999998E-2</v>
      </c>
    </row>
    <row r="2867" spans="1:22" s="26" customFormat="1">
      <c r="A2867" s="26" t="s">
        <v>236</v>
      </c>
      <c r="B2867" s="26" t="s">
        <v>209</v>
      </c>
      <c r="C2867" s="26">
        <v>18</v>
      </c>
      <c r="D2867" s="26" t="s">
        <v>212</v>
      </c>
      <c r="E2867" s="26">
        <v>966</v>
      </c>
      <c r="F2867" s="27">
        <v>0.1013</v>
      </c>
      <c r="G2867" s="27">
        <v>0.1017</v>
      </c>
      <c r="H2867" s="27">
        <v>7.6499999999999999E-2</v>
      </c>
      <c r="I2867" s="27">
        <v>8.3900000000000002E-2</v>
      </c>
      <c r="J2867" s="27">
        <v>9.74E-2</v>
      </c>
      <c r="K2867" s="27">
        <v>8.3900000000000002E-2</v>
      </c>
      <c r="Q2867" s="27">
        <v>9.74E-2</v>
      </c>
      <c r="S2867" s="27">
        <v>0.48670000000000002</v>
      </c>
      <c r="U2867" s="27">
        <v>5.2499999999999998E-2</v>
      </c>
    </row>
    <row r="2868" spans="1:22">
      <c r="A2868" t="s">
        <v>236</v>
      </c>
      <c r="B2868" t="s">
        <v>209</v>
      </c>
      <c r="C2868">
        <v>38</v>
      </c>
      <c r="D2868" t="s">
        <v>210</v>
      </c>
      <c r="E2868">
        <v>966</v>
      </c>
      <c r="F2868" s="1">
        <v>0.22850000000000001</v>
      </c>
      <c r="G2868" s="1">
        <v>0.66510000000000002</v>
      </c>
      <c r="H2868" s="1">
        <v>0.1268</v>
      </c>
      <c r="J2868" s="1">
        <v>0.1447</v>
      </c>
      <c r="L2868" s="1">
        <v>2.0299999999999999E-2</v>
      </c>
      <c r="M2868" s="1">
        <v>2.0299999999999999E-2</v>
      </c>
      <c r="N2868" s="1">
        <v>2.0299999999999999E-2</v>
      </c>
      <c r="P2868" s="1">
        <v>0.122</v>
      </c>
      <c r="Q2868" s="1">
        <v>8.1299999999999997E-2</v>
      </c>
      <c r="S2868" s="1">
        <v>0.16750000000000001</v>
      </c>
      <c r="V2868" s="1">
        <v>4.3099999999999999E-2</v>
      </c>
    </row>
    <row r="2869" spans="1:22">
      <c r="A2869" t="s">
        <v>235</v>
      </c>
      <c r="B2869" t="s">
        <v>209</v>
      </c>
      <c r="C2869">
        <v>31</v>
      </c>
      <c r="D2869" t="s">
        <v>210</v>
      </c>
      <c r="E2869">
        <v>966</v>
      </c>
      <c r="F2869" s="1">
        <v>0.14940000000000001</v>
      </c>
      <c r="G2869" s="1">
        <v>0.41649999999999998</v>
      </c>
      <c r="H2869" s="1">
        <v>0.36730000000000002</v>
      </c>
      <c r="J2869" s="1">
        <v>3.3399999999999999E-2</v>
      </c>
      <c r="P2869" s="1">
        <v>6.6799999999999998E-2</v>
      </c>
      <c r="Q2869" s="1">
        <v>8.2600000000000007E-2</v>
      </c>
      <c r="S2869" s="1">
        <v>0.2495</v>
      </c>
    </row>
    <row r="2871" spans="1:22">
      <c r="A2871" t="s">
        <v>815</v>
      </c>
    </row>
    <row r="2872" spans="1:22">
      <c r="A2872" t="s">
        <v>189</v>
      </c>
      <c r="B2872" t="s">
        <v>190</v>
      </c>
      <c r="C2872" t="s">
        <v>191</v>
      </c>
      <c r="D2872" t="s">
        <v>192</v>
      </c>
      <c r="E2872" t="s">
        <v>193</v>
      </c>
      <c r="F2872" t="s">
        <v>194</v>
      </c>
      <c r="G2872" t="s">
        <v>195</v>
      </c>
      <c r="H2872" t="s">
        <v>196</v>
      </c>
    </row>
    <row r="2873" spans="1:22">
      <c r="A2873" t="s">
        <v>197</v>
      </c>
      <c r="B2873" t="s">
        <v>198</v>
      </c>
      <c r="C2873">
        <v>1.5257124257886929</v>
      </c>
      <c r="D2873">
        <v>1</v>
      </c>
      <c r="E2873">
        <v>0</v>
      </c>
      <c r="F2873">
        <v>19</v>
      </c>
      <c r="G2873">
        <v>820</v>
      </c>
      <c r="H2873">
        <v>820</v>
      </c>
    </row>
    <row r="2874" spans="1:22">
      <c r="A2874" t="s">
        <v>199</v>
      </c>
      <c r="B2874" t="s">
        <v>200</v>
      </c>
      <c r="C2874">
        <v>1.19783954341606</v>
      </c>
      <c r="D2874">
        <v>0</v>
      </c>
      <c r="E2874">
        <v>0</v>
      </c>
      <c r="F2874">
        <v>5</v>
      </c>
      <c r="G2874">
        <v>61</v>
      </c>
      <c r="H2874">
        <v>820</v>
      </c>
    </row>
    <row r="2875" spans="1:22">
      <c r="A2875" t="s">
        <v>199</v>
      </c>
      <c r="B2875" t="s">
        <v>201</v>
      </c>
      <c r="C2875">
        <v>1.536585365853659</v>
      </c>
      <c r="D2875">
        <v>1</v>
      </c>
      <c r="E2875">
        <v>0</v>
      </c>
      <c r="F2875">
        <v>10</v>
      </c>
      <c r="G2875">
        <v>82</v>
      </c>
      <c r="H2875">
        <v>820</v>
      </c>
    </row>
    <row r="2876" spans="1:22">
      <c r="A2876" t="s">
        <v>199</v>
      </c>
      <c r="B2876" t="s">
        <v>202</v>
      </c>
      <c r="C2876">
        <v>1.3634982870109591</v>
      </c>
      <c r="D2876">
        <v>0</v>
      </c>
      <c r="E2876">
        <v>0</v>
      </c>
      <c r="F2876">
        <v>10</v>
      </c>
      <c r="G2876">
        <v>83</v>
      </c>
      <c r="H2876">
        <v>820</v>
      </c>
    </row>
    <row r="2877" spans="1:22">
      <c r="A2877" t="s">
        <v>199</v>
      </c>
      <c r="B2877" t="s">
        <v>203</v>
      </c>
      <c r="C2877">
        <v>2.381026974955323</v>
      </c>
      <c r="D2877">
        <v>1</v>
      </c>
      <c r="E2877">
        <v>0</v>
      </c>
      <c r="F2877">
        <v>10</v>
      </c>
      <c r="G2877">
        <v>59</v>
      </c>
      <c r="H2877">
        <v>820</v>
      </c>
    </row>
    <row r="2878" spans="1:22">
      <c r="A2878" t="s">
        <v>204</v>
      </c>
      <c r="B2878" t="s">
        <v>205</v>
      </c>
      <c r="C2878">
        <v>0.86996460269858855</v>
      </c>
      <c r="D2878">
        <v>0</v>
      </c>
      <c r="E2878">
        <v>0</v>
      </c>
      <c r="F2878">
        <v>10</v>
      </c>
      <c r="G2878">
        <v>79</v>
      </c>
      <c r="H2878">
        <v>820</v>
      </c>
    </row>
    <row r="2879" spans="1:22">
      <c r="A2879" t="s">
        <v>204</v>
      </c>
      <c r="B2879" t="s">
        <v>206</v>
      </c>
      <c r="C2879">
        <v>2.3949451526871202</v>
      </c>
      <c r="D2879">
        <v>2</v>
      </c>
      <c r="E2879">
        <v>0</v>
      </c>
      <c r="F2879">
        <v>19</v>
      </c>
      <c r="G2879">
        <v>60</v>
      </c>
      <c r="H2879">
        <v>820</v>
      </c>
    </row>
    <row r="2880" spans="1:22">
      <c r="A2880" t="s">
        <v>204</v>
      </c>
      <c r="B2880" t="s">
        <v>207</v>
      </c>
      <c r="C2880">
        <v>2.357832097548771</v>
      </c>
      <c r="D2880">
        <v>3</v>
      </c>
      <c r="E2880">
        <v>0</v>
      </c>
      <c r="F2880">
        <v>18</v>
      </c>
      <c r="G2880">
        <v>117</v>
      </c>
      <c r="H2880">
        <v>820</v>
      </c>
    </row>
    <row r="2881" spans="1:9">
      <c r="A2881" t="s">
        <v>204</v>
      </c>
      <c r="B2881" t="s">
        <v>208</v>
      </c>
      <c r="C2881">
        <v>1.0317460317460321</v>
      </c>
      <c r="D2881">
        <v>0</v>
      </c>
      <c r="E2881">
        <v>0</v>
      </c>
      <c r="F2881">
        <v>10</v>
      </c>
      <c r="G2881">
        <v>63</v>
      </c>
      <c r="H2881">
        <v>820</v>
      </c>
    </row>
    <row r="2882" spans="1:9">
      <c r="A2882" t="s">
        <v>209</v>
      </c>
      <c r="B2882" t="s">
        <v>210</v>
      </c>
      <c r="C2882">
        <v>1.99592403643327</v>
      </c>
      <c r="D2882">
        <v>1</v>
      </c>
      <c r="E2882">
        <v>0</v>
      </c>
      <c r="F2882">
        <v>12</v>
      </c>
      <c r="G2882">
        <v>62</v>
      </c>
      <c r="H2882">
        <v>820</v>
      </c>
    </row>
    <row r="2883" spans="1:9">
      <c r="A2883" t="s">
        <v>209</v>
      </c>
      <c r="B2883" t="s">
        <v>211</v>
      </c>
      <c r="C2883">
        <v>2.268122379823363</v>
      </c>
      <c r="D2883">
        <v>1</v>
      </c>
      <c r="E2883">
        <v>0</v>
      </c>
      <c r="F2883">
        <v>12</v>
      </c>
      <c r="G2883">
        <v>80</v>
      </c>
      <c r="H2883">
        <v>820</v>
      </c>
    </row>
    <row r="2884" spans="1:9">
      <c r="A2884" t="s">
        <v>209</v>
      </c>
      <c r="B2884" t="s">
        <v>212</v>
      </c>
      <c r="C2884">
        <v>1.3454469826567701</v>
      </c>
      <c r="D2884">
        <v>1</v>
      </c>
      <c r="E2884">
        <v>0</v>
      </c>
      <c r="F2884">
        <v>10</v>
      </c>
      <c r="G2884">
        <v>74</v>
      </c>
      <c r="H2884">
        <v>820</v>
      </c>
    </row>
    <row r="2886" spans="1:9">
      <c r="A2886" t="s">
        <v>816</v>
      </c>
    </row>
    <row r="2887" spans="1:9">
      <c r="A2887" t="s">
        <v>189</v>
      </c>
      <c r="B2887" t="s">
        <v>195</v>
      </c>
      <c r="C2887" t="s">
        <v>190</v>
      </c>
      <c r="D2887" t="s">
        <v>196</v>
      </c>
      <c r="E2887" t="s">
        <v>228</v>
      </c>
      <c r="F2887" t="s">
        <v>215</v>
      </c>
      <c r="G2887" t="s">
        <v>817</v>
      </c>
      <c r="H2887" t="s">
        <v>818</v>
      </c>
      <c r="I2887" t="s">
        <v>819</v>
      </c>
    </row>
    <row r="2888" spans="1:9">
      <c r="A2888" t="s">
        <v>197</v>
      </c>
      <c r="B2888">
        <v>968</v>
      </c>
      <c r="C2888" t="s">
        <v>198</v>
      </c>
      <c r="D2888">
        <v>968</v>
      </c>
      <c r="E2888" s="1">
        <v>0.26319999999999999</v>
      </c>
      <c r="F2888" s="1">
        <v>0.58679999999999999</v>
      </c>
      <c r="G2888" s="1">
        <v>1E-4</v>
      </c>
      <c r="H2888" s="1">
        <v>0.128</v>
      </c>
      <c r="I2888" s="1">
        <v>2.1899999999999999E-2</v>
      </c>
    </row>
    <row r="2889" spans="1:9">
      <c r="A2889" t="s">
        <v>204</v>
      </c>
      <c r="B2889">
        <v>91</v>
      </c>
      <c r="C2889" t="s">
        <v>205</v>
      </c>
      <c r="D2889">
        <v>968</v>
      </c>
      <c r="E2889" s="1">
        <v>0.26329999999999998</v>
      </c>
      <c r="F2889" s="1">
        <v>0.67689999999999995</v>
      </c>
      <c r="H2889" s="1">
        <v>5.74E-2</v>
      </c>
      <c r="I2889" s="1">
        <v>2.3999999999999998E-3</v>
      </c>
    </row>
    <row r="2890" spans="1:9">
      <c r="A2890" t="s">
        <v>204</v>
      </c>
      <c r="B2890">
        <v>72</v>
      </c>
      <c r="C2890" t="s">
        <v>206</v>
      </c>
      <c r="D2890">
        <v>968</v>
      </c>
      <c r="E2890" s="1">
        <v>0.31159999999999999</v>
      </c>
      <c r="F2890" s="1">
        <v>0.44190000000000002</v>
      </c>
      <c r="G2890" s="1">
        <v>1.1599999999999999E-2</v>
      </c>
      <c r="H2890" s="1">
        <v>0.1303</v>
      </c>
      <c r="I2890" s="1">
        <v>0.1046</v>
      </c>
    </row>
    <row r="2891" spans="1:9">
      <c r="A2891" t="s">
        <v>204</v>
      </c>
      <c r="B2891">
        <v>131</v>
      </c>
      <c r="C2891" t="s">
        <v>207</v>
      </c>
      <c r="D2891">
        <v>968</v>
      </c>
      <c r="E2891" s="1">
        <v>0.2742</v>
      </c>
      <c r="F2891" s="1">
        <v>0.51819999999999999</v>
      </c>
      <c r="H2891" s="1">
        <v>0.18729999999999999</v>
      </c>
      <c r="I2891" s="1">
        <v>2.0400000000000001E-2</v>
      </c>
    </row>
    <row r="2892" spans="1:9">
      <c r="A2892" t="s">
        <v>204</v>
      </c>
      <c r="B2892">
        <v>74</v>
      </c>
      <c r="C2892" t="s">
        <v>208</v>
      </c>
      <c r="D2892">
        <v>968</v>
      </c>
      <c r="E2892" s="1">
        <v>0.27029999999999998</v>
      </c>
      <c r="F2892" s="1">
        <v>0.51349999999999996</v>
      </c>
      <c r="H2892" s="1">
        <v>0.1757</v>
      </c>
      <c r="I2892" s="1">
        <v>4.0500000000000001E-2</v>
      </c>
    </row>
    <row r="2893" spans="1:9">
      <c r="A2893" t="s">
        <v>199</v>
      </c>
      <c r="B2893">
        <v>73</v>
      </c>
      <c r="C2893" t="s">
        <v>200</v>
      </c>
      <c r="D2893">
        <v>968</v>
      </c>
      <c r="E2893" s="1">
        <v>0.1613</v>
      </c>
      <c r="F2893" s="1">
        <v>0.68689999999999996</v>
      </c>
      <c r="H2893" s="1">
        <v>0.13600000000000001</v>
      </c>
      <c r="I2893" s="1">
        <v>1.5800000000000002E-2</v>
      </c>
    </row>
    <row r="2894" spans="1:9">
      <c r="A2894" t="s">
        <v>199</v>
      </c>
      <c r="B2894">
        <v>96</v>
      </c>
      <c r="C2894" t="s">
        <v>201</v>
      </c>
      <c r="D2894">
        <v>968</v>
      </c>
      <c r="E2894" s="1">
        <v>0.22919999999999999</v>
      </c>
      <c r="F2894" s="1">
        <v>0.63539999999999996</v>
      </c>
      <c r="H2894" s="1">
        <v>0.125</v>
      </c>
      <c r="I2894" s="1">
        <v>1.04E-2</v>
      </c>
    </row>
    <row r="2895" spans="1:9">
      <c r="A2895" t="s">
        <v>199</v>
      </c>
      <c r="B2895">
        <v>98</v>
      </c>
      <c r="C2895" t="s">
        <v>202</v>
      </c>
      <c r="D2895">
        <v>968</v>
      </c>
      <c r="E2895" s="1">
        <v>0.35210000000000002</v>
      </c>
      <c r="F2895" s="1">
        <v>0.50160000000000005</v>
      </c>
      <c r="H2895" s="1">
        <v>0.1065</v>
      </c>
      <c r="I2895" s="1">
        <v>3.9800000000000002E-2</v>
      </c>
    </row>
    <row r="2896" spans="1:9">
      <c r="A2896" t="s">
        <v>199</v>
      </c>
      <c r="B2896">
        <v>77</v>
      </c>
      <c r="C2896" t="s">
        <v>203</v>
      </c>
      <c r="D2896">
        <v>968</v>
      </c>
      <c r="E2896" s="1">
        <v>0.25519999999999998</v>
      </c>
      <c r="F2896" s="1">
        <v>0.4304</v>
      </c>
      <c r="H2896" s="1">
        <v>0.2417</v>
      </c>
      <c r="I2896" s="1">
        <v>7.2700000000000001E-2</v>
      </c>
    </row>
    <row r="2897" spans="1:9">
      <c r="A2897" t="s">
        <v>209</v>
      </c>
      <c r="B2897">
        <v>74</v>
      </c>
      <c r="C2897" t="s">
        <v>210</v>
      </c>
      <c r="D2897">
        <v>968</v>
      </c>
      <c r="E2897" s="1">
        <v>0.2278</v>
      </c>
      <c r="F2897" s="1">
        <v>0.18110000000000001</v>
      </c>
      <c r="H2897" s="1">
        <v>0.28079999999999999</v>
      </c>
      <c r="I2897" s="1">
        <v>0.31030000000000002</v>
      </c>
    </row>
    <row r="2898" spans="1:9">
      <c r="A2898" t="s">
        <v>209</v>
      </c>
      <c r="B2898">
        <v>97</v>
      </c>
      <c r="C2898" t="s">
        <v>211</v>
      </c>
      <c r="D2898">
        <v>968</v>
      </c>
      <c r="E2898" s="1">
        <v>0.24110000000000001</v>
      </c>
      <c r="F2898" s="1">
        <v>0.624</v>
      </c>
      <c r="H2898" s="1">
        <v>0.1024</v>
      </c>
      <c r="I2898" s="1">
        <v>3.2500000000000001E-2</v>
      </c>
    </row>
    <row r="2899" spans="1:9">
      <c r="A2899" t="s">
        <v>209</v>
      </c>
      <c r="B2899">
        <v>85</v>
      </c>
      <c r="C2899" t="s">
        <v>212</v>
      </c>
      <c r="D2899">
        <v>968</v>
      </c>
      <c r="E2899" s="1">
        <v>0.2165</v>
      </c>
      <c r="F2899" s="1">
        <v>0.63649999999999995</v>
      </c>
      <c r="H2899" s="1">
        <v>0.14699999999999999</v>
      </c>
    </row>
    <row r="2901" spans="1:9">
      <c r="A2901" t="s">
        <v>820</v>
      </c>
    </row>
    <row r="2902" spans="1:9">
      <c r="A2902" t="s">
        <v>189</v>
      </c>
      <c r="B2902" t="s">
        <v>195</v>
      </c>
      <c r="C2902" t="s">
        <v>190</v>
      </c>
      <c r="D2902" t="s">
        <v>196</v>
      </c>
      <c r="E2902" t="s">
        <v>228</v>
      </c>
      <c r="F2902" t="s">
        <v>821</v>
      </c>
      <c r="G2902" t="s">
        <v>822</v>
      </c>
    </row>
    <row r="2903" spans="1:9">
      <c r="A2903" t="s">
        <v>197</v>
      </c>
      <c r="B2903">
        <v>213</v>
      </c>
      <c r="C2903" t="s">
        <v>198</v>
      </c>
      <c r="D2903">
        <v>213</v>
      </c>
      <c r="E2903" s="1">
        <v>7.5399999999999995E-2</v>
      </c>
      <c r="F2903" s="1">
        <v>0.16950000000000001</v>
      </c>
      <c r="G2903" s="1">
        <v>0.755</v>
      </c>
    </row>
    <row r="2904" spans="1:9" s="26" customFormat="1">
      <c r="A2904" s="26" t="s">
        <v>204</v>
      </c>
      <c r="B2904" s="26">
        <v>8</v>
      </c>
      <c r="C2904" s="26" t="s">
        <v>205</v>
      </c>
      <c r="D2904" s="26">
        <v>213</v>
      </c>
      <c r="E2904" s="27">
        <v>4.07E-2</v>
      </c>
      <c r="F2904" s="27">
        <v>0.65510000000000002</v>
      </c>
      <c r="G2904" s="27">
        <v>0.30420000000000003</v>
      </c>
    </row>
    <row r="2905" spans="1:9" s="26" customFormat="1">
      <c r="A2905" s="26" t="s">
        <v>204</v>
      </c>
      <c r="B2905" s="26">
        <v>17</v>
      </c>
      <c r="C2905" s="26" t="s">
        <v>206</v>
      </c>
      <c r="D2905" s="26">
        <v>213</v>
      </c>
      <c r="E2905" s="27">
        <v>0.16839999999999999</v>
      </c>
      <c r="F2905" s="27">
        <v>0.2077</v>
      </c>
      <c r="G2905" s="27">
        <v>0.62390000000000001</v>
      </c>
    </row>
    <row r="2906" spans="1:9">
      <c r="A2906" t="s">
        <v>204</v>
      </c>
      <c r="B2906">
        <v>31</v>
      </c>
      <c r="C2906" t="s">
        <v>207</v>
      </c>
      <c r="D2906">
        <v>213</v>
      </c>
      <c r="E2906" s="1">
        <v>1.2E-2</v>
      </c>
      <c r="F2906" s="1">
        <v>8.1600000000000006E-2</v>
      </c>
      <c r="G2906" s="1">
        <v>0.90639999999999998</v>
      </c>
    </row>
    <row r="2907" spans="1:9" s="26" customFormat="1">
      <c r="A2907" s="26" t="s">
        <v>204</v>
      </c>
      <c r="B2907" s="26">
        <v>16</v>
      </c>
      <c r="C2907" s="26" t="s">
        <v>208</v>
      </c>
      <c r="D2907" s="26">
        <v>213</v>
      </c>
      <c r="E2907" s="27">
        <v>0.1875</v>
      </c>
      <c r="F2907" s="27">
        <v>6.25E-2</v>
      </c>
      <c r="G2907" s="27">
        <v>0.75</v>
      </c>
    </row>
    <row r="2908" spans="1:9" s="26" customFormat="1">
      <c r="A2908" s="26" t="s">
        <v>199</v>
      </c>
      <c r="B2908" s="26">
        <v>22</v>
      </c>
      <c r="C2908" s="26" t="s">
        <v>200</v>
      </c>
      <c r="D2908" s="26">
        <v>213</v>
      </c>
      <c r="E2908" s="27">
        <v>1.04E-2</v>
      </c>
      <c r="F2908" s="27">
        <v>1.04E-2</v>
      </c>
      <c r="G2908" s="27">
        <v>0.97919999999999996</v>
      </c>
    </row>
    <row r="2909" spans="1:9" s="26" customFormat="1">
      <c r="A2909" s="26" t="s">
        <v>199</v>
      </c>
      <c r="B2909" s="26">
        <v>13</v>
      </c>
      <c r="C2909" s="26" t="s">
        <v>201</v>
      </c>
      <c r="D2909" s="26">
        <v>213</v>
      </c>
      <c r="E2909" s="27">
        <v>7.6899999999999996E-2</v>
      </c>
      <c r="F2909" s="27">
        <v>0.15379999999999999</v>
      </c>
      <c r="G2909" s="27">
        <v>0.76919999999999999</v>
      </c>
    </row>
    <row r="2910" spans="1:9" s="26" customFormat="1">
      <c r="A2910" s="26" t="s">
        <v>199</v>
      </c>
      <c r="B2910" s="26">
        <v>13</v>
      </c>
      <c r="C2910" s="26" t="s">
        <v>202</v>
      </c>
      <c r="D2910" s="26">
        <v>213</v>
      </c>
      <c r="E2910" s="27">
        <v>0.18160000000000001</v>
      </c>
      <c r="F2910" s="27">
        <v>0.1507</v>
      </c>
      <c r="G2910" s="27">
        <v>0.66769999999999996</v>
      </c>
    </row>
    <row r="2911" spans="1:9" s="26" customFormat="1">
      <c r="A2911" s="26" t="s">
        <v>199</v>
      </c>
      <c r="B2911" s="26">
        <v>19</v>
      </c>
      <c r="C2911" s="26" t="s">
        <v>203</v>
      </c>
      <c r="D2911" s="26">
        <v>213</v>
      </c>
      <c r="E2911" s="27">
        <v>0.11169999999999999</v>
      </c>
      <c r="F2911" s="27">
        <v>2.6200000000000001E-2</v>
      </c>
      <c r="G2911" s="27">
        <v>0.86209999999999998</v>
      </c>
    </row>
    <row r="2912" spans="1:9">
      <c r="A2912" t="s">
        <v>209</v>
      </c>
      <c r="B2912">
        <v>44</v>
      </c>
      <c r="C2912" t="s">
        <v>210</v>
      </c>
      <c r="D2912">
        <v>213</v>
      </c>
      <c r="E2912" s="1">
        <v>2.9899999999999999E-2</v>
      </c>
      <c r="F2912" s="1">
        <v>5.9799999999999999E-2</v>
      </c>
      <c r="G2912" s="1">
        <v>0.9103</v>
      </c>
    </row>
    <row r="2913" spans="1:9" s="26" customFormat="1">
      <c r="A2913" s="26" t="s">
        <v>209</v>
      </c>
      <c r="B2913" s="26">
        <v>19</v>
      </c>
      <c r="C2913" s="26" t="s">
        <v>211</v>
      </c>
      <c r="D2913" s="26">
        <v>213</v>
      </c>
      <c r="F2913" s="27">
        <v>0.15179999999999999</v>
      </c>
      <c r="G2913" s="27">
        <v>0.84819999999999995</v>
      </c>
    </row>
    <row r="2914" spans="1:9" s="26" customFormat="1">
      <c r="A2914" s="26" t="s">
        <v>209</v>
      </c>
      <c r="B2914" s="26">
        <v>11</v>
      </c>
      <c r="C2914" s="26" t="s">
        <v>212</v>
      </c>
      <c r="D2914" s="26">
        <v>213</v>
      </c>
      <c r="F2914" s="27">
        <v>0.28520000000000001</v>
      </c>
      <c r="G2914" s="27">
        <v>0.71479999999999999</v>
      </c>
    </row>
    <row r="2916" spans="1:9">
      <c r="A2916" t="s">
        <v>823</v>
      </c>
    </row>
    <row r="2917" spans="1:9">
      <c r="A2917" t="s">
        <v>189</v>
      </c>
      <c r="B2917" t="s">
        <v>195</v>
      </c>
      <c r="C2917" t="s">
        <v>190</v>
      </c>
      <c r="D2917" t="s">
        <v>196</v>
      </c>
      <c r="E2917" t="s">
        <v>824</v>
      </c>
      <c r="F2917" t="s">
        <v>825</v>
      </c>
      <c r="G2917" t="s">
        <v>826</v>
      </c>
      <c r="H2917" t="s">
        <v>827</v>
      </c>
      <c r="I2917" t="s">
        <v>278</v>
      </c>
    </row>
    <row r="2918" spans="1:9">
      <c r="A2918" t="s">
        <v>197</v>
      </c>
      <c r="B2918">
        <v>968</v>
      </c>
      <c r="C2918" t="s">
        <v>198</v>
      </c>
      <c r="D2918">
        <v>968</v>
      </c>
      <c r="E2918" s="1">
        <v>9.7000000000000003E-3</v>
      </c>
      <c r="F2918" s="1">
        <v>7.1099999999999997E-2</v>
      </c>
      <c r="G2918" s="1">
        <v>0.84860000000000002</v>
      </c>
      <c r="H2918" s="1">
        <v>6.7699999999999996E-2</v>
      </c>
      <c r="I2918" s="1">
        <v>2.8999999999999998E-3</v>
      </c>
    </row>
    <row r="2919" spans="1:9">
      <c r="A2919" t="s">
        <v>204</v>
      </c>
      <c r="B2919">
        <v>91</v>
      </c>
      <c r="C2919" t="s">
        <v>205</v>
      </c>
      <c r="D2919">
        <v>968</v>
      </c>
      <c r="E2919" s="1">
        <v>1.1599999999999999E-2</v>
      </c>
      <c r="F2919" s="1">
        <v>0.09</v>
      </c>
      <c r="G2919" s="1">
        <v>0.8911</v>
      </c>
      <c r="H2919" s="1">
        <v>7.3000000000000001E-3</v>
      </c>
    </row>
    <row r="2920" spans="1:9">
      <c r="A2920" t="s">
        <v>204</v>
      </c>
      <c r="B2920">
        <v>72</v>
      </c>
      <c r="C2920" t="s">
        <v>206</v>
      </c>
      <c r="D2920">
        <v>968</v>
      </c>
      <c r="E2920" s="1">
        <v>1.6299999999999999E-2</v>
      </c>
      <c r="F2920" s="1">
        <v>0.20480000000000001</v>
      </c>
      <c r="G2920" s="1">
        <v>0.73019999999999996</v>
      </c>
      <c r="H2920" s="1">
        <v>4.8800000000000003E-2</v>
      </c>
    </row>
    <row r="2921" spans="1:9">
      <c r="A2921" t="s">
        <v>204</v>
      </c>
      <c r="B2921">
        <v>131</v>
      </c>
      <c r="C2921" t="s">
        <v>207</v>
      </c>
      <c r="D2921">
        <v>968</v>
      </c>
      <c r="E2921" s="1">
        <v>2.3999999999999998E-3</v>
      </c>
      <c r="F2921" s="1">
        <v>4.2599999999999999E-2</v>
      </c>
      <c r="G2921" s="1">
        <v>0.94059999999999999</v>
      </c>
      <c r="H2921" s="1">
        <v>1.44E-2</v>
      </c>
    </row>
    <row r="2922" spans="1:9">
      <c r="A2922" t="s">
        <v>204</v>
      </c>
      <c r="B2922">
        <v>74</v>
      </c>
      <c r="C2922" t="s">
        <v>208</v>
      </c>
      <c r="D2922">
        <v>968</v>
      </c>
      <c r="E2922" s="1">
        <v>4.0500000000000001E-2</v>
      </c>
      <c r="F2922" s="1">
        <v>8.1100000000000005E-2</v>
      </c>
      <c r="G2922" s="1">
        <v>0.74319999999999997</v>
      </c>
      <c r="H2922" s="1">
        <v>0.1216</v>
      </c>
      <c r="I2922" s="1">
        <v>1.35E-2</v>
      </c>
    </row>
    <row r="2923" spans="1:9">
      <c r="A2923" t="s">
        <v>199</v>
      </c>
      <c r="B2923">
        <v>73</v>
      </c>
      <c r="C2923" t="s">
        <v>200</v>
      </c>
      <c r="D2923">
        <v>968</v>
      </c>
      <c r="F2923" s="1">
        <v>7.9000000000000008E-3</v>
      </c>
      <c r="G2923" s="1">
        <v>0.94099999999999995</v>
      </c>
      <c r="H2923" s="1">
        <v>5.11E-2</v>
      </c>
    </row>
    <row r="2924" spans="1:9">
      <c r="A2924" t="s">
        <v>199</v>
      </c>
      <c r="B2924">
        <v>96</v>
      </c>
      <c r="C2924" t="s">
        <v>201</v>
      </c>
      <c r="D2924">
        <v>968</v>
      </c>
      <c r="E2924" s="1">
        <v>1.04E-2</v>
      </c>
      <c r="F2924" s="1">
        <v>7.2900000000000006E-2</v>
      </c>
      <c r="G2924" s="1">
        <v>0.80210000000000004</v>
      </c>
      <c r="H2924" s="1">
        <v>0.1042</v>
      </c>
      <c r="I2924" s="1">
        <v>1.04E-2</v>
      </c>
    </row>
    <row r="2925" spans="1:9">
      <c r="A2925" t="s">
        <v>199</v>
      </c>
      <c r="B2925">
        <v>98</v>
      </c>
      <c r="C2925" t="s">
        <v>202</v>
      </c>
      <c r="D2925">
        <v>968</v>
      </c>
      <c r="F2925" s="1">
        <v>5.1700000000000003E-2</v>
      </c>
      <c r="G2925" s="1">
        <v>0.85329999999999995</v>
      </c>
      <c r="H2925" s="1">
        <v>9.5000000000000001E-2</v>
      </c>
    </row>
    <row r="2926" spans="1:9">
      <c r="A2926" t="s">
        <v>199</v>
      </c>
      <c r="B2926">
        <v>77</v>
      </c>
      <c r="C2926" t="s">
        <v>203</v>
      </c>
      <c r="D2926">
        <v>968</v>
      </c>
      <c r="F2926" s="1">
        <v>0.14660000000000001</v>
      </c>
      <c r="G2926" s="1">
        <v>0.74270000000000003</v>
      </c>
      <c r="H2926" s="1">
        <v>0.11070000000000001</v>
      </c>
    </row>
    <row r="2927" spans="1:9">
      <c r="A2927" t="s">
        <v>209</v>
      </c>
      <c r="B2927">
        <v>74</v>
      </c>
      <c r="C2927" t="s">
        <v>210</v>
      </c>
      <c r="D2927">
        <v>968</v>
      </c>
      <c r="F2927" s="1">
        <v>0.2278</v>
      </c>
      <c r="G2927" s="1">
        <v>0.75549999999999995</v>
      </c>
      <c r="H2927" s="1">
        <v>1.67E-2</v>
      </c>
    </row>
    <row r="2928" spans="1:9">
      <c r="A2928" t="s">
        <v>209</v>
      </c>
      <c r="B2928">
        <v>97</v>
      </c>
      <c r="C2928" t="s">
        <v>211</v>
      </c>
      <c r="D2928">
        <v>968</v>
      </c>
      <c r="E2928" s="1">
        <v>1.41E-2</v>
      </c>
      <c r="F2928" s="1">
        <v>0.15479999999999999</v>
      </c>
      <c r="G2928" s="1">
        <v>0.76</v>
      </c>
      <c r="H2928" s="1">
        <v>7.1099999999999997E-2</v>
      </c>
    </row>
    <row r="2929" spans="1:10">
      <c r="A2929" t="s">
        <v>209</v>
      </c>
      <c r="B2929">
        <v>85</v>
      </c>
      <c r="C2929" t="s">
        <v>212</v>
      </c>
      <c r="D2929">
        <v>968</v>
      </c>
      <c r="E2929" s="1">
        <v>1.4E-2</v>
      </c>
      <c r="F2929" s="1">
        <v>2.3699999999999999E-2</v>
      </c>
      <c r="G2929" s="1">
        <v>0.84440000000000004</v>
      </c>
      <c r="H2929" s="1">
        <v>0.11799999999999999</v>
      </c>
    </row>
    <row r="2931" spans="1:10">
      <c r="A2931" t="s">
        <v>828</v>
      </c>
    </row>
    <row r="2932" spans="1:10">
      <c r="A2932" t="s">
        <v>214</v>
      </c>
      <c r="B2932" t="s">
        <v>189</v>
      </c>
      <c r="C2932" t="s">
        <v>195</v>
      </c>
      <c r="D2932" t="s">
        <v>190</v>
      </c>
      <c r="E2932" t="s">
        <v>196</v>
      </c>
      <c r="F2932" t="s">
        <v>824</v>
      </c>
      <c r="G2932" t="s">
        <v>825</v>
      </c>
      <c r="H2932" t="s">
        <v>826</v>
      </c>
      <c r="I2932" t="s">
        <v>827</v>
      </c>
      <c r="J2932" t="s">
        <v>278</v>
      </c>
    </row>
    <row r="2933" spans="1:10">
      <c r="A2933" t="s">
        <v>198</v>
      </c>
      <c r="B2933" t="s">
        <v>197</v>
      </c>
      <c r="C2933">
        <v>968</v>
      </c>
      <c r="D2933" t="s">
        <v>198</v>
      </c>
      <c r="E2933">
        <v>968</v>
      </c>
      <c r="F2933" s="1">
        <v>9.7000000000000003E-3</v>
      </c>
      <c r="G2933" s="1">
        <v>7.1099999999999997E-2</v>
      </c>
      <c r="H2933" s="1">
        <v>0.84860000000000002</v>
      </c>
      <c r="I2933" s="1">
        <v>6.7699999999999996E-2</v>
      </c>
      <c r="J2933" s="1">
        <v>2.8999999999999998E-3</v>
      </c>
    </row>
    <row r="2934" spans="1:10">
      <c r="A2934" t="s">
        <v>235</v>
      </c>
      <c r="B2934" t="s">
        <v>204</v>
      </c>
      <c r="C2934">
        <v>63</v>
      </c>
      <c r="D2934" t="s">
        <v>208</v>
      </c>
      <c r="E2934">
        <v>968</v>
      </c>
      <c r="F2934" s="1">
        <v>4.7600000000000003E-2</v>
      </c>
      <c r="G2934" s="1">
        <v>6.3500000000000001E-2</v>
      </c>
      <c r="H2934" s="1">
        <v>0.746</v>
      </c>
      <c r="I2934" s="1">
        <v>0.127</v>
      </c>
      <c r="J2934" s="1">
        <v>1.5900000000000001E-2</v>
      </c>
    </row>
    <row r="2935" spans="1:10">
      <c r="A2935" t="s">
        <v>236</v>
      </c>
      <c r="B2935" t="s">
        <v>204</v>
      </c>
      <c r="C2935">
        <v>32</v>
      </c>
      <c r="D2935" t="s">
        <v>205</v>
      </c>
      <c r="E2935">
        <v>968</v>
      </c>
      <c r="F2935" s="1">
        <v>4.7600000000000003E-2</v>
      </c>
      <c r="G2935" s="1">
        <v>0.16420000000000001</v>
      </c>
      <c r="H2935" s="1">
        <v>0.76090000000000002</v>
      </c>
      <c r="I2935" s="1">
        <v>2.7300000000000001E-2</v>
      </c>
    </row>
    <row r="2936" spans="1:10">
      <c r="A2936" t="s">
        <v>235</v>
      </c>
      <c r="B2936" t="s">
        <v>204</v>
      </c>
      <c r="C2936">
        <v>58</v>
      </c>
      <c r="D2936" t="s">
        <v>205</v>
      </c>
      <c r="E2936">
        <v>968</v>
      </c>
      <c r="F2936" s="1">
        <v>3.8999999999999998E-3</v>
      </c>
      <c r="G2936" s="1">
        <v>7.4200000000000002E-2</v>
      </c>
      <c r="H2936" s="1">
        <v>0.91900000000000004</v>
      </c>
      <c r="I2936" s="1">
        <v>3.0000000000000001E-3</v>
      </c>
    </row>
    <row r="2937" spans="1:10" s="26" customFormat="1">
      <c r="A2937" s="26" t="s">
        <v>236</v>
      </c>
      <c r="B2937" s="26" t="s">
        <v>204</v>
      </c>
      <c r="C2937" s="26">
        <v>21</v>
      </c>
      <c r="D2937" s="26" t="s">
        <v>206</v>
      </c>
      <c r="E2937" s="26">
        <v>968</v>
      </c>
      <c r="G2937" s="27">
        <v>0.37609999999999999</v>
      </c>
      <c r="H2937" s="27">
        <v>0.62390000000000001</v>
      </c>
    </row>
    <row r="2938" spans="1:10">
      <c r="A2938" t="s">
        <v>235</v>
      </c>
      <c r="B2938" t="s">
        <v>204</v>
      </c>
      <c r="C2938">
        <v>47</v>
      </c>
      <c r="D2938" t="s">
        <v>206</v>
      </c>
      <c r="E2938">
        <v>968</v>
      </c>
      <c r="F2938" s="1">
        <v>2.4E-2</v>
      </c>
      <c r="G2938" s="1">
        <v>0.15129999999999999</v>
      </c>
      <c r="H2938" s="1">
        <v>0.75249999999999995</v>
      </c>
      <c r="I2938" s="1">
        <v>7.2099999999999997E-2</v>
      </c>
    </row>
    <row r="2939" spans="1:10">
      <c r="A2939" t="s">
        <v>236</v>
      </c>
      <c r="B2939" t="s">
        <v>204</v>
      </c>
      <c r="C2939">
        <v>81</v>
      </c>
      <c r="D2939" t="s">
        <v>207</v>
      </c>
      <c r="E2939">
        <v>968</v>
      </c>
      <c r="F2939" s="1">
        <v>6.0000000000000001E-3</v>
      </c>
      <c r="G2939" s="1">
        <v>7.8600000000000003E-2</v>
      </c>
      <c r="H2939" s="1">
        <v>0.89149999999999996</v>
      </c>
      <c r="I2939" s="1">
        <v>2.4E-2</v>
      </c>
    </row>
    <row r="2940" spans="1:10">
      <c r="A2940" t="s">
        <v>235</v>
      </c>
      <c r="B2940" t="s">
        <v>204</v>
      </c>
      <c r="C2940">
        <v>45</v>
      </c>
      <c r="D2940" t="s">
        <v>207</v>
      </c>
      <c r="E2940">
        <v>968</v>
      </c>
      <c r="G2940" s="1">
        <v>1.4200000000000001E-2</v>
      </c>
      <c r="H2940" s="1">
        <v>0.9778</v>
      </c>
      <c r="I2940" s="1">
        <v>8.0000000000000002E-3</v>
      </c>
    </row>
    <row r="2941" spans="1:10" s="26" customFormat="1">
      <c r="A2941" s="26" t="s">
        <v>236</v>
      </c>
      <c r="B2941" s="26" t="s">
        <v>204</v>
      </c>
      <c r="C2941" s="26">
        <v>11</v>
      </c>
      <c r="D2941" s="26" t="s">
        <v>208</v>
      </c>
      <c r="E2941" s="26">
        <v>968</v>
      </c>
      <c r="G2941" s="27">
        <v>0.18179999999999999</v>
      </c>
      <c r="H2941" s="27">
        <v>0.72729999999999995</v>
      </c>
      <c r="I2941" s="27">
        <v>9.0899999999999995E-2</v>
      </c>
    </row>
    <row r="2942" spans="1:10">
      <c r="A2942" t="s">
        <v>235</v>
      </c>
      <c r="B2942" t="s">
        <v>199</v>
      </c>
      <c r="C2942">
        <v>44</v>
      </c>
      <c r="D2942" t="s">
        <v>203</v>
      </c>
      <c r="E2942">
        <v>968</v>
      </c>
      <c r="G2942" s="1">
        <v>0.16450000000000001</v>
      </c>
      <c r="H2942" s="1">
        <v>0.72560000000000002</v>
      </c>
      <c r="I2942" s="1">
        <v>0.1099</v>
      </c>
    </row>
    <row r="2943" spans="1:10">
      <c r="A2943" t="s">
        <v>236</v>
      </c>
      <c r="B2943" t="s">
        <v>199</v>
      </c>
      <c r="C2943">
        <v>32</v>
      </c>
      <c r="D2943" t="s">
        <v>203</v>
      </c>
      <c r="E2943">
        <v>968</v>
      </c>
      <c r="G2943" s="1">
        <v>0.12540000000000001</v>
      </c>
      <c r="H2943" s="1">
        <v>0.83160000000000001</v>
      </c>
      <c r="I2943" s="1">
        <v>4.2999999999999997E-2</v>
      </c>
    </row>
    <row r="2944" spans="1:10">
      <c r="A2944" t="s">
        <v>235</v>
      </c>
      <c r="B2944" t="s">
        <v>199</v>
      </c>
      <c r="C2944">
        <v>60</v>
      </c>
      <c r="D2944" t="s">
        <v>202</v>
      </c>
      <c r="E2944">
        <v>968</v>
      </c>
      <c r="G2944" s="1">
        <v>3.5999999999999997E-2</v>
      </c>
      <c r="H2944" s="1">
        <v>0.84570000000000001</v>
      </c>
      <c r="I2944" s="1">
        <v>0.1183</v>
      </c>
    </row>
    <row r="2945" spans="1:10" s="26" customFormat="1">
      <c r="A2945" s="26" t="s">
        <v>236</v>
      </c>
      <c r="B2945" s="26" t="s">
        <v>199</v>
      </c>
      <c r="C2945" s="26">
        <v>24</v>
      </c>
      <c r="D2945" s="26" t="s">
        <v>200</v>
      </c>
      <c r="E2945" s="26">
        <v>968</v>
      </c>
      <c r="G2945" s="27">
        <v>3.3999999999999998E-3</v>
      </c>
      <c r="H2945" s="27">
        <v>0.9899</v>
      </c>
      <c r="I2945" s="27">
        <v>6.7000000000000002E-3</v>
      </c>
    </row>
    <row r="2946" spans="1:10">
      <c r="A2946" t="s">
        <v>235</v>
      </c>
      <c r="B2946" t="s">
        <v>199</v>
      </c>
      <c r="C2946">
        <v>46</v>
      </c>
      <c r="D2946" t="s">
        <v>200</v>
      </c>
      <c r="E2946">
        <v>968</v>
      </c>
      <c r="G2946" s="1">
        <v>1.2E-2</v>
      </c>
      <c r="H2946" s="1">
        <v>0.89670000000000005</v>
      </c>
      <c r="I2946" s="1">
        <v>9.1300000000000006E-2</v>
      </c>
    </row>
    <row r="2947" spans="1:10">
      <c r="A2947" t="s">
        <v>236</v>
      </c>
      <c r="B2947" t="s">
        <v>199</v>
      </c>
      <c r="C2947">
        <v>37</v>
      </c>
      <c r="D2947" t="s">
        <v>202</v>
      </c>
      <c r="E2947">
        <v>968</v>
      </c>
      <c r="G2947" s="1">
        <v>7.5300000000000006E-2</v>
      </c>
      <c r="H2947" s="1">
        <v>0.85909999999999997</v>
      </c>
      <c r="I2947" s="1">
        <v>6.5600000000000006E-2</v>
      </c>
    </row>
    <row r="2948" spans="1:10">
      <c r="A2948" t="s">
        <v>235</v>
      </c>
      <c r="B2948" t="s">
        <v>199</v>
      </c>
      <c r="C2948">
        <v>96</v>
      </c>
      <c r="D2948" t="s">
        <v>201</v>
      </c>
      <c r="E2948">
        <v>968</v>
      </c>
      <c r="F2948" s="1">
        <v>1.04E-2</v>
      </c>
      <c r="G2948" s="1">
        <v>7.2900000000000006E-2</v>
      </c>
      <c r="H2948" s="1">
        <v>0.80210000000000004</v>
      </c>
      <c r="I2948" s="1">
        <v>0.1042</v>
      </c>
      <c r="J2948" s="1">
        <v>1.04E-2</v>
      </c>
    </row>
    <row r="2949" spans="1:10">
      <c r="A2949" t="s">
        <v>236</v>
      </c>
      <c r="B2949" t="s">
        <v>209</v>
      </c>
      <c r="C2949">
        <v>39</v>
      </c>
      <c r="D2949" t="s">
        <v>211</v>
      </c>
      <c r="E2949">
        <v>968</v>
      </c>
      <c r="F2949" s="1">
        <v>1.18E-2</v>
      </c>
      <c r="G2949" s="1">
        <v>0.28649999999999998</v>
      </c>
      <c r="H2949" s="1">
        <v>0.63149999999999995</v>
      </c>
      <c r="I2949" s="1">
        <v>7.0199999999999999E-2</v>
      </c>
    </row>
    <row r="2950" spans="1:10">
      <c r="A2950" t="s">
        <v>235</v>
      </c>
      <c r="B2950" t="s">
        <v>209</v>
      </c>
      <c r="C2950">
        <v>56</v>
      </c>
      <c r="D2950" t="s">
        <v>211</v>
      </c>
      <c r="E2950">
        <v>968</v>
      </c>
      <c r="F2950" s="1">
        <v>1.6199999999999999E-2</v>
      </c>
      <c r="G2950" s="1">
        <v>8.5500000000000007E-2</v>
      </c>
      <c r="H2950" s="1">
        <v>0.82320000000000004</v>
      </c>
      <c r="I2950" s="1">
        <v>7.51E-2</v>
      </c>
    </row>
    <row r="2951" spans="1:10">
      <c r="A2951" t="s">
        <v>235</v>
      </c>
      <c r="B2951" t="s">
        <v>209</v>
      </c>
      <c r="C2951">
        <v>67</v>
      </c>
      <c r="D2951" t="s">
        <v>212</v>
      </c>
      <c r="E2951">
        <v>968</v>
      </c>
      <c r="F2951" s="1">
        <v>1.6199999999999999E-2</v>
      </c>
      <c r="G2951" s="1">
        <v>2.75E-2</v>
      </c>
      <c r="H2951" s="1">
        <v>0.83509999999999995</v>
      </c>
      <c r="I2951" s="1">
        <v>0.12130000000000001</v>
      </c>
    </row>
    <row r="2952" spans="1:10" s="26" customFormat="1">
      <c r="A2952" s="26" t="s">
        <v>236</v>
      </c>
      <c r="B2952" s="26" t="s">
        <v>209</v>
      </c>
      <c r="C2952" s="26">
        <v>18</v>
      </c>
      <c r="D2952" s="26" t="s">
        <v>212</v>
      </c>
      <c r="E2952" s="26">
        <v>968</v>
      </c>
      <c r="H2952" s="27">
        <v>0.90259999999999996</v>
      </c>
      <c r="I2952" s="27">
        <v>9.74E-2</v>
      </c>
    </row>
    <row r="2953" spans="1:10">
      <c r="A2953" t="s">
        <v>236</v>
      </c>
      <c r="B2953" t="s">
        <v>209</v>
      </c>
      <c r="C2953">
        <v>38</v>
      </c>
      <c r="D2953" t="s">
        <v>210</v>
      </c>
      <c r="E2953">
        <v>968</v>
      </c>
      <c r="G2953" s="1">
        <v>0.14710000000000001</v>
      </c>
      <c r="H2953" s="1">
        <v>0.81220000000000003</v>
      </c>
      <c r="I2953" s="1">
        <v>4.07E-2</v>
      </c>
    </row>
    <row r="2954" spans="1:10">
      <c r="A2954" t="s">
        <v>235</v>
      </c>
      <c r="B2954" t="s">
        <v>209</v>
      </c>
      <c r="C2954">
        <v>32</v>
      </c>
      <c r="D2954" t="s">
        <v>210</v>
      </c>
      <c r="E2954">
        <v>968</v>
      </c>
      <c r="G2954" s="1">
        <v>0.2908</v>
      </c>
      <c r="H2954" s="1">
        <v>0.70920000000000005</v>
      </c>
    </row>
    <row r="2956" spans="1:10">
      <c r="A2956" t="s">
        <v>829</v>
      </c>
    </row>
    <row r="2957" spans="1:10">
      <c r="A2957" t="s">
        <v>189</v>
      </c>
      <c r="B2957" t="s">
        <v>195</v>
      </c>
      <c r="C2957" t="s">
        <v>190</v>
      </c>
      <c r="D2957" t="s">
        <v>196</v>
      </c>
      <c r="E2957" t="s">
        <v>278</v>
      </c>
      <c r="F2957" t="s">
        <v>223</v>
      </c>
      <c r="G2957" t="s">
        <v>830</v>
      </c>
      <c r="H2957" t="s">
        <v>831</v>
      </c>
      <c r="I2957" t="s">
        <v>832</v>
      </c>
    </row>
    <row r="2958" spans="1:10">
      <c r="A2958" t="s">
        <v>197</v>
      </c>
      <c r="B2958">
        <v>957</v>
      </c>
      <c r="C2958" t="s">
        <v>198</v>
      </c>
      <c r="D2958">
        <v>957</v>
      </c>
      <c r="E2958" s="1">
        <v>8.9999999999999998E-4</v>
      </c>
      <c r="F2958" s="1">
        <v>1E-4</v>
      </c>
      <c r="G2958" s="1">
        <v>0.6653</v>
      </c>
      <c r="H2958" s="1">
        <v>0.3296</v>
      </c>
      <c r="I2958" s="1">
        <v>4.1000000000000003E-3</v>
      </c>
    </row>
    <row r="2959" spans="1:10">
      <c r="A2959" t="s">
        <v>204</v>
      </c>
      <c r="B2959">
        <v>89</v>
      </c>
      <c r="C2959" t="s">
        <v>205</v>
      </c>
      <c r="D2959">
        <v>957</v>
      </c>
      <c r="G2959" s="1">
        <v>0.67130000000000001</v>
      </c>
      <c r="H2959" s="1">
        <v>0.32869999999999999</v>
      </c>
    </row>
    <row r="2960" spans="1:10">
      <c r="A2960" t="s">
        <v>204</v>
      </c>
      <c r="B2960">
        <v>71</v>
      </c>
      <c r="C2960" t="s">
        <v>206</v>
      </c>
      <c r="D2960">
        <v>957</v>
      </c>
      <c r="G2960" s="1">
        <v>0.43490000000000001</v>
      </c>
      <c r="H2960" s="1">
        <v>0.56510000000000005</v>
      </c>
    </row>
    <row r="2961" spans="1:10">
      <c r="A2961" t="s">
        <v>204</v>
      </c>
      <c r="B2961">
        <v>130</v>
      </c>
      <c r="C2961" t="s">
        <v>207</v>
      </c>
      <c r="D2961">
        <v>957</v>
      </c>
      <c r="G2961" s="1">
        <v>0.58640000000000003</v>
      </c>
      <c r="H2961" s="1">
        <v>0.41110000000000002</v>
      </c>
      <c r="I2961" s="1">
        <v>2.5000000000000001E-3</v>
      </c>
    </row>
    <row r="2962" spans="1:10">
      <c r="A2962" t="s">
        <v>204</v>
      </c>
      <c r="B2962">
        <v>71</v>
      </c>
      <c r="C2962" t="s">
        <v>208</v>
      </c>
      <c r="D2962">
        <v>957</v>
      </c>
      <c r="E2962" s="1">
        <v>1.41E-2</v>
      </c>
      <c r="G2962" s="1">
        <v>0.61970000000000003</v>
      </c>
      <c r="H2962" s="1">
        <v>0.35210000000000002</v>
      </c>
      <c r="I2962" s="1">
        <v>1.41E-2</v>
      </c>
    </row>
    <row r="2963" spans="1:10">
      <c r="A2963" t="s">
        <v>199</v>
      </c>
      <c r="B2963">
        <v>73</v>
      </c>
      <c r="C2963" t="s">
        <v>200</v>
      </c>
      <c r="D2963">
        <v>957</v>
      </c>
      <c r="G2963" s="1">
        <v>0.28310000000000002</v>
      </c>
      <c r="H2963" s="1">
        <v>0.71689999999999998</v>
      </c>
    </row>
    <row r="2964" spans="1:10">
      <c r="A2964" t="s">
        <v>199</v>
      </c>
      <c r="B2964">
        <v>95</v>
      </c>
      <c r="C2964" t="s">
        <v>201</v>
      </c>
      <c r="D2964">
        <v>957</v>
      </c>
      <c r="G2964" s="1">
        <v>0.94740000000000002</v>
      </c>
      <c r="H2964" s="1">
        <v>5.2600000000000001E-2</v>
      </c>
    </row>
    <row r="2965" spans="1:10">
      <c r="A2965" t="s">
        <v>199</v>
      </c>
      <c r="B2965">
        <v>98</v>
      </c>
      <c r="C2965" t="s">
        <v>202</v>
      </c>
      <c r="D2965">
        <v>957</v>
      </c>
      <c r="G2965" s="1">
        <v>0.57250000000000001</v>
      </c>
      <c r="H2965" s="1">
        <v>0.41399999999999998</v>
      </c>
      <c r="I2965" s="1">
        <v>1.35E-2</v>
      </c>
    </row>
    <row r="2966" spans="1:10">
      <c r="A2966" t="s">
        <v>199</v>
      </c>
      <c r="B2966">
        <v>77</v>
      </c>
      <c r="C2966" t="s">
        <v>203</v>
      </c>
      <c r="D2966">
        <v>957</v>
      </c>
      <c r="G2966" s="1">
        <v>0.47639999999999999</v>
      </c>
      <c r="H2966" s="1">
        <v>0.50460000000000005</v>
      </c>
      <c r="I2966" s="1">
        <v>1.9E-2</v>
      </c>
    </row>
    <row r="2967" spans="1:10">
      <c r="A2967" t="s">
        <v>209</v>
      </c>
      <c r="B2967">
        <v>74</v>
      </c>
      <c r="C2967" t="s">
        <v>210</v>
      </c>
      <c r="D2967">
        <v>957</v>
      </c>
      <c r="F2967" s="1">
        <v>1.77E-2</v>
      </c>
      <c r="G2967" s="1">
        <v>0.50760000000000005</v>
      </c>
      <c r="H2967" s="1">
        <v>0.45700000000000002</v>
      </c>
      <c r="I2967" s="1">
        <v>1.77E-2</v>
      </c>
    </row>
    <row r="2968" spans="1:10">
      <c r="A2968" t="s">
        <v>209</v>
      </c>
      <c r="B2968">
        <v>95</v>
      </c>
      <c r="C2968" t="s">
        <v>211</v>
      </c>
      <c r="D2968">
        <v>957</v>
      </c>
      <c r="G2968" s="1">
        <v>0.41320000000000001</v>
      </c>
      <c r="H2968" s="1">
        <v>0.58679999999999999</v>
      </c>
    </row>
    <row r="2969" spans="1:10">
      <c r="A2969" t="s">
        <v>209</v>
      </c>
      <c r="B2969">
        <v>84</v>
      </c>
      <c r="C2969" t="s">
        <v>212</v>
      </c>
      <c r="D2969">
        <v>957</v>
      </c>
      <c r="G2969" s="1">
        <v>0.72850000000000004</v>
      </c>
      <c r="H2969" s="1">
        <v>0.27150000000000002</v>
      </c>
    </row>
    <row r="2971" spans="1:10">
      <c r="A2971" t="s">
        <v>833</v>
      </c>
    </row>
    <row r="2972" spans="1:10">
      <c r="A2972" t="s">
        <v>214</v>
      </c>
      <c r="B2972" t="s">
        <v>189</v>
      </c>
      <c r="C2972" t="s">
        <v>195</v>
      </c>
      <c r="D2972" t="s">
        <v>190</v>
      </c>
      <c r="E2972" t="s">
        <v>196</v>
      </c>
      <c r="F2972" t="s">
        <v>278</v>
      </c>
      <c r="G2972" t="s">
        <v>223</v>
      </c>
      <c r="H2972" t="s">
        <v>830</v>
      </c>
      <c r="I2972" t="s">
        <v>831</v>
      </c>
      <c r="J2972" t="s">
        <v>832</v>
      </c>
    </row>
    <row r="2973" spans="1:10">
      <c r="A2973" t="s">
        <v>198</v>
      </c>
      <c r="B2973" t="s">
        <v>197</v>
      </c>
      <c r="C2973">
        <v>957</v>
      </c>
      <c r="D2973" t="s">
        <v>198</v>
      </c>
      <c r="E2973">
        <v>957</v>
      </c>
      <c r="F2973" s="1">
        <v>8.9999999999999998E-4</v>
      </c>
      <c r="G2973" s="1">
        <v>1E-4</v>
      </c>
      <c r="H2973" s="1">
        <v>0.6653</v>
      </c>
      <c r="I2973" s="1">
        <v>0.3296</v>
      </c>
      <c r="J2973" s="1">
        <v>4.1000000000000003E-3</v>
      </c>
    </row>
    <row r="2974" spans="1:10">
      <c r="A2974" t="s">
        <v>235</v>
      </c>
      <c r="B2974" t="s">
        <v>204</v>
      </c>
      <c r="C2974">
        <v>60</v>
      </c>
      <c r="D2974" t="s">
        <v>208</v>
      </c>
      <c r="E2974">
        <v>957</v>
      </c>
      <c r="F2974" s="1">
        <v>1.67E-2</v>
      </c>
      <c r="H2974" s="1">
        <v>0.73329999999999995</v>
      </c>
      <c r="I2974" s="1">
        <v>0.25</v>
      </c>
    </row>
    <row r="2975" spans="1:10">
      <c r="A2975" t="s">
        <v>236</v>
      </c>
      <c r="B2975" t="s">
        <v>204</v>
      </c>
      <c r="C2975">
        <v>31</v>
      </c>
      <c r="D2975" t="s">
        <v>205</v>
      </c>
      <c r="E2975">
        <v>957</v>
      </c>
      <c r="H2975" s="1">
        <v>0.31730000000000003</v>
      </c>
      <c r="I2975" s="1">
        <v>0.68269999999999997</v>
      </c>
    </row>
    <row r="2976" spans="1:10">
      <c r="A2976" t="s">
        <v>235</v>
      </c>
      <c r="B2976" t="s">
        <v>204</v>
      </c>
      <c r="C2976">
        <v>57</v>
      </c>
      <c r="D2976" t="s">
        <v>205</v>
      </c>
      <c r="E2976">
        <v>957</v>
      </c>
      <c r="H2976" s="1">
        <v>0.74680000000000002</v>
      </c>
      <c r="I2976" s="1">
        <v>0.25319999999999998</v>
      </c>
    </row>
    <row r="2977" spans="1:10" s="26" customFormat="1">
      <c r="A2977" s="26" t="s">
        <v>236</v>
      </c>
      <c r="B2977" s="26" t="s">
        <v>204</v>
      </c>
      <c r="C2977" s="26">
        <v>21</v>
      </c>
      <c r="D2977" s="26" t="s">
        <v>206</v>
      </c>
      <c r="E2977" s="26">
        <v>957</v>
      </c>
      <c r="H2977" s="27">
        <v>0.10249999999999999</v>
      </c>
      <c r="I2977" s="27">
        <v>0.89749999999999996</v>
      </c>
    </row>
    <row r="2978" spans="1:10">
      <c r="A2978" t="s">
        <v>235</v>
      </c>
      <c r="B2978" t="s">
        <v>204</v>
      </c>
      <c r="C2978">
        <v>46</v>
      </c>
      <c r="D2978" t="s">
        <v>206</v>
      </c>
      <c r="E2978">
        <v>957</v>
      </c>
      <c r="H2978" s="1">
        <v>0.56340000000000001</v>
      </c>
      <c r="I2978" s="1">
        <v>0.43659999999999999</v>
      </c>
    </row>
    <row r="2979" spans="1:10">
      <c r="A2979" t="s">
        <v>236</v>
      </c>
      <c r="B2979" t="s">
        <v>204</v>
      </c>
      <c r="C2979">
        <v>80</v>
      </c>
      <c r="D2979" t="s">
        <v>207</v>
      </c>
      <c r="E2979">
        <v>957</v>
      </c>
      <c r="H2979" s="1">
        <v>0.2049</v>
      </c>
      <c r="I2979" s="1">
        <v>0.79510000000000003</v>
      </c>
    </row>
    <row r="2980" spans="1:10">
      <c r="A2980" t="s">
        <v>235</v>
      </c>
      <c r="B2980" t="s">
        <v>204</v>
      </c>
      <c r="C2980">
        <v>45</v>
      </c>
      <c r="D2980" t="s">
        <v>207</v>
      </c>
      <c r="E2980">
        <v>957</v>
      </c>
      <c r="H2980" s="1">
        <v>0.86129999999999995</v>
      </c>
      <c r="I2980" s="1">
        <v>0.13439999999999999</v>
      </c>
      <c r="J2980" s="1">
        <v>4.3E-3</v>
      </c>
    </row>
    <row r="2981" spans="1:10" s="26" customFormat="1">
      <c r="A2981" s="26" t="s">
        <v>236</v>
      </c>
      <c r="B2981" s="26" t="s">
        <v>204</v>
      </c>
      <c r="C2981" s="26">
        <v>11</v>
      </c>
      <c r="D2981" s="26" t="s">
        <v>208</v>
      </c>
      <c r="E2981" s="26">
        <v>957</v>
      </c>
      <c r="I2981" s="27">
        <v>0.90910000000000002</v>
      </c>
      <c r="J2981" s="27">
        <v>9.0899999999999995E-2</v>
      </c>
    </row>
    <row r="2982" spans="1:10">
      <c r="A2982" t="s">
        <v>235</v>
      </c>
      <c r="B2982" t="s">
        <v>199</v>
      </c>
      <c r="C2982">
        <v>44</v>
      </c>
      <c r="D2982" t="s">
        <v>203</v>
      </c>
      <c r="E2982">
        <v>957</v>
      </c>
      <c r="H2982" s="1">
        <v>0.64400000000000002</v>
      </c>
      <c r="I2982" s="1">
        <v>0.35599999999999998</v>
      </c>
    </row>
    <row r="2983" spans="1:10">
      <c r="A2983" t="s">
        <v>236</v>
      </c>
      <c r="B2983" t="s">
        <v>199</v>
      </c>
      <c r="C2983">
        <v>32</v>
      </c>
      <c r="D2983" t="s">
        <v>203</v>
      </c>
      <c r="E2983">
        <v>957</v>
      </c>
      <c r="H2983" s="1">
        <v>0.13139999999999999</v>
      </c>
      <c r="I2983" s="1">
        <v>0.81359999999999999</v>
      </c>
      <c r="J2983" s="1">
        <v>5.5E-2</v>
      </c>
    </row>
    <row r="2984" spans="1:10">
      <c r="A2984" t="s">
        <v>235</v>
      </c>
      <c r="B2984" t="s">
        <v>199</v>
      </c>
      <c r="C2984">
        <v>60</v>
      </c>
      <c r="D2984" t="s">
        <v>202</v>
      </c>
      <c r="E2984">
        <v>957</v>
      </c>
      <c r="H2984" s="1">
        <v>0.77700000000000002</v>
      </c>
      <c r="I2984" s="1">
        <v>0.223</v>
      </c>
    </row>
    <row r="2985" spans="1:10" s="26" customFormat="1">
      <c r="A2985" s="26" t="s">
        <v>236</v>
      </c>
      <c r="B2985" s="26" t="s">
        <v>199</v>
      </c>
      <c r="C2985" s="26">
        <v>24</v>
      </c>
      <c r="D2985" s="26" t="s">
        <v>200</v>
      </c>
      <c r="E2985" s="26">
        <v>957</v>
      </c>
      <c r="I2985" s="27">
        <v>1</v>
      </c>
    </row>
    <row r="2986" spans="1:10">
      <c r="A2986" t="s">
        <v>235</v>
      </c>
      <c r="B2986" t="s">
        <v>199</v>
      </c>
      <c r="C2986">
        <v>46</v>
      </c>
      <c r="D2986" t="s">
        <v>200</v>
      </c>
      <c r="E2986">
        <v>957</v>
      </c>
      <c r="H2986" s="1">
        <v>0.53849999999999998</v>
      </c>
      <c r="I2986" s="1">
        <v>0.46150000000000002</v>
      </c>
    </row>
    <row r="2987" spans="1:10">
      <c r="A2987" t="s">
        <v>236</v>
      </c>
      <c r="B2987" t="s">
        <v>199</v>
      </c>
      <c r="C2987">
        <v>37</v>
      </c>
      <c r="D2987" t="s">
        <v>202</v>
      </c>
      <c r="E2987">
        <v>957</v>
      </c>
      <c r="H2987" s="1">
        <v>0.27429999999999999</v>
      </c>
      <c r="I2987" s="1">
        <v>0.69289999999999996</v>
      </c>
      <c r="J2987" s="1">
        <v>3.2800000000000003E-2</v>
      </c>
    </row>
    <row r="2988" spans="1:10">
      <c r="A2988" t="s">
        <v>235</v>
      </c>
      <c r="B2988" t="s">
        <v>199</v>
      </c>
      <c r="C2988">
        <v>95</v>
      </c>
      <c r="D2988" t="s">
        <v>201</v>
      </c>
      <c r="E2988">
        <v>957</v>
      </c>
      <c r="H2988" s="1">
        <v>0.94740000000000002</v>
      </c>
      <c r="I2988" s="1">
        <v>5.2600000000000001E-2</v>
      </c>
    </row>
    <row r="2989" spans="1:10">
      <c r="A2989" t="s">
        <v>236</v>
      </c>
      <c r="B2989" t="s">
        <v>209</v>
      </c>
      <c r="C2989">
        <v>38</v>
      </c>
      <c r="D2989" t="s">
        <v>211</v>
      </c>
      <c r="E2989">
        <v>957</v>
      </c>
      <c r="H2989" s="1">
        <v>0.1021</v>
      </c>
      <c r="I2989" s="1">
        <v>0.89790000000000003</v>
      </c>
    </row>
    <row r="2990" spans="1:10">
      <c r="A2990" t="s">
        <v>235</v>
      </c>
      <c r="B2990" t="s">
        <v>209</v>
      </c>
      <c r="C2990">
        <v>55</v>
      </c>
      <c r="D2990" t="s">
        <v>211</v>
      </c>
      <c r="E2990">
        <v>957</v>
      </c>
      <c r="H2990" s="1">
        <v>0.56610000000000005</v>
      </c>
      <c r="I2990" s="1">
        <v>0.43390000000000001</v>
      </c>
    </row>
    <row r="2991" spans="1:10">
      <c r="A2991" t="s">
        <v>235</v>
      </c>
      <c r="B2991" t="s">
        <v>209</v>
      </c>
      <c r="C2991">
        <v>66</v>
      </c>
      <c r="D2991" t="s">
        <v>212</v>
      </c>
      <c r="E2991">
        <v>957</v>
      </c>
      <c r="H2991" s="1">
        <v>0.77439999999999998</v>
      </c>
      <c r="I2991" s="1">
        <v>0.22559999999999999</v>
      </c>
    </row>
    <row r="2992" spans="1:10" s="26" customFormat="1">
      <c r="A2992" s="26" t="s">
        <v>236</v>
      </c>
      <c r="B2992" s="26" t="s">
        <v>209</v>
      </c>
      <c r="C2992" s="26">
        <v>18</v>
      </c>
      <c r="D2992" s="26" t="s">
        <v>212</v>
      </c>
      <c r="E2992" s="26">
        <v>957</v>
      </c>
      <c r="H2992" s="27">
        <v>0.44650000000000001</v>
      </c>
      <c r="I2992" s="27">
        <v>0.55349999999999999</v>
      </c>
    </row>
    <row r="2993" spans="1:10">
      <c r="A2993" t="s">
        <v>236</v>
      </c>
      <c r="B2993" t="s">
        <v>209</v>
      </c>
      <c r="C2993">
        <v>38</v>
      </c>
      <c r="D2993" t="s">
        <v>210</v>
      </c>
      <c r="E2993">
        <v>957</v>
      </c>
      <c r="H2993" s="1">
        <v>0.31219999999999998</v>
      </c>
      <c r="I2993" s="1">
        <v>0.68779999999999997</v>
      </c>
    </row>
    <row r="2994" spans="1:10">
      <c r="A2994" t="s">
        <v>235</v>
      </c>
      <c r="B2994" t="s">
        <v>209</v>
      </c>
      <c r="C2994">
        <v>32</v>
      </c>
      <c r="D2994" t="s">
        <v>210</v>
      </c>
      <c r="E2994">
        <v>957</v>
      </c>
      <c r="G2994" s="1">
        <v>3.2300000000000002E-2</v>
      </c>
      <c r="H2994" s="1">
        <v>0.69389999999999996</v>
      </c>
      <c r="I2994" s="1">
        <v>0.24149999999999999</v>
      </c>
      <c r="J2994" s="1">
        <v>3.2300000000000002E-2</v>
      </c>
    </row>
    <row r="2996" spans="1:10">
      <c r="A2996" t="s">
        <v>834</v>
      </c>
    </row>
    <row r="2997" spans="1:10">
      <c r="A2997" t="s">
        <v>189</v>
      </c>
      <c r="B2997" t="s">
        <v>190</v>
      </c>
      <c r="C2997" t="s">
        <v>191</v>
      </c>
      <c r="D2997" t="s">
        <v>192</v>
      </c>
      <c r="E2997" t="s">
        <v>193</v>
      </c>
      <c r="F2997" t="s">
        <v>194</v>
      </c>
      <c r="G2997" t="s">
        <v>195</v>
      </c>
      <c r="H2997" t="s">
        <v>196</v>
      </c>
    </row>
    <row r="2998" spans="1:10">
      <c r="A2998" t="s">
        <v>197</v>
      </c>
      <c r="B2998" t="s">
        <v>198</v>
      </c>
      <c r="C2998">
        <v>50.655472362428057</v>
      </c>
      <c r="D2998">
        <v>48</v>
      </c>
      <c r="E2998">
        <v>12</v>
      </c>
      <c r="F2998">
        <v>200</v>
      </c>
      <c r="G2998">
        <v>675</v>
      </c>
      <c r="H2998">
        <v>675</v>
      </c>
    </row>
    <row r="2999" spans="1:10">
      <c r="A2999" t="s">
        <v>199</v>
      </c>
      <c r="B2999" t="s">
        <v>200</v>
      </c>
      <c r="C2999">
        <v>62.665787426559739</v>
      </c>
      <c r="D2999">
        <v>63</v>
      </c>
      <c r="E2999">
        <v>30</v>
      </c>
      <c r="F2999">
        <v>130</v>
      </c>
      <c r="G2999">
        <v>50</v>
      </c>
      <c r="H2999">
        <v>675</v>
      </c>
    </row>
    <row r="3000" spans="1:10">
      <c r="A3000" t="s">
        <v>199</v>
      </c>
      <c r="B3000" t="s">
        <v>201</v>
      </c>
      <c r="C3000">
        <v>47.679487179487182</v>
      </c>
      <c r="D3000">
        <v>45</v>
      </c>
      <c r="E3000">
        <v>12</v>
      </c>
      <c r="F3000">
        <v>100</v>
      </c>
      <c r="G3000">
        <v>78</v>
      </c>
      <c r="H3000">
        <v>675</v>
      </c>
    </row>
    <row r="3001" spans="1:10">
      <c r="A3001" t="s">
        <v>199</v>
      </c>
      <c r="B3001" t="s">
        <v>202</v>
      </c>
      <c r="C3001">
        <v>56.461715123963643</v>
      </c>
      <c r="D3001">
        <v>54</v>
      </c>
      <c r="E3001">
        <v>14</v>
      </c>
      <c r="F3001">
        <v>156</v>
      </c>
      <c r="G3001">
        <v>72</v>
      </c>
      <c r="H3001">
        <v>675</v>
      </c>
    </row>
    <row r="3002" spans="1:10">
      <c r="A3002" t="s">
        <v>199</v>
      </c>
      <c r="B3002" t="s">
        <v>203</v>
      </c>
      <c r="C3002">
        <v>56.909070147183421</v>
      </c>
      <c r="D3002">
        <v>60</v>
      </c>
      <c r="E3002">
        <v>18</v>
      </c>
      <c r="F3002">
        <v>120</v>
      </c>
      <c r="G3002">
        <v>52</v>
      </c>
      <c r="H3002">
        <v>675</v>
      </c>
    </row>
    <row r="3003" spans="1:10">
      <c r="A3003" t="s">
        <v>204</v>
      </c>
      <c r="B3003" t="s">
        <v>205</v>
      </c>
      <c r="C3003">
        <v>47.845985330376948</v>
      </c>
      <c r="D3003">
        <v>46</v>
      </c>
      <c r="E3003">
        <v>25</v>
      </c>
      <c r="F3003">
        <v>100</v>
      </c>
      <c r="G3003">
        <v>68</v>
      </c>
      <c r="H3003">
        <v>675</v>
      </c>
    </row>
    <row r="3004" spans="1:10">
      <c r="A3004" t="s">
        <v>204</v>
      </c>
      <c r="B3004" t="s">
        <v>206</v>
      </c>
      <c r="C3004">
        <v>51.595176561199352</v>
      </c>
      <c r="D3004">
        <v>52</v>
      </c>
      <c r="E3004">
        <v>18</v>
      </c>
      <c r="F3004">
        <v>80</v>
      </c>
      <c r="G3004">
        <v>50</v>
      </c>
      <c r="H3004">
        <v>675</v>
      </c>
    </row>
    <row r="3005" spans="1:10">
      <c r="A3005" t="s">
        <v>204</v>
      </c>
      <c r="B3005" t="s">
        <v>207</v>
      </c>
      <c r="C3005">
        <v>48.522000960906126</v>
      </c>
      <c r="D3005">
        <v>48</v>
      </c>
      <c r="E3005">
        <v>15</v>
      </c>
      <c r="F3005">
        <v>125</v>
      </c>
      <c r="G3005">
        <v>90</v>
      </c>
      <c r="H3005">
        <v>675</v>
      </c>
    </row>
    <row r="3006" spans="1:10">
      <c r="A3006" t="s">
        <v>204</v>
      </c>
      <c r="B3006" t="s">
        <v>208</v>
      </c>
      <c r="C3006">
        <v>46.326923076923073</v>
      </c>
      <c r="D3006">
        <v>45</v>
      </c>
      <c r="E3006">
        <v>15</v>
      </c>
      <c r="F3006">
        <v>150</v>
      </c>
      <c r="G3006">
        <v>52</v>
      </c>
      <c r="H3006">
        <v>675</v>
      </c>
    </row>
    <row r="3007" spans="1:10">
      <c r="A3007" t="s">
        <v>209</v>
      </c>
      <c r="B3007" t="s">
        <v>210</v>
      </c>
      <c r="C3007">
        <v>54.223529689499088</v>
      </c>
      <c r="D3007">
        <v>50</v>
      </c>
      <c r="E3007">
        <v>18</v>
      </c>
      <c r="F3007">
        <v>123</v>
      </c>
      <c r="G3007">
        <v>39</v>
      </c>
      <c r="H3007">
        <v>675</v>
      </c>
    </row>
    <row r="3008" spans="1:10">
      <c r="A3008" t="s">
        <v>209</v>
      </c>
      <c r="B3008" t="s">
        <v>211</v>
      </c>
      <c r="C3008">
        <v>49.880459388463542</v>
      </c>
      <c r="D3008">
        <v>50</v>
      </c>
      <c r="E3008">
        <v>15</v>
      </c>
      <c r="F3008">
        <v>120</v>
      </c>
      <c r="G3008">
        <v>61</v>
      </c>
      <c r="H3008">
        <v>675</v>
      </c>
    </row>
    <row r="3009" spans="1:9">
      <c r="A3009" t="s">
        <v>209</v>
      </c>
      <c r="B3009" t="s">
        <v>212</v>
      </c>
      <c r="C3009">
        <v>53.564041858435601</v>
      </c>
      <c r="D3009">
        <v>50</v>
      </c>
      <c r="E3009">
        <v>12</v>
      </c>
      <c r="F3009">
        <v>200</v>
      </c>
      <c r="G3009">
        <v>63</v>
      </c>
      <c r="H3009">
        <v>675</v>
      </c>
    </row>
    <row r="3011" spans="1:9">
      <c r="A3011" t="s">
        <v>835</v>
      </c>
    </row>
    <row r="3012" spans="1:9">
      <c r="A3012" t="s">
        <v>189</v>
      </c>
      <c r="B3012" t="s">
        <v>190</v>
      </c>
      <c r="C3012" t="s">
        <v>214</v>
      </c>
      <c r="D3012" t="s">
        <v>191</v>
      </c>
      <c r="E3012" t="s">
        <v>192</v>
      </c>
      <c r="F3012" t="s">
        <v>193</v>
      </c>
      <c r="G3012" t="s">
        <v>194</v>
      </c>
      <c r="H3012" t="s">
        <v>195</v>
      </c>
      <c r="I3012" t="s">
        <v>196</v>
      </c>
    </row>
    <row r="3013" spans="1:9">
      <c r="A3013" t="s">
        <v>197</v>
      </c>
      <c r="B3013" t="s">
        <v>198</v>
      </c>
      <c r="C3013" t="s">
        <v>198</v>
      </c>
      <c r="D3013">
        <v>50.655472362428057</v>
      </c>
      <c r="E3013">
        <v>48</v>
      </c>
      <c r="F3013">
        <v>12</v>
      </c>
      <c r="G3013">
        <v>200</v>
      </c>
      <c r="H3013">
        <v>675</v>
      </c>
      <c r="I3013">
        <v>675</v>
      </c>
    </row>
    <row r="3014" spans="1:9" s="26" customFormat="1">
      <c r="A3014" s="26" t="s">
        <v>199</v>
      </c>
      <c r="B3014" s="26" t="s">
        <v>200</v>
      </c>
      <c r="C3014" s="26" t="s">
        <v>236</v>
      </c>
      <c r="D3014" s="26">
        <v>69.254658798490595</v>
      </c>
      <c r="E3014" s="26">
        <v>80</v>
      </c>
      <c r="F3014" s="26">
        <v>30</v>
      </c>
      <c r="G3014" s="26">
        <v>84</v>
      </c>
      <c r="H3014" s="26">
        <v>16</v>
      </c>
      <c r="I3014" s="26">
        <v>675</v>
      </c>
    </row>
    <row r="3015" spans="1:9">
      <c r="A3015" t="s">
        <v>199</v>
      </c>
      <c r="B3015" t="s">
        <v>200</v>
      </c>
      <c r="C3015" t="s">
        <v>235</v>
      </c>
      <c r="D3015">
        <v>56.720851933828072</v>
      </c>
      <c r="E3015">
        <v>60</v>
      </c>
      <c r="F3015">
        <v>35</v>
      </c>
      <c r="G3015">
        <v>130</v>
      </c>
      <c r="H3015">
        <v>34</v>
      </c>
      <c r="I3015">
        <v>675</v>
      </c>
    </row>
    <row r="3016" spans="1:9">
      <c r="A3016" t="s">
        <v>199</v>
      </c>
      <c r="B3016" t="s">
        <v>201</v>
      </c>
      <c r="C3016" t="s">
        <v>235</v>
      </c>
      <c r="D3016">
        <v>47.679487179487182</v>
      </c>
      <c r="E3016">
        <v>45</v>
      </c>
      <c r="F3016">
        <v>12</v>
      </c>
      <c r="G3016">
        <v>100</v>
      </c>
      <c r="H3016">
        <v>78</v>
      </c>
      <c r="I3016">
        <v>675</v>
      </c>
    </row>
    <row r="3017" spans="1:9" s="26" customFormat="1">
      <c r="A3017" s="26" t="s">
        <v>199</v>
      </c>
      <c r="B3017" s="26" t="s">
        <v>202</v>
      </c>
      <c r="C3017" s="26" t="s">
        <v>236</v>
      </c>
      <c r="D3017" s="26">
        <v>65.328255126719924</v>
      </c>
      <c r="E3017" s="26">
        <v>60</v>
      </c>
      <c r="F3017" s="26">
        <v>15</v>
      </c>
      <c r="G3017" s="26">
        <v>156</v>
      </c>
      <c r="H3017" s="26">
        <v>28</v>
      </c>
      <c r="I3017" s="26">
        <v>675</v>
      </c>
    </row>
    <row r="3018" spans="1:9">
      <c r="A3018" t="s">
        <v>199</v>
      </c>
      <c r="B3018" t="s">
        <v>202</v>
      </c>
      <c r="C3018" t="s">
        <v>235</v>
      </c>
      <c r="D3018">
        <v>50.655376115441342</v>
      </c>
      <c r="E3018">
        <v>54</v>
      </c>
      <c r="F3018">
        <v>14</v>
      </c>
      <c r="G3018">
        <v>107</v>
      </c>
      <c r="H3018">
        <v>43</v>
      </c>
      <c r="I3018">
        <v>675</v>
      </c>
    </row>
    <row r="3019" spans="1:9" s="26" customFormat="1">
      <c r="A3019" s="26" t="s">
        <v>199</v>
      </c>
      <c r="B3019" s="26" t="s">
        <v>203</v>
      </c>
      <c r="C3019" s="26" t="s">
        <v>236</v>
      </c>
      <c r="D3019" s="26">
        <v>58.268769618821281</v>
      </c>
      <c r="E3019" s="26">
        <v>60</v>
      </c>
      <c r="F3019" s="26">
        <v>18</v>
      </c>
      <c r="G3019" s="26">
        <v>120</v>
      </c>
      <c r="H3019" s="26">
        <v>21</v>
      </c>
      <c r="I3019" s="26">
        <v>675</v>
      </c>
    </row>
    <row r="3020" spans="1:9">
      <c r="A3020" t="s">
        <v>199</v>
      </c>
      <c r="B3020" t="s">
        <v>203</v>
      </c>
      <c r="C3020" t="s">
        <v>235</v>
      </c>
      <c r="D3020">
        <v>56.279460962937733</v>
      </c>
      <c r="E3020">
        <v>60</v>
      </c>
      <c r="F3020">
        <v>19</v>
      </c>
      <c r="G3020">
        <v>100</v>
      </c>
      <c r="H3020">
        <v>31</v>
      </c>
      <c r="I3020">
        <v>675</v>
      </c>
    </row>
    <row r="3021" spans="1:9" s="26" customFormat="1">
      <c r="A3021" s="26" t="s">
        <v>204</v>
      </c>
      <c r="B3021" s="26" t="s">
        <v>205</v>
      </c>
      <c r="C3021" s="26" t="s">
        <v>236</v>
      </c>
      <c r="D3021" s="26">
        <v>52.084679737859673</v>
      </c>
      <c r="E3021" s="26">
        <v>47</v>
      </c>
      <c r="F3021" s="26">
        <v>25</v>
      </c>
      <c r="G3021" s="26">
        <v>100</v>
      </c>
      <c r="H3021" s="26">
        <v>23</v>
      </c>
      <c r="I3021" s="26">
        <v>675</v>
      </c>
    </row>
    <row r="3022" spans="1:9">
      <c r="A3022" t="s">
        <v>204</v>
      </c>
      <c r="B3022" t="s">
        <v>205</v>
      </c>
      <c r="C3022" t="s">
        <v>235</v>
      </c>
      <c r="D3022">
        <v>46.827446033483149</v>
      </c>
      <c r="E3022">
        <v>47</v>
      </c>
      <c r="F3022">
        <v>25</v>
      </c>
      <c r="G3022">
        <v>90</v>
      </c>
      <c r="H3022">
        <v>44</v>
      </c>
      <c r="I3022">
        <v>675</v>
      </c>
    </row>
    <row r="3023" spans="1:9" s="26" customFormat="1">
      <c r="A3023" s="26" t="s">
        <v>204</v>
      </c>
      <c r="B3023" s="26" t="s">
        <v>206</v>
      </c>
      <c r="C3023" s="26" t="s">
        <v>236</v>
      </c>
      <c r="D3023" s="26">
        <v>51.24470425157071</v>
      </c>
      <c r="E3023" s="26">
        <v>60</v>
      </c>
      <c r="F3023" s="26">
        <v>18</v>
      </c>
      <c r="G3023" s="26">
        <v>70</v>
      </c>
      <c r="H3023" s="26">
        <v>15</v>
      </c>
      <c r="I3023" s="26">
        <v>675</v>
      </c>
    </row>
    <row r="3024" spans="1:9">
      <c r="A3024" t="s">
        <v>204</v>
      </c>
      <c r="B3024" t="s">
        <v>206</v>
      </c>
      <c r="C3024" t="s">
        <v>235</v>
      </c>
      <c r="D3024">
        <v>51.376485583441763</v>
      </c>
      <c r="E3024">
        <v>50</v>
      </c>
      <c r="F3024">
        <v>19</v>
      </c>
      <c r="G3024">
        <v>80</v>
      </c>
      <c r="H3024">
        <v>33</v>
      </c>
      <c r="I3024">
        <v>675</v>
      </c>
    </row>
    <row r="3025" spans="1:9">
      <c r="A3025" t="s">
        <v>204</v>
      </c>
      <c r="B3025" t="s">
        <v>207</v>
      </c>
      <c r="C3025" t="s">
        <v>236</v>
      </c>
      <c r="D3025">
        <v>58.888054109293741</v>
      </c>
      <c r="E3025">
        <v>60</v>
      </c>
      <c r="F3025">
        <v>18</v>
      </c>
      <c r="G3025">
        <v>100</v>
      </c>
      <c r="H3025">
        <v>50</v>
      </c>
      <c r="I3025">
        <v>675</v>
      </c>
    </row>
    <row r="3026" spans="1:9">
      <c r="A3026" t="s">
        <v>204</v>
      </c>
      <c r="B3026" t="s">
        <v>207</v>
      </c>
      <c r="C3026" t="s">
        <v>235</v>
      </c>
      <c r="D3026">
        <v>41.692571544246753</v>
      </c>
      <c r="E3026">
        <v>45</v>
      </c>
      <c r="F3026">
        <v>18</v>
      </c>
      <c r="G3026">
        <v>125</v>
      </c>
      <c r="H3026">
        <v>35</v>
      </c>
      <c r="I3026">
        <v>675</v>
      </c>
    </row>
    <row r="3027" spans="1:9" s="26" customFormat="1">
      <c r="A3027" s="26" t="s">
        <v>204</v>
      </c>
      <c r="B3027" s="26" t="s">
        <v>208</v>
      </c>
      <c r="C3027" s="26" t="s">
        <v>236</v>
      </c>
      <c r="D3027" s="26">
        <v>60.857142857142868</v>
      </c>
      <c r="E3027" s="26">
        <v>70</v>
      </c>
      <c r="F3027" s="26">
        <v>20</v>
      </c>
      <c r="G3027" s="26">
        <v>150</v>
      </c>
      <c r="H3027" s="26">
        <v>7</v>
      </c>
      <c r="I3027" s="26">
        <v>675</v>
      </c>
    </row>
    <row r="3028" spans="1:9">
      <c r="A3028" t="s">
        <v>204</v>
      </c>
      <c r="B3028" t="s">
        <v>208</v>
      </c>
      <c r="C3028" t="s">
        <v>235</v>
      </c>
      <c r="D3028">
        <v>44.066666666666663</v>
      </c>
      <c r="E3028">
        <v>45</v>
      </c>
      <c r="F3028">
        <v>15</v>
      </c>
      <c r="G3028">
        <v>80</v>
      </c>
      <c r="H3028">
        <v>45</v>
      </c>
      <c r="I3028">
        <v>675</v>
      </c>
    </row>
    <row r="3029" spans="1:9" s="26" customFormat="1">
      <c r="A3029" s="26" t="s">
        <v>209</v>
      </c>
      <c r="B3029" s="26" t="s">
        <v>210</v>
      </c>
      <c r="C3029" s="26" t="s">
        <v>236</v>
      </c>
      <c r="D3029" s="26">
        <v>58.951336260548558</v>
      </c>
      <c r="E3029" s="26">
        <v>60</v>
      </c>
      <c r="F3029" s="26">
        <v>30</v>
      </c>
      <c r="G3029" s="26">
        <v>120</v>
      </c>
      <c r="H3029" s="26">
        <v>16</v>
      </c>
      <c r="I3029" s="26">
        <v>675</v>
      </c>
    </row>
    <row r="3030" spans="1:9" s="26" customFormat="1">
      <c r="A3030" s="26" t="s">
        <v>209</v>
      </c>
      <c r="B3030" s="26" t="s">
        <v>210</v>
      </c>
      <c r="C3030" s="26" t="s">
        <v>235</v>
      </c>
      <c r="D3030" s="26">
        <v>51.009292621550117</v>
      </c>
      <c r="E3030" s="26">
        <v>50</v>
      </c>
      <c r="F3030" s="26">
        <v>18</v>
      </c>
      <c r="G3030" s="26">
        <v>123</v>
      </c>
      <c r="H3030" s="26">
        <v>22</v>
      </c>
      <c r="I3030" s="26">
        <v>675</v>
      </c>
    </row>
    <row r="3031" spans="1:9" s="26" customFormat="1">
      <c r="A3031" s="26" t="s">
        <v>209</v>
      </c>
      <c r="B3031" s="26" t="s">
        <v>211</v>
      </c>
      <c r="C3031" s="26" t="s">
        <v>236</v>
      </c>
      <c r="D3031" s="26">
        <v>54.484318790400437</v>
      </c>
      <c r="E3031" s="26">
        <v>56</v>
      </c>
      <c r="F3031" s="26">
        <v>15</v>
      </c>
      <c r="G3031" s="26">
        <v>120</v>
      </c>
      <c r="H3031" s="26">
        <v>28</v>
      </c>
      <c r="I3031" s="26">
        <v>675</v>
      </c>
    </row>
    <row r="3032" spans="1:9">
      <c r="A3032" t="s">
        <v>209</v>
      </c>
      <c r="B3032" t="s">
        <v>211</v>
      </c>
      <c r="C3032" t="s">
        <v>235</v>
      </c>
      <c r="D3032">
        <v>47.812124642128531</v>
      </c>
      <c r="E3032">
        <v>48</v>
      </c>
      <c r="F3032">
        <v>15</v>
      </c>
      <c r="G3032">
        <v>80</v>
      </c>
      <c r="H3032">
        <v>31</v>
      </c>
      <c r="I3032">
        <v>675</v>
      </c>
    </row>
    <row r="3033" spans="1:9" s="26" customFormat="1">
      <c r="A3033" s="26" t="s">
        <v>209</v>
      </c>
      <c r="B3033" s="26" t="s">
        <v>212</v>
      </c>
      <c r="C3033" s="26" t="s">
        <v>236</v>
      </c>
      <c r="D3033" s="26">
        <v>56.587417044245321</v>
      </c>
      <c r="E3033" s="26">
        <v>45</v>
      </c>
      <c r="F3033" s="26">
        <v>35</v>
      </c>
      <c r="G3033" s="26">
        <v>130</v>
      </c>
      <c r="H3033" s="26">
        <v>13</v>
      </c>
      <c r="I3033" s="26">
        <v>675</v>
      </c>
    </row>
    <row r="3034" spans="1:9">
      <c r="A3034" t="s">
        <v>209</v>
      </c>
      <c r="B3034" t="s">
        <v>212</v>
      </c>
      <c r="C3034" t="s">
        <v>235</v>
      </c>
      <c r="D3034">
        <v>53.091268808247357</v>
      </c>
      <c r="E3034">
        <v>50</v>
      </c>
      <c r="F3034">
        <v>12</v>
      </c>
      <c r="G3034">
        <v>200</v>
      </c>
      <c r="H3034">
        <v>50</v>
      </c>
      <c r="I3034">
        <v>675</v>
      </c>
    </row>
    <row r="3036" spans="1:9">
      <c r="A3036" t="s">
        <v>836</v>
      </c>
    </row>
    <row r="3037" spans="1:9">
      <c r="A3037" t="s">
        <v>189</v>
      </c>
      <c r="B3037" t="s">
        <v>190</v>
      </c>
      <c r="C3037" t="s">
        <v>191</v>
      </c>
      <c r="D3037" t="s">
        <v>192</v>
      </c>
      <c r="E3037" t="s">
        <v>193</v>
      </c>
      <c r="F3037" t="s">
        <v>194</v>
      </c>
      <c r="G3037" t="s">
        <v>195</v>
      </c>
      <c r="H3037" t="s">
        <v>196</v>
      </c>
    </row>
    <row r="3038" spans="1:9">
      <c r="A3038" t="s">
        <v>197</v>
      </c>
      <c r="B3038" t="s">
        <v>198</v>
      </c>
      <c r="C3038">
        <v>2.884393541056486</v>
      </c>
      <c r="D3038">
        <v>3</v>
      </c>
      <c r="E3038">
        <v>1</v>
      </c>
      <c r="F3038">
        <v>10</v>
      </c>
      <c r="G3038">
        <v>953</v>
      </c>
      <c r="H3038">
        <v>953</v>
      </c>
    </row>
    <row r="3039" spans="1:9">
      <c r="A3039" t="s">
        <v>199</v>
      </c>
      <c r="B3039" t="s">
        <v>200</v>
      </c>
      <c r="C3039">
        <v>2.6707927064654382</v>
      </c>
      <c r="D3039">
        <v>2</v>
      </c>
      <c r="E3039">
        <v>1</v>
      </c>
      <c r="F3039">
        <v>7</v>
      </c>
      <c r="G3039">
        <v>72</v>
      </c>
      <c r="H3039">
        <v>953</v>
      </c>
    </row>
    <row r="3040" spans="1:9">
      <c r="A3040" t="s">
        <v>199</v>
      </c>
      <c r="B3040" t="s">
        <v>201</v>
      </c>
      <c r="C3040">
        <v>2.8210526315789459</v>
      </c>
      <c r="D3040">
        <v>3</v>
      </c>
      <c r="E3040">
        <v>1</v>
      </c>
      <c r="F3040">
        <v>7</v>
      </c>
      <c r="G3040">
        <v>95</v>
      </c>
      <c r="H3040">
        <v>953</v>
      </c>
    </row>
    <row r="3041" spans="1:9">
      <c r="A3041" t="s">
        <v>199</v>
      </c>
      <c r="B3041" t="s">
        <v>202</v>
      </c>
      <c r="C3041">
        <v>3.2180018735239302</v>
      </c>
      <c r="D3041">
        <v>3</v>
      </c>
      <c r="E3041">
        <v>1</v>
      </c>
      <c r="F3041">
        <v>10</v>
      </c>
      <c r="G3041">
        <v>98</v>
      </c>
      <c r="H3041">
        <v>953</v>
      </c>
    </row>
    <row r="3042" spans="1:9">
      <c r="A3042" t="s">
        <v>199</v>
      </c>
      <c r="B3042" t="s">
        <v>203</v>
      </c>
      <c r="C3042">
        <v>3.1696166384501141</v>
      </c>
      <c r="D3042">
        <v>3</v>
      </c>
      <c r="E3042">
        <v>1</v>
      </c>
      <c r="F3042">
        <v>9</v>
      </c>
      <c r="G3042">
        <v>77</v>
      </c>
      <c r="H3042">
        <v>953</v>
      </c>
    </row>
    <row r="3043" spans="1:9">
      <c r="A3043" t="s">
        <v>204</v>
      </c>
      <c r="B3043" t="s">
        <v>205</v>
      </c>
      <c r="C3043">
        <v>2.6060218756689171</v>
      </c>
      <c r="D3043">
        <v>2</v>
      </c>
      <c r="E3043">
        <v>1</v>
      </c>
      <c r="F3043">
        <v>6</v>
      </c>
      <c r="G3043">
        <v>89</v>
      </c>
      <c r="H3043">
        <v>953</v>
      </c>
    </row>
    <row r="3044" spans="1:9">
      <c r="A3044" t="s">
        <v>204</v>
      </c>
      <c r="B3044" t="s">
        <v>206</v>
      </c>
      <c r="C3044">
        <v>3.2210024079720991</v>
      </c>
      <c r="D3044">
        <v>3</v>
      </c>
      <c r="E3044">
        <v>1</v>
      </c>
      <c r="F3044">
        <v>6</v>
      </c>
      <c r="G3044">
        <v>70</v>
      </c>
      <c r="H3044">
        <v>953</v>
      </c>
    </row>
    <row r="3045" spans="1:9">
      <c r="A3045" t="s">
        <v>204</v>
      </c>
      <c r="B3045" t="s">
        <v>207</v>
      </c>
      <c r="C3045">
        <v>2.7302613876120851</v>
      </c>
      <c r="D3045">
        <v>3</v>
      </c>
      <c r="E3045">
        <v>1</v>
      </c>
      <c r="F3045">
        <v>9</v>
      </c>
      <c r="G3045">
        <v>130</v>
      </c>
      <c r="H3045">
        <v>953</v>
      </c>
    </row>
    <row r="3046" spans="1:9">
      <c r="A3046" t="s">
        <v>204</v>
      </c>
      <c r="B3046" t="s">
        <v>208</v>
      </c>
      <c r="C3046">
        <v>2.816901408450704</v>
      </c>
      <c r="D3046">
        <v>2</v>
      </c>
      <c r="E3046">
        <v>1</v>
      </c>
      <c r="F3046">
        <v>8</v>
      </c>
      <c r="G3046">
        <v>71</v>
      </c>
      <c r="H3046">
        <v>953</v>
      </c>
    </row>
    <row r="3047" spans="1:9">
      <c r="A3047" t="s">
        <v>209</v>
      </c>
      <c r="B3047" t="s">
        <v>210</v>
      </c>
      <c r="C3047">
        <v>2.931766920668927</v>
      </c>
      <c r="D3047">
        <v>3</v>
      </c>
      <c r="E3047">
        <v>1</v>
      </c>
      <c r="F3047">
        <v>7</v>
      </c>
      <c r="G3047">
        <v>74</v>
      </c>
      <c r="H3047">
        <v>953</v>
      </c>
    </row>
    <row r="3048" spans="1:9">
      <c r="A3048" t="s">
        <v>209</v>
      </c>
      <c r="B3048" t="s">
        <v>211</v>
      </c>
      <c r="C3048">
        <v>3.030369408013613</v>
      </c>
      <c r="D3048">
        <v>3</v>
      </c>
      <c r="E3048">
        <v>1</v>
      </c>
      <c r="F3048">
        <v>7</v>
      </c>
      <c r="G3048">
        <v>94</v>
      </c>
      <c r="H3048">
        <v>953</v>
      </c>
    </row>
    <row r="3049" spans="1:9">
      <c r="A3049" t="s">
        <v>209</v>
      </c>
      <c r="B3049" t="s">
        <v>212</v>
      </c>
      <c r="C3049">
        <v>3.1878794463748048</v>
      </c>
      <c r="D3049">
        <v>3</v>
      </c>
      <c r="E3049">
        <v>1</v>
      </c>
      <c r="F3049">
        <v>10</v>
      </c>
      <c r="G3049">
        <v>83</v>
      </c>
      <c r="H3049">
        <v>953</v>
      </c>
    </row>
    <row r="3051" spans="1:9">
      <c r="A3051" t="s">
        <v>837</v>
      </c>
    </row>
    <row r="3052" spans="1:9">
      <c r="A3052" t="s">
        <v>189</v>
      </c>
      <c r="B3052" t="s">
        <v>190</v>
      </c>
      <c r="C3052" t="s">
        <v>214</v>
      </c>
      <c r="D3052" t="s">
        <v>191</v>
      </c>
      <c r="E3052" t="s">
        <v>192</v>
      </c>
      <c r="F3052" t="s">
        <v>193</v>
      </c>
      <c r="G3052" t="s">
        <v>194</v>
      </c>
      <c r="H3052" t="s">
        <v>195</v>
      </c>
      <c r="I3052" t="s">
        <v>196</v>
      </c>
    </row>
    <row r="3053" spans="1:9">
      <c r="A3053" t="s">
        <v>197</v>
      </c>
      <c r="B3053" t="s">
        <v>198</v>
      </c>
      <c r="C3053" t="s">
        <v>198</v>
      </c>
      <c r="D3053">
        <v>2.884393541056486</v>
      </c>
      <c r="E3053">
        <v>3</v>
      </c>
      <c r="F3053">
        <v>1</v>
      </c>
      <c r="G3053">
        <v>10</v>
      </c>
      <c r="H3053">
        <v>953</v>
      </c>
      <c r="I3053">
        <v>953</v>
      </c>
    </row>
    <row r="3054" spans="1:9" s="26" customFormat="1">
      <c r="A3054" s="26" t="s">
        <v>199</v>
      </c>
      <c r="B3054" s="26" t="s">
        <v>200</v>
      </c>
      <c r="C3054" s="26" t="s">
        <v>236</v>
      </c>
      <c r="D3054" s="26">
        <v>2.492691109815067</v>
      </c>
      <c r="E3054" s="26">
        <v>2</v>
      </c>
      <c r="F3054" s="26">
        <v>1</v>
      </c>
      <c r="G3054" s="26">
        <v>7</v>
      </c>
      <c r="H3054" s="26">
        <v>24</v>
      </c>
      <c r="I3054" s="26">
        <v>953</v>
      </c>
    </row>
    <row r="3055" spans="1:9">
      <c r="A3055" t="s">
        <v>199</v>
      </c>
      <c r="B3055" t="s">
        <v>200</v>
      </c>
      <c r="C3055" t="s">
        <v>235</v>
      </c>
      <c r="D3055">
        <v>2.830363982704577</v>
      </c>
      <c r="E3055">
        <v>3</v>
      </c>
      <c r="F3055">
        <v>1</v>
      </c>
      <c r="G3055">
        <v>6</v>
      </c>
      <c r="H3055">
        <v>45</v>
      </c>
      <c r="I3055">
        <v>953</v>
      </c>
    </row>
    <row r="3056" spans="1:9">
      <c r="A3056" t="s">
        <v>199</v>
      </c>
      <c r="B3056" t="s">
        <v>201</v>
      </c>
      <c r="C3056" t="s">
        <v>235</v>
      </c>
      <c r="D3056">
        <v>2.8210526315789459</v>
      </c>
      <c r="E3056">
        <v>3</v>
      </c>
      <c r="F3056">
        <v>1</v>
      </c>
      <c r="G3056">
        <v>7</v>
      </c>
      <c r="H3056">
        <v>95</v>
      </c>
      <c r="I3056">
        <v>953</v>
      </c>
    </row>
    <row r="3057" spans="1:9">
      <c r="A3057" t="s">
        <v>199</v>
      </c>
      <c r="B3057" t="s">
        <v>202</v>
      </c>
      <c r="C3057" t="s">
        <v>236</v>
      </c>
      <c r="D3057">
        <v>3.4761481809994268</v>
      </c>
      <c r="E3057">
        <v>3</v>
      </c>
      <c r="F3057">
        <v>1</v>
      </c>
      <c r="G3057">
        <v>10</v>
      </c>
      <c r="H3057">
        <v>37</v>
      </c>
      <c r="I3057">
        <v>953</v>
      </c>
    </row>
    <row r="3058" spans="1:9">
      <c r="A3058" t="s">
        <v>199</v>
      </c>
      <c r="B3058" t="s">
        <v>202</v>
      </c>
      <c r="C3058" t="s">
        <v>235</v>
      </c>
      <c r="D3058">
        <v>3.0609300287587722</v>
      </c>
      <c r="E3058">
        <v>3</v>
      </c>
      <c r="F3058">
        <v>1</v>
      </c>
      <c r="G3058">
        <v>7</v>
      </c>
      <c r="H3058">
        <v>60</v>
      </c>
      <c r="I3058">
        <v>953</v>
      </c>
    </row>
    <row r="3059" spans="1:9">
      <c r="A3059" t="s">
        <v>199</v>
      </c>
      <c r="B3059" t="s">
        <v>203</v>
      </c>
      <c r="C3059" t="s">
        <v>236</v>
      </c>
      <c r="D3059">
        <v>3.3142429441166881</v>
      </c>
      <c r="E3059">
        <v>3</v>
      </c>
      <c r="F3059">
        <v>1</v>
      </c>
      <c r="G3059">
        <v>9</v>
      </c>
      <c r="H3059">
        <v>32</v>
      </c>
      <c r="I3059">
        <v>953</v>
      </c>
    </row>
    <row r="3060" spans="1:9">
      <c r="A3060" t="s">
        <v>199</v>
      </c>
      <c r="B3060" t="s">
        <v>203</v>
      </c>
      <c r="C3060" t="s">
        <v>235</v>
      </c>
      <c r="D3060">
        <v>3.054399313499879</v>
      </c>
      <c r="E3060">
        <v>3</v>
      </c>
      <c r="F3060">
        <v>1</v>
      </c>
      <c r="G3060">
        <v>7</v>
      </c>
      <c r="H3060">
        <v>44</v>
      </c>
      <c r="I3060">
        <v>953</v>
      </c>
    </row>
    <row r="3061" spans="1:9">
      <c r="A3061" t="s">
        <v>204</v>
      </c>
      <c r="B3061" t="s">
        <v>205</v>
      </c>
      <c r="C3061" t="s">
        <v>236</v>
      </c>
      <c r="D3061">
        <v>2.6681198563244228</v>
      </c>
      <c r="E3061">
        <v>2</v>
      </c>
      <c r="F3061">
        <v>1</v>
      </c>
      <c r="G3061">
        <v>5</v>
      </c>
      <c r="H3061">
        <v>31</v>
      </c>
      <c r="I3061">
        <v>953</v>
      </c>
    </row>
    <row r="3062" spans="1:9">
      <c r="A3062" t="s">
        <v>204</v>
      </c>
      <c r="B3062" t="s">
        <v>205</v>
      </c>
      <c r="C3062" t="s">
        <v>235</v>
      </c>
      <c r="D3062">
        <v>2.591960028017541</v>
      </c>
      <c r="E3062">
        <v>3</v>
      </c>
      <c r="F3062">
        <v>1</v>
      </c>
      <c r="G3062">
        <v>6</v>
      </c>
      <c r="H3062">
        <v>57</v>
      </c>
      <c r="I3062">
        <v>953</v>
      </c>
    </row>
    <row r="3063" spans="1:9" s="26" customFormat="1">
      <c r="A3063" s="26" t="s">
        <v>204</v>
      </c>
      <c r="B3063" s="26" t="s">
        <v>206</v>
      </c>
      <c r="C3063" s="26" t="s">
        <v>236</v>
      </c>
      <c r="D3063" s="26">
        <v>3.4786138400173439</v>
      </c>
      <c r="E3063" s="26">
        <v>4</v>
      </c>
      <c r="F3063" s="26">
        <v>1</v>
      </c>
      <c r="G3063" s="26">
        <v>6</v>
      </c>
      <c r="H3063" s="26">
        <v>21</v>
      </c>
      <c r="I3063" s="26">
        <v>953</v>
      </c>
    </row>
    <row r="3064" spans="1:9">
      <c r="A3064" t="s">
        <v>204</v>
      </c>
      <c r="B3064" t="s">
        <v>206</v>
      </c>
      <c r="C3064" t="s">
        <v>235</v>
      </c>
      <c r="D3064">
        <v>3.144120326389289</v>
      </c>
      <c r="E3064">
        <v>3</v>
      </c>
      <c r="F3064">
        <v>1</v>
      </c>
      <c r="G3064">
        <v>6</v>
      </c>
      <c r="H3064">
        <v>46</v>
      </c>
      <c r="I3064">
        <v>953</v>
      </c>
    </row>
    <row r="3065" spans="1:9">
      <c r="A3065" t="s">
        <v>204</v>
      </c>
      <c r="B3065" t="s">
        <v>207</v>
      </c>
      <c r="C3065" t="s">
        <v>236</v>
      </c>
      <c r="D3065">
        <v>2.609747916286711</v>
      </c>
      <c r="E3065">
        <v>2</v>
      </c>
      <c r="F3065">
        <v>1</v>
      </c>
      <c r="G3065">
        <v>9</v>
      </c>
      <c r="H3065">
        <v>80</v>
      </c>
      <c r="I3065">
        <v>953</v>
      </c>
    </row>
    <row r="3066" spans="1:9">
      <c r="A3066" t="s">
        <v>204</v>
      </c>
      <c r="B3066" t="s">
        <v>207</v>
      </c>
      <c r="C3066" t="s">
        <v>235</v>
      </c>
      <c r="D3066">
        <v>2.805448350226762</v>
      </c>
      <c r="E3066">
        <v>3</v>
      </c>
      <c r="F3066">
        <v>1</v>
      </c>
      <c r="G3066">
        <v>7</v>
      </c>
      <c r="H3066">
        <v>45</v>
      </c>
      <c r="I3066">
        <v>953</v>
      </c>
    </row>
    <row r="3067" spans="1:9" s="26" customFormat="1">
      <c r="A3067" s="26" t="s">
        <v>204</v>
      </c>
      <c r="B3067" s="26" t="s">
        <v>208</v>
      </c>
      <c r="C3067" s="26" t="s">
        <v>236</v>
      </c>
      <c r="D3067" s="26">
        <v>3.545454545454545</v>
      </c>
      <c r="E3067" s="26">
        <v>4</v>
      </c>
      <c r="F3067" s="26">
        <v>1</v>
      </c>
      <c r="G3067" s="26">
        <v>8</v>
      </c>
      <c r="H3067" s="26">
        <v>11</v>
      </c>
      <c r="I3067" s="26">
        <v>953</v>
      </c>
    </row>
    <row r="3068" spans="1:9">
      <c r="A3068" t="s">
        <v>204</v>
      </c>
      <c r="B3068" t="s">
        <v>208</v>
      </c>
      <c r="C3068" t="s">
        <v>235</v>
      </c>
      <c r="D3068">
        <v>2.6833333333333331</v>
      </c>
      <c r="E3068">
        <v>2</v>
      </c>
      <c r="F3068">
        <v>1</v>
      </c>
      <c r="G3068">
        <v>7</v>
      </c>
      <c r="H3068">
        <v>60</v>
      </c>
      <c r="I3068">
        <v>953</v>
      </c>
    </row>
    <row r="3069" spans="1:9">
      <c r="A3069" t="s">
        <v>209</v>
      </c>
      <c r="B3069" t="s">
        <v>210</v>
      </c>
      <c r="C3069" t="s">
        <v>236</v>
      </c>
      <c r="D3069">
        <v>3.4820556107588061</v>
      </c>
      <c r="E3069">
        <v>3</v>
      </c>
      <c r="F3069">
        <v>1</v>
      </c>
      <c r="G3069">
        <v>7</v>
      </c>
      <c r="H3069">
        <v>38</v>
      </c>
      <c r="I3069">
        <v>953</v>
      </c>
    </row>
    <row r="3070" spans="1:9">
      <c r="A3070" t="s">
        <v>209</v>
      </c>
      <c r="B3070" t="s">
        <v>210</v>
      </c>
      <c r="C3070" t="s">
        <v>235</v>
      </c>
      <c r="D3070">
        <v>2.482944905715792</v>
      </c>
      <c r="E3070">
        <v>2</v>
      </c>
      <c r="F3070">
        <v>1</v>
      </c>
      <c r="G3070">
        <v>6</v>
      </c>
      <c r="H3070">
        <v>32</v>
      </c>
      <c r="I3070">
        <v>953</v>
      </c>
    </row>
    <row r="3071" spans="1:9">
      <c r="A3071" t="s">
        <v>209</v>
      </c>
      <c r="B3071" t="s">
        <v>211</v>
      </c>
      <c r="C3071" t="s">
        <v>236</v>
      </c>
      <c r="D3071">
        <v>3.061792261558919</v>
      </c>
      <c r="E3071">
        <v>3</v>
      </c>
      <c r="F3071">
        <v>1</v>
      </c>
      <c r="G3071">
        <v>7</v>
      </c>
      <c r="H3071">
        <v>37</v>
      </c>
      <c r="I3071">
        <v>953</v>
      </c>
    </row>
    <row r="3072" spans="1:9">
      <c r="A3072" t="s">
        <v>209</v>
      </c>
      <c r="B3072" t="s">
        <v>211</v>
      </c>
      <c r="C3072" t="s">
        <v>235</v>
      </c>
      <c r="D3072">
        <v>3.0395303684533221</v>
      </c>
      <c r="E3072">
        <v>3</v>
      </c>
      <c r="F3072">
        <v>1</v>
      </c>
      <c r="G3072">
        <v>7</v>
      </c>
      <c r="H3072">
        <v>55</v>
      </c>
      <c r="I3072">
        <v>953</v>
      </c>
    </row>
    <row r="3073" spans="1:9" s="26" customFormat="1">
      <c r="A3073" s="26" t="s">
        <v>209</v>
      </c>
      <c r="B3073" s="26" t="s">
        <v>212</v>
      </c>
      <c r="C3073" s="26" t="s">
        <v>236</v>
      </c>
      <c r="D3073" s="26">
        <v>3.5518121260930529</v>
      </c>
      <c r="E3073" s="26">
        <v>4</v>
      </c>
      <c r="F3073" s="26">
        <v>1</v>
      </c>
      <c r="G3073" s="26">
        <v>9</v>
      </c>
      <c r="H3073" s="26">
        <v>17</v>
      </c>
      <c r="I3073" s="26">
        <v>953</v>
      </c>
    </row>
    <row r="3074" spans="1:9">
      <c r="A3074" t="s">
        <v>209</v>
      </c>
      <c r="B3074" t="s">
        <v>212</v>
      </c>
      <c r="C3074" t="s">
        <v>235</v>
      </c>
      <c r="D3074">
        <v>3.1346503600950721</v>
      </c>
      <c r="E3074">
        <v>3</v>
      </c>
      <c r="F3074">
        <v>1</v>
      </c>
      <c r="G3074">
        <v>10</v>
      </c>
      <c r="H3074">
        <v>66</v>
      </c>
      <c r="I3074">
        <v>953</v>
      </c>
    </row>
    <row r="3076" spans="1:9">
      <c r="A3076" t="s">
        <v>838</v>
      </c>
    </row>
    <row r="3077" spans="1:9">
      <c r="A3077" t="s">
        <v>189</v>
      </c>
      <c r="B3077" t="s">
        <v>190</v>
      </c>
      <c r="C3077" t="s">
        <v>191</v>
      </c>
      <c r="D3077" t="s">
        <v>192</v>
      </c>
      <c r="E3077" t="s">
        <v>193</v>
      </c>
      <c r="F3077" t="s">
        <v>194</v>
      </c>
      <c r="G3077" t="s">
        <v>195</v>
      </c>
      <c r="H3077" t="s">
        <v>196</v>
      </c>
    </row>
    <row r="3078" spans="1:9">
      <c r="A3078" t="s">
        <v>197</v>
      </c>
      <c r="B3078" t="s">
        <v>198</v>
      </c>
      <c r="C3078">
        <v>21.653302044117989</v>
      </c>
      <c r="D3078">
        <v>17</v>
      </c>
      <c r="E3078">
        <v>1.71428571428571</v>
      </c>
      <c r="F3078">
        <v>156</v>
      </c>
      <c r="G3078">
        <v>673</v>
      </c>
      <c r="H3078">
        <v>673</v>
      </c>
    </row>
    <row r="3079" spans="1:9">
      <c r="A3079" t="s">
        <v>199</v>
      </c>
      <c r="B3079" t="s">
        <v>200</v>
      </c>
      <c r="C3079">
        <v>30.293439325036012</v>
      </c>
      <c r="D3079">
        <v>24</v>
      </c>
      <c r="E3079">
        <v>11.25</v>
      </c>
      <c r="F3079">
        <v>80</v>
      </c>
      <c r="G3079">
        <v>50</v>
      </c>
      <c r="H3079">
        <v>673</v>
      </c>
    </row>
    <row r="3080" spans="1:9">
      <c r="A3080" t="s">
        <v>199</v>
      </c>
      <c r="B3080" t="s">
        <v>201</v>
      </c>
      <c r="C3080">
        <v>18.89184981684981</v>
      </c>
      <c r="D3080">
        <v>16</v>
      </c>
      <c r="E3080">
        <v>1.71428571428571</v>
      </c>
      <c r="F3080">
        <v>72</v>
      </c>
      <c r="G3080">
        <v>78</v>
      </c>
      <c r="H3080">
        <v>673</v>
      </c>
    </row>
    <row r="3081" spans="1:9">
      <c r="A3081" t="s">
        <v>199</v>
      </c>
      <c r="B3081" t="s">
        <v>202</v>
      </c>
      <c r="C3081">
        <v>24.94653764972033</v>
      </c>
      <c r="D3081">
        <v>18.3333333333333</v>
      </c>
      <c r="E3081">
        <v>5</v>
      </c>
      <c r="F3081">
        <v>156</v>
      </c>
      <c r="G3081">
        <v>72</v>
      </c>
      <c r="H3081">
        <v>673</v>
      </c>
    </row>
    <row r="3082" spans="1:9">
      <c r="A3082" t="s">
        <v>199</v>
      </c>
      <c r="B3082" t="s">
        <v>203</v>
      </c>
      <c r="C3082">
        <v>24.02383993471949</v>
      </c>
      <c r="D3082">
        <v>20</v>
      </c>
      <c r="E3082">
        <v>3.5</v>
      </c>
      <c r="F3082">
        <v>70</v>
      </c>
      <c r="G3082">
        <v>52</v>
      </c>
      <c r="H3082">
        <v>673</v>
      </c>
    </row>
    <row r="3083" spans="1:9">
      <c r="A3083" t="s">
        <v>204</v>
      </c>
      <c r="B3083" t="s">
        <v>205</v>
      </c>
      <c r="C3083">
        <v>21.84919998278701</v>
      </c>
      <c r="D3083">
        <v>18</v>
      </c>
      <c r="E3083">
        <v>8</v>
      </c>
      <c r="F3083">
        <v>80</v>
      </c>
      <c r="G3083">
        <v>68</v>
      </c>
      <c r="H3083">
        <v>673</v>
      </c>
    </row>
    <row r="3084" spans="1:9">
      <c r="A3084" t="s">
        <v>204</v>
      </c>
      <c r="B3084" t="s">
        <v>206</v>
      </c>
      <c r="C3084">
        <v>19.148197115114471</v>
      </c>
      <c r="D3084">
        <v>15.75</v>
      </c>
      <c r="E3084">
        <v>7.8</v>
      </c>
      <c r="F3084">
        <v>60</v>
      </c>
      <c r="G3084">
        <v>49</v>
      </c>
      <c r="H3084">
        <v>673</v>
      </c>
    </row>
    <row r="3085" spans="1:9">
      <c r="A3085" t="s">
        <v>204</v>
      </c>
      <c r="B3085" t="s">
        <v>207</v>
      </c>
      <c r="C3085">
        <v>22.824739749119161</v>
      </c>
      <c r="D3085">
        <v>16.6666666666667</v>
      </c>
      <c r="E3085">
        <v>4.5</v>
      </c>
      <c r="F3085">
        <v>80</v>
      </c>
      <c r="G3085">
        <v>90</v>
      </c>
      <c r="H3085">
        <v>673</v>
      </c>
    </row>
    <row r="3086" spans="1:9">
      <c r="A3086" t="s">
        <v>204</v>
      </c>
      <c r="B3086" t="s">
        <v>208</v>
      </c>
      <c r="C3086">
        <v>20.570375457875461</v>
      </c>
      <c r="D3086">
        <v>17.5</v>
      </c>
      <c r="E3086">
        <v>2.1428571428571401</v>
      </c>
      <c r="F3086">
        <v>75</v>
      </c>
      <c r="G3086">
        <v>52</v>
      </c>
      <c r="H3086">
        <v>673</v>
      </c>
    </row>
    <row r="3087" spans="1:9">
      <c r="A3087" t="s">
        <v>209</v>
      </c>
      <c r="B3087" t="s">
        <v>210</v>
      </c>
      <c r="C3087">
        <v>22.849406162778021</v>
      </c>
      <c r="D3087">
        <v>20</v>
      </c>
      <c r="E3087">
        <v>8</v>
      </c>
      <c r="F3087">
        <v>68</v>
      </c>
      <c r="G3087">
        <v>39</v>
      </c>
      <c r="H3087">
        <v>673</v>
      </c>
    </row>
    <row r="3088" spans="1:9">
      <c r="A3088" t="s">
        <v>209</v>
      </c>
      <c r="B3088" t="s">
        <v>211</v>
      </c>
      <c r="C3088">
        <v>20.66892581388402</v>
      </c>
      <c r="D3088">
        <v>18</v>
      </c>
      <c r="E3088">
        <v>3.3333333333333299</v>
      </c>
      <c r="F3088">
        <v>70</v>
      </c>
      <c r="G3088">
        <v>61</v>
      </c>
      <c r="H3088">
        <v>673</v>
      </c>
    </row>
    <row r="3089" spans="1:9">
      <c r="A3089" t="s">
        <v>209</v>
      </c>
      <c r="B3089" t="s">
        <v>212</v>
      </c>
      <c r="C3089">
        <v>18.474512598373899</v>
      </c>
      <c r="D3089">
        <v>16.25</v>
      </c>
      <c r="E3089">
        <v>4.4444444444444402</v>
      </c>
      <c r="F3089">
        <v>70</v>
      </c>
      <c r="G3089">
        <v>62</v>
      </c>
      <c r="H3089">
        <v>673</v>
      </c>
    </row>
    <row r="3091" spans="1:9">
      <c r="A3091" t="s">
        <v>839</v>
      </c>
    </row>
    <row r="3092" spans="1:9">
      <c r="A3092" t="s">
        <v>189</v>
      </c>
      <c r="B3092" t="s">
        <v>190</v>
      </c>
      <c r="C3092" t="s">
        <v>214</v>
      </c>
      <c r="D3092" t="s">
        <v>191</v>
      </c>
      <c r="E3092" t="s">
        <v>192</v>
      </c>
      <c r="F3092" t="s">
        <v>193</v>
      </c>
      <c r="G3092" t="s">
        <v>194</v>
      </c>
      <c r="H3092" t="s">
        <v>195</v>
      </c>
      <c r="I3092" t="s">
        <v>196</v>
      </c>
    </row>
    <row r="3093" spans="1:9">
      <c r="A3093" t="s">
        <v>197</v>
      </c>
      <c r="B3093" t="s">
        <v>198</v>
      </c>
      <c r="C3093" t="s">
        <v>198</v>
      </c>
      <c r="D3093">
        <v>21.653302044117989</v>
      </c>
      <c r="E3093">
        <v>17</v>
      </c>
      <c r="F3093">
        <v>1.71428571428571</v>
      </c>
      <c r="G3093">
        <v>156</v>
      </c>
      <c r="H3093">
        <v>673</v>
      </c>
      <c r="I3093">
        <v>673</v>
      </c>
    </row>
    <row r="3094" spans="1:9" s="26" customFormat="1">
      <c r="A3094" s="26" t="s">
        <v>199</v>
      </c>
      <c r="B3094" s="26" t="s">
        <v>200</v>
      </c>
      <c r="C3094" s="26" t="s">
        <v>236</v>
      </c>
      <c r="D3094" s="26">
        <v>41.096296572188088</v>
      </c>
      <c r="E3094" s="26">
        <v>40</v>
      </c>
      <c r="F3094" s="26">
        <v>12</v>
      </c>
      <c r="G3094" s="26">
        <v>80</v>
      </c>
      <c r="H3094" s="26">
        <v>16</v>
      </c>
      <c r="I3094" s="26">
        <v>673</v>
      </c>
    </row>
    <row r="3095" spans="1:9">
      <c r="A3095" t="s">
        <v>199</v>
      </c>
      <c r="B3095" t="s">
        <v>200</v>
      </c>
      <c r="C3095" t="s">
        <v>235</v>
      </c>
      <c r="D3095">
        <v>20.546354301476409</v>
      </c>
      <c r="E3095">
        <v>23.3333333333333</v>
      </c>
      <c r="F3095">
        <v>11.25</v>
      </c>
      <c r="G3095">
        <v>73</v>
      </c>
      <c r="H3095">
        <v>34</v>
      </c>
      <c r="I3095">
        <v>673</v>
      </c>
    </row>
    <row r="3096" spans="1:9">
      <c r="A3096" t="s">
        <v>199</v>
      </c>
      <c r="B3096" t="s">
        <v>201</v>
      </c>
      <c r="C3096" t="s">
        <v>235</v>
      </c>
      <c r="D3096">
        <v>18.89184981684981</v>
      </c>
      <c r="E3096">
        <v>16</v>
      </c>
      <c r="F3096">
        <v>1.71428571428571</v>
      </c>
      <c r="G3096">
        <v>72</v>
      </c>
      <c r="H3096">
        <v>78</v>
      </c>
      <c r="I3096">
        <v>673</v>
      </c>
    </row>
    <row r="3097" spans="1:9" s="26" customFormat="1">
      <c r="A3097" s="26" t="s">
        <v>199</v>
      </c>
      <c r="B3097" s="26" t="s">
        <v>202</v>
      </c>
      <c r="C3097" s="26" t="s">
        <v>236</v>
      </c>
      <c r="D3097" s="26">
        <v>30.51708745739684</v>
      </c>
      <c r="E3097" s="26">
        <v>21</v>
      </c>
      <c r="F3097" s="26">
        <v>5</v>
      </c>
      <c r="G3097" s="26">
        <v>156</v>
      </c>
      <c r="H3097" s="26">
        <v>28</v>
      </c>
      <c r="I3097" s="26">
        <v>673</v>
      </c>
    </row>
    <row r="3098" spans="1:9">
      <c r="A3098" t="s">
        <v>199</v>
      </c>
      <c r="B3098" t="s">
        <v>202</v>
      </c>
      <c r="C3098" t="s">
        <v>235</v>
      </c>
      <c r="D3098">
        <v>21.109490884260971</v>
      </c>
      <c r="E3098">
        <v>18</v>
      </c>
      <c r="F3098">
        <v>6.6666666666666696</v>
      </c>
      <c r="G3098">
        <v>64</v>
      </c>
      <c r="H3098">
        <v>43</v>
      </c>
      <c r="I3098">
        <v>673</v>
      </c>
    </row>
    <row r="3099" spans="1:9" s="26" customFormat="1">
      <c r="A3099" s="26" t="s">
        <v>199</v>
      </c>
      <c r="B3099" s="26" t="s">
        <v>203</v>
      </c>
      <c r="C3099" s="26" t="s">
        <v>236</v>
      </c>
      <c r="D3099" s="26">
        <v>22.941421715473751</v>
      </c>
      <c r="E3099" s="26">
        <v>20</v>
      </c>
      <c r="F3099" s="26">
        <v>3.5</v>
      </c>
      <c r="G3099" s="26">
        <v>70</v>
      </c>
      <c r="H3099" s="26">
        <v>21</v>
      </c>
      <c r="I3099" s="26">
        <v>673</v>
      </c>
    </row>
    <row r="3100" spans="1:9">
      <c r="A3100" t="s">
        <v>199</v>
      </c>
      <c r="B3100" t="s">
        <v>203</v>
      </c>
      <c r="C3100" t="s">
        <v>235</v>
      </c>
      <c r="D3100">
        <v>24.525053964913269</v>
      </c>
      <c r="E3100">
        <v>21</v>
      </c>
      <c r="F3100">
        <v>6.3333333333333304</v>
      </c>
      <c r="G3100">
        <v>70</v>
      </c>
      <c r="H3100">
        <v>31</v>
      </c>
      <c r="I3100">
        <v>673</v>
      </c>
    </row>
    <row r="3101" spans="1:9" s="26" customFormat="1">
      <c r="A3101" s="26" t="s">
        <v>204</v>
      </c>
      <c r="B3101" s="26" t="s">
        <v>205</v>
      </c>
      <c r="C3101" s="26" t="s">
        <v>236</v>
      </c>
      <c r="D3101" s="26">
        <v>24.61349384412722</v>
      </c>
      <c r="E3101" s="26">
        <v>21.6666666666667</v>
      </c>
      <c r="F3101" s="26">
        <v>8</v>
      </c>
      <c r="G3101" s="26">
        <v>80</v>
      </c>
      <c r="H3101" s="26">
        <v>23</v>
      </c>
      <c r="I3101" s="26">
        <v>673</v>
      </c>
    </row>
    <row r="3102" spans="1:9">
      <c r="A3102" t="s">
        <v>204</v>
      </c>
      <c r="B3102" t="s">
        <v>205</v>
      </c>
      <c r="C3102" t="s">
        <v>235</v>
      </c>
      <c r="D3102">
        <v>21.191441251575071</v>
      </c>
      <c r="E3102">
        <v>17.5</v>
      </c>
      <c r="F3102">
        <v>8.3333333333333304</v>
      </c>
      <c r="G3102">
        <v>64</v>
      </c>
      <c r="H3102">
        <v>44</v>
      </c>
      <c r="I3102">
        <v>673</v>
      </c>
    </row>
    <row r="3103" spans="1:9" s="26" customFormat="1">
      <c r="A3103" s="26" t="s">
        <v>204</v>
      </c>
      <c r="B3103" s="26" t="s">
        <v>206</v>
      </c>
      <c r="C3103" s="26" t="s">
        <v>236</v>
      </c>
      <c r="D3103" s="26">
        <v>17.096221969412429</v>
      </c>
      <c r="E3103" s="26">
        <v>15</v>
      </c>
      <c r="F3103" s="26">
        <v>7.8</v>
      </c>
      <c r="G3103" s="26">
        <v>60</v>
      </c>
      <c r="H3103" s="26">
        <v>15</v>
      </c>
      <c r="I3103" s="26">
        <v>673</v>
      </c>
    </row>
    <row r="3104" spans="1:9">
      <c r="A3104" t="s">
        <v>204</v>
      </c>
      <c r="B3104" t="s">
        <v>206</v>
      </c>
      <c r="C3104" t="s">
        <v>235</v>
      </c>
      <c r="D3104">
        <v>18.99562361985755</v>
      </c>
      <c r="E3104">
        <v>16.6666666666667</v>
      </c>
      <c r="F3104">
        <v>8</v>
      </c>
      <c r="G3104">
        <v>46</v>
      </c>
      <c r="H3104">
        <v>33</v>
      </c>
      <c r="I3104">
        <v>673</v>
      </c>
    </row>
    <row r="3105" spans="1:10">
      <c r="A3105" t="s">
        <v>204</v>
      </c>
      <c r="B3105" t="s">
        <v>207</v>
      </c>
      <c r="C3105" t="s">
        <v>236</v>
      </c>
      <c r="D3105">
        <v>29.8989834318056</v>
      </c>
      <c r="E3105">
        <v>30</v>
      </c>
      <c r="F3105">
        <v>6</v>
      </c>
      <c r="G3105">
        <v>80</v>
      </c>
      <c r="H3105">
        <v>50</v>
      </c>
      <c r="I3105">
        <v>673</v>
      </c>
    </row>
    <row r="3106" spans="1:10">
      <c r="A3106" t="s">
        <v>204</v>
      </c>
      <c r="B3106" t="s">
        <v>207</v>
      </c>
      <c r="C3106" t="s">
        <v>235</v>
      </c>
      <c r="D3106">
        <v>18.28687200046889</v>
      </c>
      <c r="E3106">
        <v>16.6666666666667</v>
      </c>
      <c r="F3106">
        <v>4.5</v>
      </c>
      <c r="G3106">
        <v>67</v>
      </c>
      <c r="H3106">
        <v>35</v>
      </c>
      <c r="I3106">
        <v>673</v>
      </c>
    </row>
    <row r="3107" spans="1:10" s="26" customFormat="1">
      <c r="A3107" s="26" t="s">
        <v>204</v>
      </c>
      <c r="B3107" s="26" t="s">
        <v>208</v>
      </c>
      <c r="C3107" s="26" t="s">
        <v>236</v>
      </c>
      <c r="D3107" s="26">
        <v>21.5</v>
      </c>
      <c r="E3107" s="26">
        <v>16</v>
      </c>
      <c r="F3107" s="26">
        <v>5</v>
      </c>
      <c r="G3107" s="26">
        <v>75</v>
      </c>
      <c r="H3107" s="26">
        <v>7</v>
      </c>
      <c r="I3107" s="26">
        <v>673</v>
      </c>
    </row>
    <row r="3108" spans="1:10">
      <c r="A3108" t="s">
        <v>204</v>
      </c>
      <c r="B3108" t="s">
        <v>208</v>
      </c>
      <c r="C3108" t="s">
        <v>235</v>
      </c>
      <c r="D3108">
        <v>20.42576719576719</v>
      </c>
      <c r="E3108">
        <v>19</v>
      </c>
      <c r="F3108">
        <v>2.1428571428571401</v>
      </c>
      <c r="G3108">
        <v>51</v>
      </c>
      <c r="H3108">
        <v>45</v>
      </c>
      <c r="I3108">
        <v>673</v>
      </c>
    </row>
    <row r="3109" spans="1:10" s="26" customFormat="1">
      <c r="A3109" s="26" t="s">
        <v>209</v>
      </c>
      <c r="B3109" s="26" t="s">
        <v>210</v>
      </c>
      <c r="C3109" s="26" t="s">
        <v>236</v>
      </c>
      <c r="D3109" s="26">
        <v>20.363508143721941</v>
      </c>
      <c r="E3109" s="26">
        <v>20</v>
      </c>
      <c r="F3109" s="26">
        <v>8</v>
      </c>
      <c r="G3109" s="26">
        <v>68</v>
      </c>
      <c r="H3109" s="26">
        <v>16</v>
      </c>
      <c r="I3109" s="26">
        <v>673</v>
      </c>
    </row>
    <row r="3110" spans="1:10" s="26" customFormat="1">
      <c r="A3110" s="26" t="s">
        <v>209</v>
      </c>
      <c r="B3110" s="26" t="s">
        <v>210</v>
      </c>
      <c r="C3110" s="26" t="s">
        <v>235</v>
      </c>
      <c r="D3110" s="26">
        <v>24.061011867398719</v>
      </c>
      <c r="E3110" s="26">
        <v>21.5</v>
      </c>
      <c r="F3110" s="26">
        <v>8</v>
      </c>
      <c r="G3110" s="26">
        <v>61.5</v>
      </c>
      <c r="H3110" s="26">
        <v>22</v>
      </c>
      <c r="I3110" s="26">
        <v>673</v>
      </c>
    </row>
    <row r="3111" spans="1:10" s="26" customFormat="1">
      <c r="A3111" s="26" t="s">
        <v>209</v>
      </c>
      <c r="B3111" s="26" t="s">
        <v>211</v>
      </c>
      <c r="C3111" s="26" t="s">
        <v>236</v>
      </c>
      <c r="D3111" s="26">
        <v>24.900774642641469</v>
      </c>
      <c r="E3111" s="26">
        <v>24</v>
      </c>
      <c r="F3111" s="26">
        <v>4.1666666666666696</v>
      </c>
      <c r="G3111" s="26">
        <v>70</v>
      </c>
      <c r="H3111" s="26">
        <v>28</v>
      </c>
      <c r="I3111" s="26">
        <v>673</v>
      </c>
    </row>
    <row r="3112" spans="1:10">
      <c r="A3112" t="s">
        <v>209</v>
      </c>
      <c r="B3112" t="s">
        <v>211</v>
      </c>
      <c r="C3112" t="s">
        <v>235</v>
      </c>
      <c r="D3112">
        <v>18.130224804740799</v>
      </c>
      <c r="E3112">
        <v>17</v>
      </c>
      <c r="F3112">
        <v>3.3333333333333299</v>
      </c>
      <c r="G3112">
        <v>48</v>
      </c>
      <c r="H3112">
        <v>31</v>
      </c>
      <c r="I3112">
        <v>673</v>
      </c>
    </row>
    <row r="3113" spans="1:10" s="26" customFormat="1">
      <c r="A3113" s="26" t="s">
        <v>209</v>
      </c>
      <c r="B3113" s="26" t="s">
        <v>212</v>
      </c>
      <c r="C3113" s="26" t="s">
        <v>236</v>
      </c>
      <c r="D3113" s="26">
        <v>21.128153635200441</v>
      </c>
      <c r="E3113" s="26">
        <v>20</v>
      </c>
      <c r="F3113" s="26">
        <v>4.4444444444444402</v>
      </c>
      <c r="G3113" s="26">
        <v>35</v>
      </c>
      <c r="H3113" s="26">
        <v>12</v>
      </c>
      <c r="I3113" s="26">
        <v>673</v>
      </c>
    </row>
    <row r="3114" spans="1:10">
      <c r="A3114" t="s">
        <v>209</v>
      </c>
      <c r="B3114" t="s">
        <v>212</v>
      </c>
      <c r="C3114" t="s">
        <v>235</v>
      </c>
      <c r="D3114">
        <v>18.116174605425819</v>
      </c>
      <c r="E3114">
        <v>16.25</v>
      </c>
      <c r="F3114">
        <v>6</v>
      </c>
      <c r="G3114">
        <v>70</v>
      </c>
      <c r="H3114">
        <v>50</v>
      </c>
      <c r="I3114">
        <v>673</v>
      </c>
    </row>
    <row r="3116" spans="1:10">
      <c r="A3116" t="s">
        <v>840</v>
      </c>
    </row>
    <row r="3117" spans="1:10">
      <c r="A3117" t="s">
        <v>189</v>
      </c>
      <c r="B3117" t="s">
        <v>195</v>
      </c>
      <c r="C3117" t="s">
        <v>190</v>
      </c>
      <c r="D3117" t="s">
        <v>196</v>
      </c>
      <c r="E3117" t="s">
        <v>228</v>
      </c>
      <c r="F3117" t="s">
        <v>841</v>
      </c>
      <c r="G3117" t="s">
        <v>842</v>
      </c>
      <c r="H3117" t="s">
        <v>843</v>
      </c>
      <c r="I3117" t="s">
        <v>223</v>
      </c>
      <c r="J3117" t="s">
        <v>844</v>
      </c>
    </row>
    <row r="3118" spans="1:10">
      <c r="A3118" t="s">
        <v>197</v>
      </c>
      <c r="B3118">
        <v>957</v>
      </c>
      <c r="C3118" t="s">
        <v>198</v>
      </c>
      <c r="D3118">
        <v>957</v>
      </c>
      <c r="E3118" s="1">
        <v>1E-3</v>
      </c>
      <c r="F3118" s="1">
        <v>0.17469999999999999</v>
      </c>
      <c r="G3118" s="1">
        <v>6.3E-3</v>
      </c>
      <c r="H3118" s="1">
        <v>0.1241</v>
      </c>
      <c r="I3118" s="1">
        <v>5.0000000000000001E-4</v>
      </c>
      <c r="J3118" s="1">
        <v>0.69340000000000002</v>
      </c>
    </row>
    <row r="3119" spans="1:10">
      <c r="A3119" t="s">
        <v>204</v>
      </c>
      <c r="B3119">
        <v>89</v>
      </c>
      <c r="C3119" t="s">
        <v>205</v>
      </c>
      <c r="D3119">
        <v>957</v>
      </c>
      <c r="F3119" s="1">
        <v>0.13750000000000001</v>
      </c>
      <c r="H3119" s="1">
        <v>4.9200000000000001E-2</v>
      </c>
      <c r="I3119" s="1">
        <v>2.5000000000000001E-3</v>
      </c>
      <c r="J3119" s="1">
        <v>0.81079999999999997</v>
      </c>
    </row>
    <row r="3120" spans="1:10">
      <c r="A3120" t="s">
        <v>204</v>
      </c>
      <c r="B3120">
        <v>71</v>
      </c>
      <c r="C3120" t="s">
        <v>206</v>
      </c>
      <c r="D3120">
        <v>957</v>
      </c>
      <c r="F3120" s="1">
        <v>0.30509999999999998</v>
      </c>
      <c r="G3120" s="1">
        <v>1.18E-2</v>
      </c>
      <c r="H3120" s="1">
        <v>0.1206</v>
      </c>
      <c r="J3120" s="1">
        <v>0.5625</v>
      </c>
    </row>
    <row r="3121" spans="1:11">
      <c r="A3121" t="s">
        <v>204</v>
      </c>
      <c r="B3121">
        <v>130</v>
      </c>
      <c r="C3121" t="s">
        <v>207</v>
      </c>
      <c r="D3121">
        <v>957</v>
      </c>
      <c r="E3121" s="1">
        <v>1.5E-3</v>
      </c>
      <c r="F3121" s="1">
        <v>0.1862</v>
      </c>
      <c r="H3121" s="1">
        <v>0.20549999999999999</v>
      </c>
      <c r="J3121" s="1">
        <v>0.60680000000000001</v>
      </c>
    </row>
    <row r="3122" spans="1:11">
      <c r="A3122" t="s">
        <v>204</v>
      </c>
      <c r="B3122">
        <v>71</v>
      </c>
      <c r="C3122" t="s">
        <v>208</v>
      </c>
      <c r="D3122">
        <v>957</v>
      </c>
      <c r="F3122" s="1">
        <v>0.14080000000000001</v>
      </c>
      <c r="H3122" s="1">
        <v>0.11269999999999999</v>
      </c>
      <c r="J3122" s="1">
        <v>0.74650000000000005</v>
      </c>
    </row>
    <row r="3123" spans="1:11">
      <c r="A3123" t="s">
        <v>199</v>
      </c>
      <c r="B3123">
        <v>73</v>
      </c>
      <c r="C3123" t="s">
        <v>200</v>
      </c>
      <c r="D3123">
        <v>957</v>
      </c>
      <c r="F3123" s="1">
        <v>0.37219999999999998</v>
      </c>
      <c r="H3123" s="1">
        <v>0.2873</v>
      </c>
      <c r="J3123" s="1">
        <v>0.34050000000000002</v>
      </c>
    </row>
    <row r="3124" spans="1:11">
      <c r="A3124" t="s">
        <v>199</v>
      </c>
      <c r="B3124">
        <v>95</v>
      </c>
      <c r="C3124" t="s">
        <v>201</v>
      </c>
      <c r="D3124">
        <v>957</v>
      </c>
      <c r="F3124" s="1">
        <v>0.1474</v>
      </c>
      <c r="G3124" s="1">
        <v>1.0500000000000001E-2</v>
      </c>
      <c r="H3124" s="1">
        <v>7.3700000000000002E-2</v>
      </c>
      <c r="J3124" s="1">
        <v>0.76839999999999997</v>
      </c>
    </row>
    <row r="3125" spans="1:11">
      <c r="A3125" t="s">
        <v>199</v>
      </c>
      <c r="B3125">
        <v>98</v>
      </c>
      <c r="C3125" t="s">
        <v>202</v>
      </c>
      <c r="D3125">
        <v>957</v>
      </c>
      <c r="F3125" s="1">
        <v>0.21879999999999999</v>
      </c>
      <c r="G3125" s="1">
        <v>1.35E-2</v>
      </c>
      <c r="H3125" s="1">
        <v>0.1797</v>
      </c>
      <c r="J3125" s="1">
        <v>0.58789999999999998</v>
      </c>
    </row>
    <row r="3126" spans="1:11">
      <c r="A3126" t="s">
        <v>199</v>
      </c>
      <c r="B3126">
        <v>77</v>
      </c>
      <c r="C3126" t="s">
        <v>203</v>
      </c>
      <c r="D3126">
        <v>957</v>
      </c>
      <c r="F3126" s="1">
        <v>0.2399</v>
      </c>
      <c r="G3126" s="1">
        <v>1.11E-2</v>
      </c>
      <c r="H3126" s="1">
        <v>0.1573</v>
      </c>
      <c r="J3126" s="1">
        <v>0.5917</v>
      </c>
    </row>
    <row r="3127" spans="1:11">
      <c r="A3127" t="s">
        <v>209</v>
      </c>
      <c r="B3127">
        <v>74</v>
      </c>
      <c r="C3127" t="s">
        <v>210</v>
      </c>
      <c r="D3127">
        <v>957</v>
      </c>
      <c r="E3127" s="1">
        <v>8.3000000000000001E-3</v>
      </c>
      <c r="F3127" s="1">
        <v>0.3569</v>
      </c>
      <c r="H3127" s="1">
        <v>7.8100000000000003E-2</v>
      </c>
      <c r="J3127" s="1">
        <v>0.55669999999999997</v>
      </c>
    </row>
    <row r="3128" spans="1:11">
      <c r="A3128" t="s">
        <v>209</v>
      </c>
      <c r="B3128">
        <v>95</v>
      </c>
      <c r="C3128" t="s">
        <v>211</v>
      </c>
      <c r="D3128">
        <v>957</v>
      </c>
      <c r="E3128" s="1">
        <v>1.54E-2</v>
      </c>
      <c r="F3128" s="1">
        <v>0.26340000000000002</v>
      </c>
      <c r="G3128" s="1">
        <v>0.01</v>
      </c>
      <c r="H3128" s="1">
        <v>0.19</v>
      </c>
      <c r="J3128" s="1">
        <v>0.52110000000000001</v>
      </c>
    </row>
    <row r="3129" spans="1:11">
      <c r="A3129" t="s">
        <v>209</v>
      </c>
      <c r="B3129">
        <v>84</v>
      </c>
      <c r="C3129" t="s">
        <v>212</v>
      </c>
      <c r="D3129">
        <v>957</v>
      </c>
      <c r="F3129" s="1">
        <v>0.1002</v>
      </c>
      <c r="G3129" s="1">
        <v>1.17E-2</v>
      </c>
      <c r="H3129" s="1">
        <v>9.0200000000000002E-2</v>
      </c>
      <c r="J3129" s="1">
        <v>0.79790000000000005</v>
      </c>
    </row>
    <row r="3131" spans="1:11">
      <c r="A3131" t="s">
        <v>845</v>
      </c>
    </row>
    <row r="3132" spans="1:11">
      <c r="A3132" t="s">
        <v>214</v>
      </c>
      <c r="B3132" t="s">
        <v>189</v>
      </c>
      <c r="C3132" t="s">
        <v>195</v>
      </c>
      <c r="D3132" t="s">
        <v>190</v>
      </c>
      <c r="E3132" t="s">
        <v>196</v>
      </c>
      <c r="F3132" t="s">
        <v>228</v>
      </c>
      <c r="G3132" t="s">
        <v>841</v>
      </c>
      <c r="H3132" t="s">
        <v>842</v>
      </c>
      <c r="I3132" t="s">
        <v>843</v>
      </c>
      <c r="J3132" t="s">
        <v>223</v>
      </c>
      <c r="K3132" t="s">
        <v>844</v>
      </c>
    </row>
    <row r="3133" spans="1:11">
      <c r="A3133" t="s">
        <v>198</v>
      </c>
      <c r="B3133" t="s">
        <v>197</v>
      </c>
      <c r="C3133">
        <v>957</v>
      </c>
      <c r="D3133" t="s">
        <v>198</v>
      </c>
      <c r="E3133">
        <v>957</v>
      </c>
      <c r="F3133" s="1">
        <v>1E-3</v>
      </c>
      <c r="G3133" s="1">
        <v>0.17469999999999999</v>
      </c>
      <c r="H3133" s="1">
        <v>6.3E-3</v>
      </c>
      <c r="I3133" s="1">
        <v>0.1241</v>
      </c>
      <c r="J3133" s="1">
        <v>5.0000000000000001E-4</v>
      </c>
      <c r="K3133" s="1">
        <v>0.69340000000000002</v>
      </c>
    </row>
    <row r="3134" spans="1:11">
      <c r="A3134" t="s">
        <v>235</v>
      </c>
      <c r="B3134" t="s">
        <v>204</v>
      </c>
      <c r="C3134">
        <v>60</v>
      </c>
      <c r="D3134" t="s">
        <v>208</v>
      </c>
      <c r="E3134">
        <v>957</v>
      </c>
      <c r="G3134" s="1">
        <v>0.1167</v>
      </c>
      <c r="I3134" s="1">
        <v>8.3299999999999999E-2</v>
      </c>
      <c r="K3134" s="1">
        <v>0.8</v>
      </c>
    </row>
    <row r="3135" spans="1:11">
      <c r="A3135" t="s">
        <v>236</v>
      </c>
      <c r="B3135" t="s">
        <v>204</v>
      </c>
      <c r="C3135">
        <v>31</v>
      </c>
      <c r="D3135" t="s">
        <v>205</v>
      </c>
      <c r="E3135">
        <v>957</v>
      </c>
      <c r="G3135" s="1">
        <v>0.39589999999999997</v>
      </c>
      <c r="I3135" s="1">
        <v>0.14940000000000001</v>
      </c>
      <c r="K3135" s="1">
        <v>0.45469999999999999</v>
      </c>
    </row>
    <row r="3136" spans="1:11">
      <c r="A3136" t="s">
        <v>235</v>
      </c>
      <c r="B3136" t="s">
        <v>204</v>
      </c>
      <c r="C3136">
        <v>57</v>
      </c>
      <c r="D3136" t="s">
        <v>205</v>
      </c>
      <c r="E3136">
        <v>957</v>
      </c>
      <c r="G3136" s="1">
        <v>8.43E-2</v>
      </c>
      <c r="I3136" s="1">
        <v>2.8500000000000001E-2</v>
      </c>
      <c r="J3136" s="1">
        <v>3.0000000000000001E-3</v>
      </c>
      <c r="K3136" s="1">
        <v>0.88419999999999999</v>
      </c>
    </row>
    <row r="3137" spans="1:11" s="26" customFormat="1">
      <c r="A3137" s="26" t="s">
        <v>236</v>
      </c>
      <c r="B3137" s="26" t="s">
        <v>204</v>
      </c>
      <c r="C3137" s="26">
        <v>21</v>
      </c>
      <c r="D3137" s="26" t="s">
        <v>206</v>
      </c>
      <c r="E3137" s="26">
        <v>957</v>
      </c>
      <c r="G3137" s="27">
        <v>0.4617</v>
      </c>
      <c r="H3137" s="27">
        <v>4.2799999999999998E-2</v>
      </c>
      <c r="I3137" s="27">
        <v>0.14530000000000001</v>
      </c>
      <c r="K3137" s="27">
        <v>0.3503</v>
      </c>
    </row>
    <row r="3138" spans="1:11">
      <c r="A3138" t="s">
        <v>235</v>
      </c>
      <c r="B3138" t="s">
        <v>204</v>
      </c>
      <c r="C3138">
        <v>46</v>
      </c>
      <c r="D3138" t="s">
        <v>206</v>
      </c>
      <c r="E3138">
        <v>957</v>
      </c>
      <c r="G3138" s="1">
        <v>0.24660000000000001</v>
      </c>
      <c r="I3138" s="1">
        <v>8.4500000000000006E-2</v>
      </c>
      <c r="K3138" s="1">
        <v>0.66890000000000005</v>
      </c>
    </row>
    <row r="3139" spans="1:11">
      <c r="A3139" t="s">
        <v>236</v>
      </c>
      <c r="B3139" t="s">
        <v>204</v>
      </c>
      <c r="C3139">
        <v>80</v>
      </c>
      <c r="D3139" t="s">
        <v>207</v>
      </c>
      <c r="E3139">
        <v>957</v>
      </c>
      <c r="G3139" s="1">
        <v>0.29620000000000002</v>
      </c>
      <c r="I3139" s="1">
        <v>0.44109999999999999</v>
      </c>
      <c r="K3139" s="1">
        <v>0.26279999999999998</v>
      </c>
    </row>
    <row r="3140" spans="1:11">
      <c r="A3140" t="s">
        <v>235</v>
      </c>
      <c r="B3140" t="s">
        <v>204</v>
      </c>
      <c r="C3140">
        <v>45</v>
      </c>
      <c r="D3140" t="s">
        <v>207</v>
      </c>
      <c r="E3140">
        <v>957</v>
      </c>
      <c r="F3140" s="1">
        <v>2.5999999999999999E-3</v>
      </c>
      <c r="G3140" s="1">
        <v>0.10349999999999999</v>
      </c>
      <c r="I3140" s="1">
        <v>3.78E-2</v>
      </c>
      <c r="K3140" s="1">
        <v>0.85609999999999997</v>
      </c>
    </row>
    <row r="3141" spans="1:11" s="26" customFormat="1">
      <c r="A3141" s="26" t="s">
        <v>236</v>
      </c>
      <c r="B3141" s="26" t="s">
        <v>204</v>
      </c>
      <c r="C3141" s="26">
        <v>11</v>
      </c>
      <c r="D3141" s="26" t="s">
        <v>208</v>
      </c>
      <c r="E3141" s="26">
        <v>957</v>
      </c>
      <c r="G3141" s="27">
        <v>0.2727</v>
      </c>
      <c r="I3141" s="27">
        <v>0.2727</v>
      </c>
      <c r="K3141" s="27">
        <v>0.45450000000000002</v>
      </c>
    </row>
    <row r="3142" spans="1:11">
      <c r="A3142" t="s">
        <v>235</v>
      </c>
      <c r="B3142" t="s">
        <v>199</v>
      </c>
      <c r="C3142">
        <v>44</v>
      </c>
      <c r="D3142" t="s">
        <v>203</v>
      </c>
      <c r="E3142">
        <v>957</v>
      </c>
      <c r="G3142" s="1">
        <v>0.17630000000000001</v>
      </c>
      <c r="I3142" s="1">
        <v>0.14940000000000001</v>
      </c>
      <c r="K3142" s="1">
        <v>0.67430000000000001</v>
      </c>
    </row>
    <row r="3143" spans="1:11">
      <c r="A3143" t="s">
        <v>236</v>
      </c>
      <c r="B3143" t="s">
        <v>199</v>
      </c>
      <c r="C3143">
        <v>32</v>
      </c>
      <c r="D3143" t="s">
        <v>203</v>
      </c>
      <c r="E3143">
        <v>957</v>
      </c>
      <c r="G3143" s="1">
        <v>0.37390000000000001</v>
      </c>
      <c r="H3143" s="1">
        <v>3.2199999999999999E-2</v>
      </c>
      <c r="I3143" s="1">
        <v>0.18390000000000001</v>
      </c>
      <c r="K3143" s="1">
        <v>0.40989999999999999</v>
      </c>
    </row>
    <row r="3144" spans="1:11">
      <c r="A3144" t="s">
        <v>235</v>
      </c>
      <c r="B3144" t="s">
        <v>199</v>
      </c>
      <c r="C3144">
        <v>60</v>
      </c>
      <c r="D3144" t="s">
        <v>202</v>
      </c>
      <c r="E3144">
        <v>957</v>
      </c>
      <c r="G3144" s="1">
        <v>0.1779</v>
      </c>
      <c r="I3144" s="1">
        <v>0.12</v>
      </c>
      <c r="K3144" s="1">
        <v>0.70209999999999995</v>
      </c>
    </row>
    <row r="3145" spans="1:11" s="26" customFormat="1">
      <c r="A3145" s="26" t="s">
        <v>236</v>
      </c>
      <c r="B3145" s="26" t="s">
        <v>199</v>
      </c>
      <c r="C3145" s="26">
        <v>24</v>
      </c>
      <c r="D3145" s="26" t="s">
        <v>200</v>
      </c>
      <c r="E3145" s="26">
        <v>957</v>
      </c>
      <c r="G3145" s="27">
        <v>0.34320000000000001</v>
      </c>
      <c r="I3145" s="27">
        <v>0.58489999999999998</v>
      </c>
      <c r="K3145" s="27">
        <v>7.1900000000000006E-2</v>
      </c>
    </row>
    <row r="3146" spans="1:11">
      <c r="A3146" t="s">
        <v>235</v>
      </c>
      <c r="B3146" t="s">
        <v>199</v>
      </c>
      <c r="C3146">
        <v>46</v>
      </c>
      <c r="D3146" t="s">
        <v>200</v>
      </c>
      <c r="E3146">
        <v>957</v>
      </c>
      <c r="G3146" s="1">
        <v>0.40150000000000002</v>
      </c>
      <c r="I3146" s="1">
        <v>2.1000000000000001E-2</v>
      </c>
      <c r="K3146" s="1">
        <v>0.57750000000000001</v>
      </c>
    </row>
    <row r="3147" spans="1:11">
      <c r="A3147" t="s">
        <v>236</v>
      </c>
      <c r="B3147" t="s">
        <v>199</v>
      </c>
      <c r="C3147">
        <v>37</v>
      </c>
      <c r="D3147" t="s">
        <v>202</v>
      </c>
      <c r="E3147">
        <v>957</v>
      </c>
      <c r="G3147" s="1">
        <v>0.2828</v>
      </c>
      <c r="H3147" s="1">
        <v>3.2800000000000003E-2</v>
      </c>
      <c r="I3147" s="1">
        <v>0.23580000000000001</v>
      </c>
      <c r="K3147" s="1">
        <v>0.44850000000000001</v>
      </c>
    </row>
    <row r="3148" spans="1:11">
      <c r="A3148" t="s">
        <v>235</v>
      </c>
      <c r="B3148" t="s">
        <v>199</v>
      </c>
      <c r="C3148">
        <v>95</v>
      </c>
      <c r="D3148" t="s">
        <v>201</v>
      </c>
      <c r="E3148">
        <v>957</v>
      </c>
      <c r="G3148" s="1">
        <v>0.1474</v>
      </c>
      <c r="H3148" s="1">
        <v>1.0500000000000001E-2</v>
      </c>
      <c r="I3148" s="1">
        <v>7.3700000000000002E-2</v>
      </c>
      <c r="K3148" s="1">
        <v>0.76839999999999997</v>
      </c>
    </row>
    <row r="3149" spans="1:11">
      <c r="A3149" t="s">
        <v>236</v>
      </c>
      <c r="B3149" t="s">
        <v>209</v>
      </c>
      <c r="C3149">
        <v>38</v>
      </c>
      <c r="D3149" t="s">
        <v>211</v>
      </c>
      <c r="E3149">
        <v>957</v>
      </c>
      <c r="G3149" s="1">
        <v>0.38090000000000002</v>
      </c>
      <c r="H3149" s="1">
        <v>2.8000000000000001E-2</v>
      </c>
      <c r="I3149" s="1">
        <v>0.3201</v>
      </c>
      <c r="K3149" s="1">
        <v>0.27100000000000002</v>
      </c>
    </row>
    <row r="3150" spans="1:11">
      <c r="A3150" t="s">
        <v>235</v>
      </c>
      <c r="B3150" t="s">
        <v>209</v>
      </c>
      <c r="C3150">
        <v>55</v>
      </c>
      <c r="D3150" t="s">
        <v>211</v>
      </c>
      <c r="E3150">
        <v>957</v>
      </c>
      <c r="F3150" s="1">
        <v>2.53E-2</v>
      </c>
      <c r="G3150" s="1">
        <v>0.20780000000000001</v>
      </c>
      <c r="I3150" s="1">
        <v>0.12330000000000001</v>
      </c>
      <c r="K3150" s="1">
        <v>0.64370000000000005</v>
      </c>
    </row>
    <row r="3151" spans="1:11">
      <c r="A3151" t="s">
        <v>235</v>
      </c>
      <c r="B3151" t="s">
        <v>209</v>
      </c>
      <c r="C3151">
        <v>66</v>
      </c>
      <c r="D3151" t="s">
        <v>212</v>
      </c>
      <c r="E3151">
        <v>957</v>
      </c>
      <c r="G3151" s="1">
        <v>8.6300000000000002E-2</v>
      </c>
      <c r="I3151" s="1">
        <v>8.2699999999999996E-2</v>
      </c>
      <c r="K3151" s="1">
        <v>0.83099999999999996</v>
      </c>
    </row>
    <row r="3152" spans="1:11" s="26" customFormat="1">
      <c r="A3152" s="26" t="s">
        <v>236</v>
      </c>
      <c r="B3152" s="26" t="s">
        <v>209</v>
      </c>
      <c r="C3152" s="26">
        <v>18</v>
      </c>
      <c r="D3152" s="26" t="s">
        <v>212</v>
      </c>
      <c r="E3152" s="26">
        <v>957</v>
      </c>
      <c r="G3152" s="27">
        <v>0.18540000000000001</v>
      </c>
      <c r="H3152" s="27">
        <v>8.3900000000000002E-2</v>
      </c>
      <c r="I3152" s="27">
        <v>0.13639999999999999</v>
      </c>
      <c r="K3152" s="27">
        <v>0.59430000000000005</v>
      </c>
    </row>
    <row r="3153" spans="1:11">
      <c r="A3153" t="s">
        <v>236</v>
      </c>
      <c r="B3153" t="s">
        <v>209</v>
      </c>
      <c r="C3153">
        <v>38</v>
      </c>
      <c r="D3153" t="s">
        <v>210</v>
      </c>
      <c r="E3153">
        <v>957</v>
      </c>
      <c r="G3153" s="1">
        <v>0.439</v>
      </c>
      <c r="I3153" s="1">
        <v>6.3399999999999998E-2</v>
      </c>
      <c r="K3153" s="1">
        <v>0.49759999999999999</v>
      </c>
    </row>
    <row r="3154" spans="1:11">
      <c r="A3154" t="s">
        <v>235</v>
      </c>
      <c r="B3154" t="s">
        <v>209</v>
      </c>
      <c r="C3154">
        <v>32</v>
      </c>
      <c r="D3154" t="s">
        <v>210</v>
      </c>
      <c r="E3154">
        <v>957</v>
      </c>
      <c r="G3154" s="1">
        <v>0.2908</v>
      </c>
      <c r="I3154" s="1">
        <v>6.4600000000000005E-2</v>
      </c>
      <c r="K3154" s="1">
        <v>0.64449999999999996</v>
      </c>
    </row>
    <row r="3156" spans="1:11">
      <c r="A3156" t="s">
        <v>846</v>
      </c>
    </row>
    <row r="3157" spans="1:11">
      <c r="A3157" t="s">
        <v>189</v>
      </c>
      <c r="B3157" t="s">
        <v>195</v>
      </c>
      <c r="C3157" t="s">
        <v>190</v>
      </c>
      <c r="D3157" t="s">
        <v>196</v>
      </c>
      <c r="E3157" t="s">
        <v>228</v>
      </c>
      <c r="F3157" t="s">
        <v>215</v>
      </c>
      <c r="G3157" t="s">
        <v>223</v>
      </c>
      <c r="H3157" t="s">
        <v>216</v>
      </c>
    </row>
    <row r="3158" spans="1:11">
      <c r="A3158" t="s">
        <v>197</v>
      </c>
      <c r="B3158">
        <v>968</v>
      </c>
      <c r="C3158" t="s">
        <v>198</v>
      </c>
      <c r="D3158">
        <v>968</v>
      </c>
      <c r="E3158" s="1">
        <v>0.32219999999999999</v>
      </c>
      <c r="F3158" s="1">
        <v>0.57220000000000004</v>
      </c>
      <c r="G3158" s="1">
        <v>2E-3</v>
      </c>
      <c r="H3158" s="1">
        <v>0.1036</v>
      </c>
    </row>
    <row r="3159" spans="1:11">
      <c r="A3159" t="s">
        <v>204</v>
      </c>
      <c r="B3159">
        <v>91</v>
      </c>
      <c r="C3159" t="s">
        <v>205</v>
      </c>
      <c r="D3159">
        <v>968</v>
      </c>
      <c r="E3159" s="1">
        <v>0.34570000000000001</v>
      </c>
      <c r="F3159" s="1">
        <v>0.57489999999999997</v>
      </c>
      <c r="H3159" s="1">
        <v>7.9399999999999998E-2</v>
      </c>
    </row>
    <row r="3160" spans="1:11">
      <c r="A3160" t="s">
        <v>204</v>
      </c>
      <c r="B3160">
        <v>72</v>
      </c>
      <c r="C3160" t="s">
        <v>206</v>
      </c>
      <c r="D3160">
        <v>968</v>
      </c>
      <c r="E3160" s="1">
        <v>0.2303</v>
      </c>
      <c r="F3160" s="1">
        <v>0.67679999999999996</v>
      </c>
      <c r="H3160" s="1">
        <v>9.2999999999999999E-2</v>
      </c>
    </row>
    <row r="3161" spans="1:11">
      <c r="A3161" t="s">
        <v>204</v>
      </c>
      <c r="B3161">
        <v>131</v>
      </c>
      <c r="C3161" t="s">
        <v>207</v>
      </c>
      <c r="D3161">
        <v>968</v>
      </c>
      <c r="E3161" s="1">
        <v>0.45729999999999998</v>
      </c>
      <c r="F3161" s="1">
        <v>0.4199</v>
      </c>
      <c r="H3161" s="1">
        <v>0.12280000000000001</v>
      </c>
    </row>
    <row r="3162" spans="1:11">
      <c r="A3162" t="s">
        <v>204</v>
      </c>
      <c r="B3162">
        <v>74</v>
      </c>
      <c r="C3162" t="s">
        <v>208</v>
      </c>
      <c r="D3162">
        <v>968</v>
      </c>
      <c r="E3162" s="1">
        <v>0.27029999999999998</v>
      </c>
      <c r="F3162" s="1">
        <v>0.59460000000000002</v>
      </c>
      <c r="H3162" s="1">
        <v>0.1351</v>
      </c>
    </row>
    <row r="3163" spans="1:11">
      <c r="A3163" t="s">
        <v>199</v>
      </c>
      <c r="B3163">
        <v>73</v>
      </c>
      <c r="C3163" t="s">
        <v>200</v>
      </c>
      <c r="D3163">
        <v>968</v>
      </c>
      <c r="E3163" s="1">
        <v>0.1923</v>
      </c>
      <c r="F3163" s="1">
        <v>0.79349999999999998</v>
      </c>
      <c r="H3163" s="1">
        <v>1.4200000000000001E-2</v>
      </c>
    </row>
    <row r="3164" spans="1:11">
      <c r="A3164" t="s">
        <v>199</v>
      </c>
      <c r="B3164">
        <v>96</v>
      </c>
      <c r="C3164" t="s">
        <v>201</v>
      </c>
      <c r="D3164">
        <v>968</v>
      </c>
      <c r="E3164" s="1">
        <v>0.33329999999999999</v>
      </c>
      <c r="F3164" s="1">
        <v>0.53120000000000001</v>
      </c>
      <c r="G3164" s="1">
        <v>1.04E-2</v>
      </c>
      <c r="H3164" s="1">
        <v>0.125</v>
      </c>
    </row>
    <row r="3165" spans="1:11">
      <c r="A3165" t="s">
        <v>199</v>
      </c>
      <c r="B3165">
        <v>98</v>
      </c>
      <c r="C3165" t="s">
        <v>202</v>
      </c>
      <c r="D3165">
        <v>968</v>
      </c>
      <c r="E3165" s="1">
        <v>0.28599999999999998</v>
      </c>
      <c r="F3165" s="1">
        <v>0.61180000000000001</v>
      </c>
      <c r="H3165" s="1">
        <v>0.1022</v>
      </c>
    </row>
    <row r="3166" spans="1:11">
      <c r="A3166" t="s">
        <v>199</v>
      </c>
      <c r="B3166">
        <v>77</v>
      </c>
      <c r="C3166" t="s">
        <v>203</v>
      </c>
      <c r="D3166">
        <v>968</v>
      </c>
      <c r="E3166" s="1">
        <v>0.15490000000000001</v>
      </c>
      <c r="F3166" s="1">
        <v>0.6865</v>
      </c>
      <c r="H3166" s="1">
        <v>0.15859999999999999</v>
      </c>
    </row>
    <row r="3167" spans="1:11">
      <c r="A3167" t="s">
        <v>209</v>
      </c>
      <c r="B3167">
        <v>74</v>
      </c>
      <c r="C3167" t="s">
        <v>210</v>
      </c>
      <c r="D3167">
        <v>968</v>
      </c>
      <c r="E3167" s="1">
        <v>0.3392</v>
      </c>
      <c r="F3167" s="1">
        <v>0.5474</v>
      </c>
      <c r="H3167" s="1">
        <v>0.1134</v>
      </c>
    </row>
    <row r="3168" spans="1:11">
      <c r="A3168" t="s">
        <v>209</v>
      </c>
      <c r="B3168">
        <v>97</v>
      </c>
      <c r="C3168" t="s">
        <v>211</v>
      </c>
      <c r="D3168">
        <v>968</v>
      </c>
      <c r="E3168" s="1">
        <v>0.28239999999999998</v>
      </c>
      <c r="F3168" s="1">
        <v>0.66669999999999996</v>
      </c>
      <c r="H3168" s="1">
        <v>5.0799999999999998E-2</v>
      </c>
    </row>
    <row r="3169" spans="1:9">
      <c r="A3169" t="s">
        <v>209</v>
      </c>
      <c r="B3169">
        <v>85</v>
      </c>
      <c r="C3169" t="s">
        <v>212</v>
      </c>
      <c r="D3169">
        <v>968</v>
      </c>
      <c r="E3169" s="1">
        <v>0.26150000000000001</v>
      </c>
      <c r="F3169" s="1">
        <v>0.64370000000000005</v>
      </c>
      <c r="H3169" s="1">
        <v>9.4899999999999998E-2</v>
      </c>
    </row>
    <row r="3171" spans="1:9">
      <c r="A3171" t="s">
        <v>847</v>
      </c>
    </row>
    <row r="3172" spans="1:9">
      <c r="A3172" t="s">
        <v>214</v>
      </c>
      <c r="B3172" t="s">
        <v>189</v>
      </c>
      <c r="C3172" t="s">
        <v>195</v>
      </c>
      <c r="D3172" t="s">
        <v>190</v>
      </c>
      <c r="E3172" t="s">
        <v>196</v>
      </c>
      <c r="F3172" t="s">
        <v>228</v>
      </c>
      <c r="G3172" t="s">
        <v>215</v>
      </c>
      <c r="H3172" t="s">
        <v>223</v>
      </c>
      <c r="I3172" t="s">
        <v>216</v>
      </c>
    </row>
    <row r="3173" spans="1:9">
      <c r="A3173" t="s">
        <v>198</v>
      </c>
      <c r="B3173" t="s">
        <v>197</v>
      </c>
      <c r="C3173">
        <v>968</v>
      </c>
      <c r="D3173" t="s">
        <v>198</v>
      </c>
      <c r="E3173">
        <v>968</v>
      </c>
      <c r="F3173" s="1">
        <v>0.32219999999999999</v>
      </c>
      <c r="G3173" s="1">
        <v>0.57220000000000004</v>
      </c>
      <c r="H3173" s="1">
        <v>2E-3</v>
      </c>
      <c r="I3173" s="1">
        <v>0.1036</v>
      </c>
    </row>
    <row r="3174" spans="1:9">
      <c r="A3174" t="s">
        <v>235</v>
      </c>
      <c r="B3174" t="s">
        <v>204</v>
      </c>
      <c r="C3174">
        <v>63</v>
      </c>
      <c r="D3174" t="s">
        <v>208</v>
      </c>
      <c r="E3174">
        <v>968</v>
      </c>
      <c r="F3174" s="1">
        <v>0.26979999999999998</v>
      </c>
      <c r="G3174" s="1">
        <v>0.60319999999999996</v>
      </c>
      <c r="I3174" s="1">
        <v>0.127</v>
      </c>
    </row>
    <row r="3175" spans="1:9">
      <c r="A3175" t="s">
        <v>236</v>
      </c>
      <c r="B3175" t="s">
        <v>204</v>
      </c>
      <c r="C3175">
        <v>32</v>
      </c>
      <c r="D3175" t="s">
        <v>205</v>
      </c>
      <c r="E3175">
        <v>968</v>
      </c>
      <c r="F3175" s="1">
        <v>0.19919999999999999</v>
      </c>
      <c r="G3175" s="1">
        <v>0.65029999999999999</v>
      </c>
      <c r="I3175" s="1">
        <v>0.15049999999999999</v>
      </c>
    </row>
    <row r="3176" spans="1:9">
      <c r="A3176" t="s">
        <v>235</v>
      </c>
      <c r="B3176" t="s">
        <v>204</v>
      </c>
      <c r="C3176">
        <v>58</v>
      </c>
      <c r="D3176" t="s">
        <v>205</v>
      </c>
      <c r="E3176">
        <v>968</v>
      </c>
      <c r="F3176" s="1">
        <v>0.3785</v>
      </c>
      <c r="G3176" s="1">
        <v>0.56030000000000002</v>
      </c>
      <c r="I3176" s="1">
        <v>6.1199999999999997E-2</v>
      </c>
    </row>
    <row r="3177" spans="1:9" s="26" customFormat="1">
      <c r="A3177" s="26" t="s">
        <v>236</v>
      </c>
      <c r="B3177" s="26" t="s">
        <v>204</v>
      </c>
      <c r="C3177" s="26">
        <v>21</v>
      </c>
      <c r="D3177" s="26" t="s">
        <v>206</v>
      </c>
      <c r="E3177" s="26">
        <v>968</v>
      </c>
      <c r="F3177" s="27">
        <v>0.31640000000000001</v>
      </c>
      <c r="G3177" s="27">
        <v>0.56420000000000003</v>
      </c>
      <c r="I3177" s="27">
        <v>0.1195</v>
      </c>
    </row>
    <row r="3178" spans="1:9">
      <c r="A3178" t="s">
        <v>235</v>
      </c>
      <c r="B3178" t="s">
        <v>204</v>
      </c>
      <c r="C3178">
        <v>47</v>
      </c>
      <c r="D3178" t="s">
        <v>206</v>
      </c>
      <c r="E3178">
        <v>968</v>
      </c>
      <c r="F3178" s="1">
        <v>0.17180000000000001</v>
      </c>
      <c r="G3178" s="1">
        <v>0.7389</v>
      </c>
      <c r="I3178" s="1">
        <v>8.9300000000000004E-2</v>
      </c>
    </row>
    <row r="3179" spans="1:9">
      <c r="A3179" t="s">
        <v>236</v>
      </c>
      <c r="B3179" t="s">
        <v>204</v>
      </c>
      <c r="C3179">
        <v>81</v>
      </c>
      <c r="D3179" t="s">
        <v>207</v>
      </c>
      <c r="E3179">
        <v>968</v>
      </c>
      <c r="F3179" s="1">
        <v>0.4647</v>
      </c>
      <c r="G3179" s="1">
        <v>0.35959999999999998</v>
      </c>
      <c r="I3179" s="1">
        <v>0.1757</v>
      </c>
    </row>
    <row r="3180" spans="1:9">
      <c r="A3180" t="s">
        <v>235</v>
      </c>
      <c r="B3180" t="s">
        <v>204</v>
      </c>
      <c r="C3180">
        <v>45</v>
      </c>
      <c r="D3180" t="s">
        <v>207</v>
      </c>
      <c r="E3180">
        <v>968</v>
      </c>
      <c r="F3180" s="1">
        <v>0.45240000000000002</v>
      </c>
      <c r="G3180" s="1">
        <v>0.45889999999999997</v>
      </c>
      <c r="I3180" s="1">
        <v>8.8800000000000004E-2</v>
      </c>
    </row>
    <row r="3181" spans="1:9" s="26" customFormat="1">
      <c r="A3181" s="26" t="s">
        <v>236</v>
      </c>
      <c r="B3181" s="26" t="s">
        <v>204</v>
      </c>
      <c r="C3181" s="26">
        <v>11</v>
      </c>
      <c r="D3181" s="26" t="s">
        <v>208</v>
      </c>
      <c r="E3181" s="26">
        <v>968</v>
      </c>
      <c r="F3181" s="27">
        <v>0.2727</v>
      </c>
      <c r="G3181" s="27">
        <v>0.54549999999999998</v>
      </c>
      <c r="I3181" s="27">
        <v>0.18179999999999999</v>
      </c>
    </row>
    <row r="3182" spans="1:9">
      <c r="A3182" t="s">
        <v>235</v>
      </c>
      <c r="B3182" t="s">
        <v>199</v>
      </c>
      <c r="C3182">
        <v>44</v>
      </c>
      <c r="D3182" t="s">
        <v>203</v>
      </c>
      <c r="E3182">
        <v>968</v>
      </c>
      <c r="F3182" s="1">
        <v>0.15010000000000001</v>
      </c>
      <c r="G3182" s="1">
        <v>0.66949999999999998</v>
      </c>
      <c r="I3182" s="1">
        <v>0.1804</v>
      </c>
    </row>
    <row r="3183" spans="1:9">
      <c r="A3183" t="s">
        <v>236</v>
      </c>
      <c r="B3183" t="s">
        <v>199</v>
      </c>
      <c r="C3183">
        <v>32</v>
      </c>
      <c r="D3183" t="s">
        <v>203</v>
      </c>
      <c r="E3183">
        <v>968</v>
      </c>
      <c r="F3183" s="1">
        <v>9.7900000000000001E-2</v>
      </c>
      <c r="G3183" s="1">
        <v>0.77080000000000004</v>
      </c>
      <c r="I3183" s="1">
        <v>0.1313</v>
      </c>
    </row>
    <row r="3184" spans="1:9">
      <c r="A3184" t="s">
        <v>235</v>
      </c>
      <c r="B3184" t="s">
        <v>199</v>
      </c>
      <c r="C3184">
        <v>60</v>
      </c>
      <c r="D3184" t="s">
        <v>202</v>
      </c>
      <c r="E3184">
        <v>968</v>
      </c>
      <c r="F3184" s="1">
        <v>0.25590000000000002</v>
      </c>
      <c r="G3184" s="1">
        <v>0.66490000000000005</v>
      </c>
      <c r="I3184" s="1">
        <v>7.9200000000000007E-2</v>
      </c>
    </row>
    <row r="3185" spans="1:16" s="26" customFormat="1">
      <c r="A3185" s="26" t="s">
        <v>236</v>
      </c>
      <c r="B3185" s="26" t="s">
        <v>199</v>
      </c>
      <c r="C3185" s="26">
        <v>24</v>
      </c>
      <c r="D3185" s="26" t="s">
        <v>200</v>
      </c>
      <c r="E3185" s="26">
        <v>968</v>
      </c>
      <c r="F3185" s="27">
        <v>0.1817</v>
      </c>
      <c r="G3185" s="27">
        <v>0.81830000000000003</v>
      </c>
    </row>
    <row r="3186" spans="1:16">
      <c r="A3186" t="s">
        <v>235</v>
      </c>
      <c r="B3186" t="s">
        <v>199</v>
      </c>
      <c r="C3186">
        <v>46</v>
      </c>
      <c r="D3186" t="s">
        <v>200</v>
      </c>
      <c r="E3186">
        <v>968</v>
      </c>
      <c r="F3186" s="1">
        <v>0.20349999999999999</v>
      </c>
      <c r="G3186" s="1">
        <v>0.76949999999999996</v>
      </c>
      <c r="I3186" s="1">
        <v>2.7E-2</v>
      </c>
    </row>
    <row r="3187" spans="1:16">
      <c r="A3187" t="s">
        <v>236</v>
      </c>
      <c r="B3187" t="s">
        <v>199</v>
      </c>
      <c r="C3187">
        <v>37</v>
      </c>
      <c r="D3187" t="s">
        <v>202</v>
      </c>
      <c r="E3187">
        <v>968</v>
      </c>
      <c r="F3187" s="1">
        <v>0.3372</v>
      </c>
      <c r="G3187" s="1">
        <v>0.52529999999999999</v>
      </c>
      <c r="I3187" s="1">
        <v>0.13750000000000001</v>
      </c>
    </row>
    <row r="3188" spans="1:16">
      <c r="A3188" t="s">
        <v>235</v>
      </c>
      <c r="B3188" t="s">
        <v>199</v>
      </c>
      <c r="C3188">
        <v>96</v>
      </c>
      <c r="D3188" t="s">
        <v>201</v>
      </c>
      <c r="E3188">
        <v>968</v>
      </c>
      <c r="F3188" s="1">
        <v>0.33329999999999999</v>
      </c>
      <c r="G3188" s="1">
        <v>0.53120000000000001</v>
      </c>
      <c r="H3188" s="1">
        <v>1.04E-2</v>
      </c>
      <c r="I3188" s="1">
        <v>0.125</v>
      </c>
    </row>
    <row r="3189" spans="1:16">
      <c r="A3189" t="s">
        <v>236</v>
      </c>
      <c r="B3189" t="s">
        <v>209</v>
      </c>
      <c r="C3189">
        <v>39</v>
      </c>
      <c r="D3189" t="s">
        <v>211</v>
      </c>
      <c r="E3189">
        <v>968</v>
      </c>
      <c r="F3189" s="1">
        <v>0.11840000000000001</v>
      </c>
      <c r="G3189" s="1">
        <v>0.8125</v>
      </c>
      <c r="I3189" s="1">
        <v>6.9099999999999995E-2</v>
      </c>
    </row>
    <row r="3190" spans="1:16">
      <c r="A3190" t="s">
        <v>235</v>
      </c>
      <c r="B3190" t="s">
        <v>209</v>
      </c>
      <c r="C3190">
        <v>56</v>
      </c>
      <c r="D3190" t="s">
        <v>211</v>
      </c>
      <c r="E3190">
        <v>968</v>
      </c>
      <c r="F3190" s="1">
        <v>0.3674</v>
      </c>
      <c r="G3190" s="1">
        <v>0.58989999999999998</v>
      </c>
      <c r="I3190" s="1">
        <v>4.2700000000000002E-2</v>
      </c>
    </row>
    <row r="3191" spans="1:16">
      <c r="A3191" t="s">
        <v>235</v>
      </c>
      <c r="B3191" t="s">
        <v>209</v>
      </c>
      <c r="C3191">
        <v>67</v>
      </c>
      <c r="D3191" t="s">
        <v>212</v>
      </c>
      <c r="E3191">
        <v>968</v>
      </c>
      <c r="F3191" s="1">
        <v>0.27779999999999999</v>
      </c>
      <c r="G3191" s="1">
        <v>0.62829999999999997</v>
      </c>
      <c r="I3191" s="1">
        <v>9.3899999999999997E-2</v>
      </c>
    </row>
    <row r="3192" spans="1:16" s="26" customFormat="1">
      <c r="A3192" s="26" t="s">
        <v>236</v>
      </c>
      <c r="B3192" s="26" t="s">
        <v>209</v>
      </c>
      <c r="C3192" s="26">
        <v>18</v>
      </c>
      <c r="D3192" s="26" t="s">
        <v>212</v>
      </c>
      <c r="E3192" s="26">
        <v>968</v>
      </c>
      <c r="F3192" s="27">
        <v>0.15920000000000001</v>
      </c>
      <c r="G3192" s="27">
        <v>0.73960000000000004</v>
      </c>
      <c r="I3192" s="27">
        <v>0.1013</v>
      </c>
    </row>
    <row r="3193" spans="1:16">
      <c r="A3193" t="s">
        <v>236</v>
      </c>
      <c r="B3193" t="s">
        <v>209</v>
      </c>
      <c r="C3193">
        <v>38</v>
      </c>
      <c r="D3193" t="s">
        <v>210</v>
      </c>
      <c r="E3193">
        <v>968</v>
      </c>
      <c r="F3193" s="1">
        <v>0.41870000000000002</v>
      </c>
      <c r="G3193" s="1">
        <v>0.4773</v>
      </c>
      <c r="I3193" s="1">
        <v>0.1041</v>
      </c>
    </row>
    <row r="3194" spans="1:16">
      <c r="A3194" t="s">
        <v>235</v>
      </c>
      <c r="B3194" t="s">
        <v>209</v>
      </c>
      <c r="C3194">
        <v>32</v>
      </c>
      <c r="D3194" t="s">
        <v>210</v>
      </c>
      <c r="E3194">
        <v>968</v>
      </c>
      <c r="F3194" s="1">
        <v>0.30609999999999998</v>
      </c>
      <c r="G3194" s="1">
        <v>0.59689999999999999</v>
      </c>
      <c r="I3194" s="1">
        <v>9.69E-2</v>
      </c>
    </row>
    <row r="3196" spans="1:16">
      <c r="A3196" t="s">
        <v>848</v>
      </c>
    </row>
    <row r="3197" spans="1:16">
      <c r="A3197" t="s">
        <v>189</v>
      </c>
      <c r="B3197" t="s">
        <v>195</v>
      </c>
      <c r="C3197" t="s">
        <v>190</v>
      </c>
      <c r="D3197" t="s">
        <v>196</v>
      </c>
      <c r="E3197" t="s">
        <v>228</v>
      </c>
      <c r="F3197" t="s">
        <v>849</v>
      </c>
      <c r="G3197" t="s">
        <v>850</v>
      </c>
      <c r="H3197" t="s">
        <v>851</v>
      </c>
      <c r="I3197" t="s">
        <v>852</v>
      </c>
      <c r="J3197" t="s">
        <v>853</v>
      </c>
      <c r="K3197" t="s">
        <v>854</v>
      </c>
      <c r="L3197" t="s">
        <v>855</v>
      </c>
      <c r="M3197" t="s">
        <v>276</v>
      </c>
      <c r="N3197" t="s">
        <v>278</v>
      </c>
      <c r="O3197" t="s">
        <v>856</v>
      </c>
      <c r="P3197" t="s">
        <v>857</v>
      </c>
    </row>
    <row r="3198" spans="1:16">
      <c r="A3198" t="s">
        <v>197</v>
      </c>
      <c r="B3198">
        <v>962</v>
      </c>
      <c r="C3198" t="s">
        <v>198</v>
      </c>
      <c r="D3198">
        <v>962</v>
      </c>
      <c r="E3198" s="1">
        <v>4.3E-3</v>
      </c>
      <c r="F3198" s="1">
        <v>5.9700000000000003E-2</v>
      </c>
      <c r="G3198" s="1">
        <v>1.15E-2</v>
      </c>
      <c r="H3198" s="1">
        <v>2.93E-2</v>
      </c>
      <c r="I3198" s="1">
        <v>2.7E-2</v>
      </c>
      <c r="J3198" s="1">
        <v>5.7099999999999998E-2</v>
      </c>
      <c r="K3198" s="1">
        <v>4.9099999999999998E-2</v>
      </c>
      <c r="L3198" s="1">
        <v>3.2399999999999998E-2</v>
      </c>
      <c r="M3198" s="1">
        <v>0.7913</v>
      </c>
      <c r="N3198" s="1">
        <v>2.3900000000000001E-2</v>
      </c>
      <c r="O3198" s="1">
        <v>6.7000000000000002E-3</v>
      </c>
      <c r="P3198" s="1">
        <v>2.0000000000000001E-4</v>
      </c>
    </row>
    <row r="3199" spans="1:16">
      <c r="A3199" t="s">
        <v>204</v>
      </c>
      <c r="B3199">
        <v>91</v>
      </c>
      <c r="C3199" t="s">
        <v>205</v>
      </c>
      <c r="D3199">
        <v>962</v>
      </c>
      <c r="F3199" s="1">
        <v>7.2300000000000003E-2</v>
      </c>
      <c r="G3199" s="1">
        <v>3.2000000000000002E-3</v>
      </c>
      <c r="H3199" s="1">
        <v>0.12330000000000001</v>
      </c>
      <c r="I3199" s="1">
        <v>1.2699999999999999E-2</v>
      </c>
      <c r="J3199" s="1">
        <v>6.25E-2</v>
      </c>
      <c r="K3199" s="1">
        <v>4.7199999999999999E-2</v>
      </c>
      <c r="L3199" s="1">
        <v>1.7999999999999999E-2</v>
      </c>
      <c r="M3199" s="1">
        <v>0.73140000000000005</v>
      </c>
      <c r="N3199" s="1">
        <v>7.3000000000000001E-3</v>
      </c>
    </row>
    <row r="3200" spans="1:16">
      <c r="A3200" t="s">
        <v>204</v>
      </c>
      <c r="B3200">
        <v>72</v>
      </c>
      <c r="C3200" t="s">
        <v>206</v>
      </c>
      <c r="D3200">
        <v>962</v>
      </c>
      <c r="E3200" s="1">
        <v>1.6299999999999999E-2</v>
      </c>
      <c r="F3200" s="1">
        <v>4.6600000000000003E-2</v>
      </c>
      <c r="G3200" s="1">
        <v>2.3300000000000001E-2</v>
      </c>
      <c r="H3200" s="1">
        <v>1.1599999999999999E-2</v>
      </c>
      <c r="I3200" s="1">
        <v>1.1599999999999999E-2</v>
      </c>
      <c r="J3200" s="1">
        <v>2.7900000000000001E-2</v>
      </c>
      <c r="K3200" s="1">
        <v>9.5399999999999999E-2</v>
      </c>
      <c r="L3200" s="1">
        <v>2.3300000000000001E-2</v>
      </c>
      <c r="M3200" s="1">
        <v>0.81389999999999996</v>
      </c>
      <c r="N3200" s="1">
        <v>3.49E-2</v>
      </c>
    </row>
    <row r="3201" spans="1:17">
      <c r="A3201" t="s">
        <v>204</v>
      </c>
      <c r="B3201">
        <v>128</v>
      </c>
      <c r="C3201" t="s">
        <v>207</v>
      </c>
      <c r="D3201">
        <v>962</v>
      </c>
      <c r="F3201" s="1">
        <v>1.37E-2</v>
      </c>
      <c r="G3201" s="1">
        <v>4.58E-2</v>
      </c>
      <c r="H3201" s="1">
        <v>1.5E-3</v>
      </c>
      <c r="I3201" s="1">
        <v>4.9599999999999998E-2</v>
      </c>
      <c r="J3201" s="1">
        <v>1.23E-2</v>
      </c>
      <c r="K3201" s="1">
        <v>2.9100000000000001E-2</v>
      </c>
      <c r="L3201" s="1">
        <v>4.9700000000000001E-2</v>
      </c>
      <c r="M3201" s="1">
        <v>0.79949999999999999</v>
      </c>
      <c r="N3201" s="1">
        <v>2.3300000000000001E-2</v>
      </c>
      <c r="P3201" s="1">
        <v>8.9999999999999998E-4</v>
      </c>
    </row>
    <row r="3202" spans="1:17">
      <c r="A3202" t="s">
        <v>204</v>
      </c>
      <c r="B3202">
        <v>74</v>
      </c>
      <c r="C3202" t="s">
        <v>208</v>
      </c>
      <c r="D3202">
        <v>962</v>
      </c>
      <c r="F3202" s="1">
        <v>8.1100000000000005E-2</v>
      </c>
      <c r="I3202" s="1">
        <v>5.4100000000000002E-2</v>
      </c>
      <c r="J3202" s="1">
        <v>6.7599999999999993E-2</v>
      </c>
      <c r="K3202" s="1">
        <v>8.1100000000000005E-2</v>
      </c>
      <c r="L3202" s="1">
        <v>5.4100000000000002E-2</v>
      </c>
      <c r="M3202" s="1">
        <v>0.74319999999999997</v>
      </c>
      <c r="N3202" s="1">
        <v>2.7E-2</v>
      </c>
      <c r="O3202" s="1">
        <v>1.35E-2</v>
      </c>
    </row>
    <row r="3203" spans="1:17">
      <c r="A3203" t="s">
        <v>199</v>
      </c>
      <c r="B3203">
        <v>73</v>
      </c>
      <c r="C3203" t="s">
        <v>200</v>
      </c>
      <c r="D3203">
        <v>962</v>
      </c>
      <c r="E3203" s="1">
        <v>1.5299999999999999E-2</v>
      </c>
      <c r="F3203" s="1">
        <v>0.2</v>
      </c>
      <c r="I3203" s="1">
        <v>1.5299999999999999E-2</v>
      </c>
      <c r="K3203" s="1">
        <v>0.1462</v>
      </c>
      <c r="L3203" s="1">
        <v>1.5299999999999999E-2</v>
      </c>
      <c r="M3203" s="1">
        <v>0.61099999999999999</v>
      </c>
      <c r="N3203" s="1">
        <v>8.0600000000000005E-2</v>
      </c>
      <c r="P3203" s="1">
        <v>3.2000000000000002E-3</v>
      </c>
    </row>
    <row r="3204" spans="1:17">
      <c r="A3204" t="s">
        <v>199</v>
      </c>
      <c r="B3204">
        <v>96</v>
      </c>
      <c r="C3204" t="s">
        <v>201</v>
      </c>
      <c r="D3204">
        <v>962</v>
      </c>
      <c r="F3204" s="1">
        <v>5.21E-2</v>
      </c>
      <c r="G3204" s="1">
        <v>1.04E-2</v>
      </c>
      <c r="I3204" s="1">
        <v>2.0799999999999999E-2</v>
      </c>
      <c r="J3204" s="1">
        <v>5.21E-2</v>
      </c>
      <c r="K3204" s="1">
        <v>1.04E-2</v>
      </c>
      <c r="L3204" s="1">
        <v>2.0799999999999999E-2</v>
      </c>
      <c r="M3204" s="1">
        <v>0.875</v>
      </c>
      <c r="N3204" s="1">
        <v>2.0799999999999999E-2</v>
      </c>
      <c r="O3204" s="1">
        <v>1.04E-2</v>
      </c>
    </row>
    <row r="3205" spans="1:17">
      <c r="A3205" t="s">
        <v>199</v>
      </c>
      <c r="B3205">
        <v>98</v>
      </c>
      <c r="C3205" t="s">
        <v>202</v>
      </c>
      <c r="D3205">
        <v>962</v>
      </c>
      <c r="E3205" s="1">
        <v>8.5000000000000006E-3</v>
      </c>
      <c r="F3205" s="1">
        <v>4.4600000000000001E-2</v>
      </c>
      <c r="G3205" s="1">
        <v>4.1999999999999997E-3</v>
      </c>
      <c r="I3205" s="1">
        <v>2.18E-2</v>
      </c>
      <c r="J3205" s="1">
        <v>8.2900000000000001E-2</v>
      </c>
      <c r="K3205" s="1">
        <v>6.2199999999999998E-2</v>
      </c>
      <c r="L3205" s="1">
        <v>4.3299999999999998E-2</v>
      </c>
      <c r="M3205" s="1">
        <v>0.83109999999999995</v>
      </c>
      <c r="N3205" s="1">
        <v>1.6400000000000001E-2</v>
      </c>
    </row>
    <row r="3206" spans="1:17">
      <c r="A3206" t="s">
        <v>199</v>
      </c>
      <c r="B3206">
        <v>76</v>
      </c>
      <c r="C3206" t="s">
        <v>203</v>
      </c>
      <c r="D3206">
        <v>962</v>
      </c>
      <c r="F3206" s="1">
        <v>2.5399999999999999E-2</v>
      </c>
      <c r="G3206" s="1">
        <v>9.7999999999999997E-3</v>
      </c>
      <c r="I3206" s="1">
        <v>8.5000000000000006E-3</v>
      </c>
      <c r="J3206" s="1">
        <v>4.5400000000000003E-2</v>
      </c>
      <c r="K3206" s="1">
        <v>6.3200000000000006E-2</v>
      </c>
      <c r="L3206" s="1">
        <v>3.8199999999999998E-2</v>
      </c>
      <c r="M3206" s="1">
        <v>0.80649999999999999</v>
      </c>
      <c r="N3206" s="1">
        <v>3.61E-2</v>
      </c>
      <c r="O3206" s="1">
        <v>1.8200000000000001E-2</v>
      </c>
    </row>
    <row r="3207" spans="1:17">
      <c r="A3207" t="s">
        <v>209</v>
      </c>
      <c r="B3207">
        <v>73</v>
      </c>
      <c r="C3207" t="s">
        <v>210</v>
      </c>
      <c r="D3207">
        <v>962</v>
      </c>
      <c r="E3207" s="1">
        <v>1.78E-2</v>
      </c>
      <c r="F3207" s="1">
        <v>4.41E-2</v>
      </c>
      <c r="G3207" s="1">
        <v>8.3999999999999995E-3</v>
      </c>
      <c r="I3207" s="1">
        <v>1.78E-2</v>
      </c>
      <c r="J3207" s="1">
        <v>3.56E-2</v>
      </c>
      <c r="K3207" s="1">
        <v>1.6799999999999999E-2</v>
      </c>
      <c r="M3207" s="1">
        <v>0.85</v>
      </c>
      <c r="N3207" s="1">
        <v>3.56E-2</v>
      </c>
      <c r="O3207" s="1">
        <v>1.78E-2</v>
      </c>
    </row>
    <row r="3208" spans="1:17">
      <c r="A3208" t="s">
        <v>209</v>
      </c>
      <c r="B3208">
        <v>96</v>
      </c>
      <c r="C3208" t="s">
        <v>211</v>
      </c>
      <c r="D3208">
        <v>962</v>
      </c>
      <c r="E3208" s="1">
        <v>1.6500000000000001E-2</v>
      </c>
      <c r="F3208" s="1">
        <v>5.9400000000000001E-2</v>
      </c>
      <c r="G3208" s="1">
        <v>1.2200000000000001E-2</v>
      </c>
      <c r="H3208" s="1">
        <v>1.6500000000000001E-2</v>
      </c>
      <c r="I3208" s="1">
        <v>2.6499999999999999E-2</v>
      </c>
      <c r="J3208" s="1">
        <v>9.5899999999999999E-2</v>
      </c>
      <c r="K3208" s="1">
        <v>5.2999999999999999E-2</v>
      </c>
      <c r="L3208" s="1">
        <v>1.9699999999999999E-2</v>
      </c>
      <c r="M3208" s="1">
        <v>0.79610000000000003</v>
      </c>
      <c r="O3208" s="1">
        <v>1.2200000000000001E-2</v>
      </c>
    </row>
    <row r="3209" spans="1:17">
      <c r="A3209" t="s">
        <v>209</v>
      </c>
      <c r="B3209">
        <v>85</v>
      </c>
      <c r="C3209" t="s">
        <v>212</v>
      </c>
      <c r="D3209">
        <v>962</v>
      </c>
      <c r="E3209" s="1">
        <v>1.4E-2</v>
      </c>
      <c r="F3209" s="1">
        <v>0.1</v>
      </c>
      <c r="H3209" s="1">
        <v>2.5000000000000001E-2</v>
      </c>
      <c r="I3209" s="1">
        <v>3.5200000000000002E-2</v>
      </c>
      <c r="J3209" s="1">
        <v>8.2799999999999999E-2</v>
      </c>
      <c r="K3209" s="1">
        <v>7.85E-2</v>
      </c>
      <c r="L3209" s="1">
        <v>3.9E-2</v>
      </c>
      <c r="M3209" s="1">
        <v>0.75209999999999999</v>
      </c>
      <c r="N3209" s="1">
        <v>6.0999999999999999E-2</v>
      </c>
      <c r="O3209" s="1">
        <v>2.3199999999999998E-2</v>
      </c>
    </row>
    <row r="3211" spans="1:17">
      <c r="A3211" t="s">
        <v>858</v>
      </c>
    </row>
    <row r="3212" spans="1:17">
      <c r="A3212" t="s">
        <v>214</v>
      </c>
      <c r="B3212" t="s">
        <v>189</v>
      </c>
      <c r="C3212" t="s">
        <v>195</v>
      </c>
      <c r="D3212" t="s">
        <v>190</v>
      </c>
      <c r="E3212" t="s">
        <v>196</v>
      </c>
      <c r="F3212" t="s">
        <v>228</v>
      </c>
      <c r="G3212" t="s">
        <v>849</v>
      </c>
      <c r="H3212" t="s">
        <v>850</v>
      </c>
      <c r="I3212" t="s">
        <v>851</v>
      </c>
      <c r="J3212" t="s">
        <v>852</v>
      </c>
      <c r="K3212" t="s">
        <v>853</v>
      </c>
      <c r="L3212" t="s">
        <v>854</v>
      </c>
      <c r="M3212" t="s">
        <v>855</v>
      </c>
      <c r="N3212" t="s">
        <v>276</v>
      </c>
      <c r="O3212" t="s">
        <v>278</v>
      </c>
      <c r="P3212" t="s">
        <v>856</v>
      </c>
      <c r="Q3212" t="s">
        <v>857</v>
      </c>
    </row>
    <row r="3213" spans="1:17">
      <c r="A3213" t="s">
        <v>198</v>
      </c>
      <c r="B3213" t="s">
        <v>197</v>
      </c>
      <c r="C3213">
        <v>962</v>
      </c>
      <c r="D3213" t="s">
        <v>198</v>
      </c>
      <c r="E3213">
        <v>962</v>
      </c>
      <c r="F3213" s="1">
        <v>4.3E-3</v>
      </c>
      <c r="G3213" s="1">
        <v>5.9700000000000003E-2</v>
      </c>
      <c r="H3213" s="1">
        <v>1.15E-2</v>
      </c>
      <c r="I3213" s="1">
        <v>2.93E-2</v>
      </c>
      <c r="J3213" s="1">
        <v>2.7E-2</v>
      </c>
      <c r="K3213" s="1">
        <v>5.7099999999999998E-2</v>
      </c>
      <c r="L3213" s="1">
        <v>4.9099999999999998E-2</v>
      </c>
      <c r="M3213" s="1">
        <v>3.2399999999999998E-2</v>
      </c>
      <c r="N3213" s="1">
        <v>0.7913</v>
      </c>
      <c r="O3213" s="1">
        <v>2.3900000000000001E-2</v>
      </c>
      <c r="P3213" s="1">
        <v>6.7000000000000002E-3</v>
      </c>
      <c r="Q3213" s="1">
        <v>2.0000000000000001E-4</v>
      </c>
    </row>
    <row r="3214" spans="1:17">
      <c r="A3214" t="s">
        <v>235</v>
      </c>
      <c r="B3214" t="s">
        <v>204</v>
      </c>
      <c r="C3214">
        <v>63</v>
      </c>
      <c r="D3214" t="s">
        <v>208</v>
      </c>
      <c r="E3214">
        <v>962</v>
      </c>
      <c r="G3214" s="1">
        <v>7.9399999999999998E-2</v>
      </c>
      <c r="J3214" s="1">
        <v>6.3500000000000001E-2</v>
      </c>
      <c r="K3214" s="1">
        <v>4.7600000000000003E-2</v>
      </c>
      <c r="L3214" s="1">
        <v>6.3500000000000001E-2</v>
      </c>
      <c r="M3214" s="1">
        <v>6.3500000000000001E-2</v>
      </c>
      <c r="N3214" s="1">
        <v>0.76190000000000002</v>
      </c>
      <c r="O3214" s="1">
        <v>1.5900000000000001E-2</v>
      </c>
      <c r="P3214" s="1">
        <v>1.5900000000000001E-2</v>
      </c>
    </row>
    <row r="3215" spans="1:17">
      <c r="A3215" t="s">
        <v>236</v>
      </c>
      <c r="B3215" t="s">
        <v>204</v>
      </c>
      <c r="C3215">
        <v>32</v>
      </c>
      <c r="D3215" t="s">
        <v>205</v>
      </c>
      <c r="E3215">
        <v>962</v>
      </c>
      <c r="G3215" s="1">
        <v>7.9100000000000004E-2</v>
      </c>
      <c r="I3215" s="1">
        <v>4.7600000000000003E-2</v>
      </c>
      <c r="K3215" s="1">
        <v>0.14460000000000001</v>
      </c>
      <c r="L3215" s="1">
        <v>0.154</v>
      </c>
      <c r="M3215" s="1">
        <v>4.7600000000000003E-2</v>
      </c>
      <c r="N3215" s="1">
        <v>0.67410000000000003</v>
      </c>
      <c r="O3215" s="1">
        <v>2.7300000000000001E-2</v>
      </c>
    </row>
    <row r="3216" spans="1:17">
      <c r="A3216" t="s">
        <v>235</v>
      </c>
      <c r="B3216" t="s">
        <v>204</v>
      </c>
      <c r="C3216">
        <v>58</v>
      </c>
      <c r="D3216" t="s">
        <v>205</v>
      </c>
      <c r="E3216">
        <v>962</v>
      </c>
      <c r="G3216" s="1">
        <v>7.1099999999999997E-2</v>
      </c>
      <c r="H3216" s="1">
        <v>3.8999999999999998E-3</v>
      </c>
      <c r="I3216" s="1">
        <v>0.1401</v>
      </c>
      <c r="J3216" s="1">
        <v>1.55E-2</v>
      </c>
      <c r="K3216" s="1">
        <v>4.4900000000000002E-2</v>
      </c>
      <c r="L3216" s="1">
        <v>2.4199999999999999E-2</v>
      </c>
      <c r="M3216" s="1">
        <v>1.1599999999999999E-2</v>
      </c>
      <c r="N3216" s="1">
        <v>0.74309999999999998</v>
      </c>
      <c r="O3216" s="1">
        <v>3.0000000000000001E-3</v>
      </c>
    </row>
    <row r="3217" spans="1:17" s="26" customFormat="1">
      <c r="A3217" s="26" t="s">
        <v>236</v>
      </c>
      <c r="B3217" s="26" t="s">
        <v>204</v>
      </c>
      <c r="C3217" s="26">
        <v>21</v>
      </c>
      <c r="D3217" s="26" t="s">
        <v>206</v>
      </c>
      <c r="E3217" s="26">
        <v>962</v>
      </c>
      <c r="F3217" s="27">
        <v>5.9700000000000003E-2</v>
      </c>
      <c r="H3217" s="27">
        <v>8.5500000000000007E-2</v>
      </c>
      <c r="L3217" s="27">
        <v>0.20499999999999999</v>
      </c>
      <c r="M3217" s="27">
        <v>8.5500000000000007E-2</v>
      </c>
      <c r="N3217" s="27">
        <v>0.64970000000000006</v>
      </c>
      <c r="O3217" s="27">
        <v>8.5500000000000007E-2</v>
      </c>
    </row>
    <row r="3218" spans="1:17">
      <c r="A3218" t="s">
        <v>235</v>
      </c>
      <c r="B3218" t="s">
        <v>204</v>
      </c>
      <c r="C3218">
        <v>47</v>
      </c>
      <c r="D3218" t="s">
        <v>206</v>
      </c>
      <c r="E3218">
        <v>962</v>
      </c>
      <c r="G3218" s="1">
        <v>5.16E-2</v>
      </c>
      <c r="J3218" s="1">
        <v>1.72E-2</v>
      </c>
      <c r="K3218" s="1">
        <v>4.1200000000000001E-2</v>
      </c>
      <c r="L3218" s="1">
        <v>5.8500000000000003E-2</v>
      </c>
      <c r="N3218" s="1">
        <v>0.8831</v>
      </c>
      <c r="O3218" s="1">
        <v>1.72E-2</v>
      </c>
    </row>
    <row r="3219" spans="1:17">
      <c r="A3219" t="s">
        <v>236</v>
      </c>
      <c r="B3219" t="s">
        <v>204</v>
      </c>
      <c r="C3219">
        <v>79</v>
      </c>
      <c r="D3219" t="s">
        <v>207</v>
      </c>
      <c r="E3219">
        <v>962</v>
      </c>
      <c r="G3219" s="1">
        <v>1.61E-2</v>
      </c>
      <c r="I3219" s="1">
        <v>3.7000000000000002E-3</v>
      </c>
      <c r="J3219" s="1">
        <v>0.1168</v>
      </c>
      <c r="K3219" s="1">
        <v>1.8700000000000001E-2</v>
      </c>
      <c r="L3219" s="1">
        <v>4.8599999999999997E-2</v>
      </c>
      <c r="M3219" s="1">
        <v>3.7000000000000002E-3</v>
      </c>
      <c r="N3219" s="1">
        <v>0.77539999999999998</v>
      </c>
      <c r="O3219" s="1">
        <v>5.1400000000000001E-2</v>
      </c>
    </row>
    <row r="3220" spans="1:17">
      <c r="A3220" t="s">
        <v>235</v>
      </c>
      <c r="B3220" t="s">
        <v>204</v>
      </c>
      <c r="C3220">
        <v>44</v>
      </c>
      <c r="D3220" t="s">
        <v>207</v>
      </c>
      <c r="E3220">
        <v>962</v>
      </c>
      <c r="G3220" s="1">
        <v>1.24E-2</v>
      </c>
      <c r="H3220" s="1">
        <v>7.8799999999999995E-2</v>
      </c>
      <c r="J3220" s="1">
        <v>4.0000000000000001E-3</v>
      </c>
      <c r="K3220" s="1">
        <v>8.2000000000000007E-3</v>
      </c>
      <c r="L3220" s="1">
        <v>1.61E-2</v>
      </c>
      <c r="M3220" s="1">
        <v>8.3000000000000004E-2</v>
      </c>
      <c r="N3220" s="1">
        <v>0.81159999999999999</v>
      </c>
      <c r="O3220" s="1">
        <v>4.3E-3</v>
      </c>
      <c r="Q3220" s="1">
        <v>1.6000000000000001E-3</v>
      </c>
    </row>
    <row r="3221" spans="1:17" s="26" customFormat="1">
      <c r="A3221" s="26" t="s">
        <v>236</v>
      </c>
      <c r="B3221" s="26" t="s">
        <v>204</v>
      </c>
      <c r="C3221" s="26">
        <v>11</v>
      </c>
      <c r="D3221" s="26" t="s">
        <v>208</v>
      </c>
      <c r="E3221" s="26">
        <v>962</v>
      </c>
      <c r="G3221" s="27">
        <v>9.0899999999999995E-2</v>
      </c>
      <c r="K3221" s="27">
        <v>0.18179999999999999</v>
      </c>
      <c r="L3221" s="27">
        <v>0.18179999999999999</v>
      </c>
      <c r="N3221" s="27">
        <v>0.63639999999999997</v>
      </c>
      <c r="O3221" s="27">
        <v>9.0899999999999995E-2</v>
      </c>
    </row>
    <row r="3222" spans="1:17">
      <c r="A3222" t="s">
        <v>235</v>
      </c>
      <c r="B3222" t="s">
        <v>199</v>
      </c>
      <c r="C3222">
        <v>44</v>
      </c>
      <c r="D3222" t="s">
        <v>203</v>
      </c>
      <c r="E3222">
        <v>962</v>
      </c>
      <c r="G3222" s="1">
        <v>2.63E-2</v>
      </c>
      <c r="K3222" s="1">
        <v>2.8299999999999999E-2</v>
      </c>
      <c r="L3222" s="1">
        <v>1.3100000000000001E-2</v>
      </c>
      <c r="M3222" s="1">
        <v>4.7399999999999998E-2</v>
      </c>
      <c r="N3222" s="1">
        <v>0.84009999999999996</v>
      </c>
      <c r="O3222" s="1">
        <v>5.6000000000000001E-2</v>
      </c>
      <c r="P3222" s="1">
        <v>1.5100000000000001E-2</v>
      </c>
    </row>
    <row r="3223" spans="1:17">
      <c r="A3223" t="s">
        <v>236</v>
      </c>
      <c r="B3223" t="s">
        <v>199</v>
      </c>
      <c r="C3223">
        <v>31</v>
      </c>
      <c r="D3223" t="s">
        <v>203</v>
      </c>
      <c r="E3223">
        <v>962</v>
      </c>
      <c r="G3223" s="1">
        <v>2.5899999999999999E-2</v>
      </c>
      <c r="H3223" s="1">
        <v>2.98E-2</v>
      </c>
      <c r="J3223" s="1">
        <v>2.5899999999999999E-2</v>
      </c>
      <c r="K3223" s="1">
        <v>8.2900000000000001E-2</v>
      </c>
      <c r="L3223" s="1">
        <v>0.16700000000000001</v>
      </c>
      <c r="M3223" s="1">
        <v>2.3300000000000001E-2</v>
      </c>
      <c r="N3223" s="1">
        <v>0.72419999999999995</v>
      </c>
      <c r="P3223" s="1">
        <v>2.5899999999999999E-2</v>
      </c>
    </row>
    <row r="3224" spans="1:17">
      <c r="A3224" t="s">
        <v>235</v>
      </c>
      <c r="B3224" t="s">
        <v>199</v>
      </c>
      <c r="C3224">
        <v>60</v>
      </c>
      <c r="D3224" t="s">
        <v>202</v>
      </c>
      <c r="E3224">
        <v>962</v>
      </c>
      <c r="F3224" s="1">
        <v>1.4800000000000001E-2</v>
      </c>
      <c r="G3224" s="1">
        <v>3.1E-2</v>
      </c>
      <c r="H3224" s="1">
        <v>7.4000000000000003E-3</v>
      </c>
      <c r="K3224" s="1">
        <v>3.8100000000000002E-2</v>
      </c>
      <c r="L3224" s="1">
        <v>3.0599999999999999E-2</v>
      </c>
      <c r="M3224" s="1">
        <v>2.86E-2</v>
      </c>
      <c r="N3224" s="1">
        <v>0.84299999999999997</v>
      </c>
      <c r="O3224" s="1">
        <v>2.86E-2</v>
      </c>
    </row>
    <row r="3225" spans="1:17" s="26" customFormat="1">
      <c r="A3225" s="26" t="s">
        <v>236</v>
      </c>
      <c r="B3225" s="26" t="s">
        <v>199</v>
      </c>
      <c r="C3225" s="26">
        <v>24</v>
      </c>
      <c r="D3225" s="26" t="s">
        <v>200</v>
      </c>
      <c r="E3225" s="26">
        <v>962</v>
      </c>
      <c r="F3225" s="27">
        <v>3.2599999999999997E-2</v>
      </c>
      <c r="G3225" s="27">
        <v>0.1782</v>
      </c>
      <c r="J3225" s="27">
        <v>3.2599999999999997E-2</v>
      </c>
      <c r="L3225" s="27">
        <v>0.13900000000000001</v>
      </c>
      <c r="M3225" s="27">
        <v>3.2599999999999997E-2</v>
      </c>
      <c r="N3225" s="27">
        <v>0.58509999999999995</v>
      </c>
      <c r="O3225" s="27">
        <v>3.9300000000000002E-2</v>
      </c>
    </row>
    <row r="3226" spans="1:17">
      <c r="A3226" t="s">
        <v>235</v>
      </c>
      <c r="B3226" t="s">
        <v>199</v>
      </c>
      <c r="C3226">
        <v>46</v>
      </c>
      <c r="D3226" t="s">
        <v>200</v>
      </c>
      <c r="E3226">
        <v>962</v>
      </c>
      <c r="G3226" s="1">
        <v>0.21540000000000001</v>
      </c>
      <c r="L3226" s="1">
        <v>0.151</v>
      </c>
      <c r="N3226" s="1">
        <v>0.63959999999999995</v>
      </c>
      <c r="O3226" s="1">
        <v>0.1181</v>
      </c>
      <c r="Q3226" s="1">
        <v>6.0000000000000001E-3</v>
      </c>
    </row>
    <row r="3227" spans="1:17">
      <c r="A3227" t="s">
        <v>236</v>
      </c>
      <c r="B3227" t="s">
        <v>199</v>
      </c>
      <c r="C3227">
        <v>37</v>
      </c>
      <c r="D3227" t="s">
        <v>202</v>
      </c>
      <c r="E3227">
        <v>962</v>
      </c>
      <c r="G3227" s="1">
        <v>6.5100000000000005E-2</v>
      </c>
      <c r="J3227" s="1">
        <v>5.2900000000000003E-2</v>
      </c>
      <c r="K3227" s="1">
        <v>0.14799999999999999</v>
      </c>
      <c r="L3227" s="1">
        <v>0.1081</v>
      </c>
      <c r="M3227" s="1">
        <v>6.5100000000000005E-2</v>
      </c>
      <c r="N3227" s="1">
        <v>0.80889999999999995</v>
      </c>
    </row>
    <row r="3228" spans="1:17">
      <c r="A3228" t="s">
        <v>235</v>
      </c>
      <c r="B3228" t="s">
        <v>199</v>
      </c>
      <c r="C3228">
        <v>96</v>
      </c>
      <c r="D3228" t="s">
        <v>201</v>
      </c>
      <c r="E3228">
        <v>962</v>
      </c>
      <c r="G3228" s="1">
        <v>5.21E-2</v>
      </c>
      <c r="H3228" s="1">
        <v>1.04E-2</v>
      </c>
      <c r="J3228" s="1">
        <v>2.0799999999999999E-2</v>
      </c>
      <c r="K3228" s="1">
        <v>5.21E-2</v>
      </c>
      <c r="L3228" s="1">
        <v>1.04E-2</v>
      </c>
      <c r="M3228" s="1">
        <v>2.0799999999999999E-2</v>
      </c>
      <c r="N3228" s="1">
        <v>0.875</v>
      </c>
      <c r="O3228" s="1">
        <v>2.0799999999999999E-2</v>
      </c>
      <c r="P3228" s="1">
        <v>1.04E-2</v>
      </c>
    </row>
    <row r="3229" spans="1:17">
      <c r="A3229" t="s">
        <v>236</v>
      </c>
      <c r="B3229" t="s">
        <v>209</v>
      </c>
      <c r="C3229">
        <v>38</v>
      </c>
      <c r="D3229" t="s">
        <v>211</v>
      </c>
      <c r="E3229">
        <v>962</v>
      </c>
      <c r="F3229" s="1">
        <v>4.7E-2</v>
      </c>
      <c r="G3229" s="1">
        <v>9.11E-2</v>
      </c>
      <c r="I3229" s="1">
        <v>1.2200000000000001E-2</v>
      </c>
      <c r="K3229" s="1">
        <v>0.1545</v>
      </c>
      <c r="L3229" s="1">
        <v>3.4799999999999998E-2</v>
      </c>
      <c r="M3229" s="1">
        <v>5.6300000000000003E-2</v>
      </c>
      <c r="N3229" s="1">
        <v>0.73919999999999997</v>
      </c>
    </row>
    <row r="3230" spans="1:17">
      <c r="A3230" t="s">
        <v>235</v>
      </c>
      <c r="B3230" t="s">
        <v>209</v>
      </c>
      <c r="C3230">
        <v>56</v>
      </c>
      <c r="D3230" t="s">
        <v>211</v>
      </c>
      <c r="E3230">
        <v>962</v>
      </c>
      <c r="G3230" s="1">
        <v>4.4499999999999998E-2</v>
      </c>
      <c r="H3230" s="1">
        <v>1.9599999999999999E-2</v>
      </c>
      <c r="I3230" s="1">
        <v>1.9599999999999999E-2</v>
      </c>
      <c r="J3230" s="1">
        <v>4.2700000000000002E-2</v>
      </c>
      <c r="K3230" s="1">
        <v>6.7599999999999993E-2</v>
      </c>
      <c r="L3230" s="1">
        <v>6.59E-2</v>
      </c>
      <c r="N3230" s="1">
        <v>0.81799999999999995</v>
      </c>
      <c r="P3230" s="1">
        <v>1.9599999999999999E-2</v>
      </c>
    </row>
    <row r="3231" spans="1:17">
      <c r="A3231" t="s">
        <v>235</v>
      </c>
      <c r="B3231" t="s">
        <v>209</v>
      </c>
      <c r="C3231">
        <v>67</v>
      </c>
      <c r="D3231" t="s">
        <v>212</v>
      </c>
      <c r="E3231">
        <v>962</v>
      </c>
      <c r="F3231" s="1">
        <v>1.6199999999999999E-2</v>
      </c>
      <c r="G3231" s="1">
        <v>9.6000000000000002E-2</v>
      </c>
      <c r="I3231" s="1">
        <v>1.5599999999999999E-2</v>
      </c>
      <c r="J3231" s="1">
        <v>3.2399999999999998E-2</v>
      </c>
      <c r="K3231" s="1">
        <v>8.7599999999999997E-2</v>
      </c>
      <c r="L3231" s="1">
        <v>6.4199999999999993E-2</v>
      </c>
      <c r="M3231" s="1">
        <v>3.1800000000000002E-2</v>
      </c>
      <c r="N3231" s="1">
        <v>0.76770000000000005</v>
      </c>
      <c r="O3231" s="1">
        <v>7.0800000000000002E-2</v>
      </c>
    </row>
    <row r="3232" spans="1:17" s="26" customFormat="1">
      <c r="A3232" s="26" t="s">
        <v>236</v>
      </c>
      <c r="B3232" s="26" t="s">
        <v>209</v>
      </c>
      <c r="C3232" s="26">
        <v>18</v>
      </c>
      <c r="D3232" s="26" t="s">
        <v>212</v>
      </c>
      <c r="E3232" s="26">
        <v>962</v>
      </c>
      <c r="G3232" s="27">
        <v>0.125</v>
      </c>
      <c r="I3232" s="27">
        <v>8.3900000000000002E-2</v>
      </c>
      <c r="J3232" s="27">
        <v>5.2499999999999998E-2</v>
      </c>
      <c r="K3232" s="27">
        <v>5.2499999999999998E-2</v>
      </c>
      <c r="L3232" s="27">
        <v>0.16789999999999999</v>
      </c>
      <c r="M3232" s="27">
        <v>8.3900000000000002E-2</v>
      </c>
      <c r="N3232" s="27">
        <v>0.65459999999999996</v>
      </c>
      <c r="P3232" s="27">
        <v>0.16789999999999999</v>
      </c>
    </row>
    <row r="3233" spans="1:16">
      <c r="A3233" t="s">
        <v>236</v>
      </c>
      <c r="B3233" t="s">
        <v>209</v>
      </c>
      <c r="C3233">
        <v>38</v>
      </c>
      <c r="D3233" t="s">
        <v>210</v>
      </c>
      <c r="E3233">
        <v>962</v>
      </c>
      <c r="F3233" s="1">
        <v>4.3099999999999999E-2</v>
      </c>
      <c r="G3233" s="1">
        <v>2.0299999999999999E-2</v>
      </c>
      <c r="H3233" s="1">
        <v>2.0299999999999999E-2</v>
      </c>
      <c r="L3233" s="1">
        <v>4.07E-2</v>
      </c>
      <c r="N3233" s="1">
        <v>0.85289999999999999</v>
      </c>
      <c r="P3233" s="1">
        <v>4.3099999999999999E-2</v>
      </c>
    </row>
    <row r="3234" spans="1:16">
      <c r="A3234" t="s">
        <v>235</v>
      </c>
      <c r="B3234" t="s">
        <v>209</v>
      </c>
      <c r="C3234">
        <v>32</v>
      </c>
      <c r="D3234" t="s">
        <v>210</v>
      </c>
      <c r="E3234">
        <v>962</v>
      </c>
      <c r="G3234" s="1">
        <v>6.4600000000000005E-2</v>
      </c>
      <c r="J3234" s="1">
        <v>3.2300000000000002E-2</v>
      </c>
      <c r="K3234" s="1">
        <v>6.4600000000000005E-2</v>
      </c>
      <c r="N3234" s="1">
        <v>0.83840000000000003</v>
      </c>
      <c r="O3234" s="1">
        <v>6.4600000000000005E-2</v>
      </c>
    </row>
    <row r="3236" spans="1:16">
      <c r="A3236" t="s">
        <v>859</v>
      </c>
    </row>
    <row r="3237" spans="1:16">
      <c r="A3237" t="s">
        <v>189</v>
      </c>
      <c r="B3237" t="s">
        <v>195</v>
      </c>
      <c r="C3237" t="s">
        <v>190</v>
      </c>
      <c r="D3237" t="s">
        <v>196</v>
      </c>
      <c r="E3237" t="s">
        <v>228</v>
      </c>
      <c r="F3237" t="s">
        <v>860</v>
      </c>
      <c r="G3237" t="s">
        <v>276</v>
      </c>
      <c r="H3237" t="s">
        <v>278</v>
      </c>
      <c r="I3237" t="s">
        <v>861</v>
      </c>
      <c r="J3237" t="s">
        <v>862</v>
      </c>
      <c r="K3237" t="s">
        <v>863</v>
      </c>
    </row>
    <row r="3238" spans="1:16">
      <c r="A3238" t="s">
        <v>197</v>
      </c>
      <c r="B3238">
        <v>966</v>
      </c>
      <c r="C3238" t="s">
        <v>198</v>
      </c>
      <c r="D3238">
        <v>966</v>
      </c>
      <c r="E3238" s="1">
        <v>2.58E-2</v>
      </c>
      <c r="F3238" s="1">
        <v>1.15E-2</v>
      </c>
      <c r="G3238" s="1">
        <v>0.90339999999999998</v>
      </c>
      <c r="H3238" s="1">
        <v>2.8E-3</v>
      </c>
      <c r="I3238" s="1">
        <v>2.5700000000000001E-2</v>
      </c>
      <c r="J3238" s="1">
        <v>2.1299999999999999E-2</v>
      </c>
      <c r="K3238" s="1">
        <v>5.3400000000000003E-2</v>
      </c>
    </row>
    <row r="3239" spans="1:16">
      <c r="A3239" t="s">
        <v>204</v>
      </c>
      <c r="B3239">
        <v>91</v>
      </c>
      <c r="C3239" t="s">
        <v>205</v>
      </c>
      <c r="D3239">
        <v>966</v>
      </c>
      <c r="E3239" s="1">
        <v>5.0200000000000002E-2</v>
      </c>
      <c r="F3239" s="1">
        <v>2.3999999999999998E-3</v>
      </c>
      <c r="G3239" s="1">
        <v>0.91</v>
      </c>
      <c r="H3239" s="1">
        <v>2.3999999999999998E-3</v>
      </c>
      <c r="I3239" s="1">
        <v>3.4200000000000001E-2</v>
      </c>
      <c r="J3239" s="1">
        <v>2.0899999999999998E-2</v>
      </c>
      <c r="K3239" s="1">
        <v>3.5000000000000003E-2</v>
      </c>
    </row>
    <row r="3240" spans="1:16">
      <c r="A3240" t="s">
        <v>204</v>
      </c>
      <c r="B3240">
        <v>72</v>
      </c>
      <c r="C3240" t="s">
        <v>206</v>
      </c>
      <c r="D3240">
        <v>966</v>
      </c>
      <c r="F3240" s="1">
        <v>8.1299999999999997E-2</v>
      </c>
      <c r="G3240" s="1">
        <v>0.73040000000000005</v>
      </c>
      <c r="I3240" s="1">
        <v>0.1371</v>
      </c>
      <c r="J3240" s="1">
        <v>2.7900000000000001E-2</v>
      </c>
      <c r="K3240" s="1">
        <v>0.2417</v>
      </c>
    </row>
    <row r="3241" spans="1:16">
      <c r="A3241" t="s">
        <v>204</v>
      </c>
      <c r="B3241">
        <v>129</v>
      </c>
      <c r="C3241" t="s">
        <v>207</v>
      </c>
      <c r="D3241">
        <v>966</v>
      </c>
      <c r="E3241" s="1">
        <v>5.0700000000000002E-2</v>
      </c>
      <c r="F3241" s="1">
        <v>1.61E-2</v>
      </c>
      <c r="G3241" s="1">
        <v>0.90720000000000001</v>
      </c>
      <c r="H3241" s="1">
        <v>8.9999999999999998E-4</v>
      </c>
      <c r="I3241" s="1">
        <v>1.41E-2</v>
      </c>
      <c r="J3241" s="1">
        <v>1.37E-2</v>
      </c>
      <c r="K3241" s="1">
        <v>3.0300000000000001E-2</v>
      </c>
    </row>
    <row r="3242" spans="1:16">
      <c r="A3242" t="s">
        <v>204</v>
      </c>
      <c r="B3242">
        <v>74</v>
      </c>
      <c r="C3242" t="s">
        <v>208</v>
      </c>
      <c r="D3242">
        <v>966</v>
      </c>
      <c r="E3242" s="1">
        <v>1.35E-2</v>
      </c>
      <c r="G3242" s="1">
        <v>0.90539999999999998</v>
      </c>
      <c r="I3242" s="1">
        <v>2.7E-2</v>
      </c>
      <c r="J3242" s="1">
        <v>2.7E-2</v>
      </c>
      <c r="K3242" s="1">
        <v>6.7599999999999993E-2</v>
      </c>
    </row>
    <row r="3243" spans="1:16">
      <c r="A3243" t="s">
        <v>199</v>
      </c>
      <c r="B3243">
        <v>73</v>
      </c>
      <c r="C3243" t="s">
        <v>200</v>
      </c>
      <c r="D3243">
        <v>966</v>
      </c>
      <c r="F3243" s="1">
        <v>1.6000000000000001E-3</v>
      </c>
      <c r="G3243" s="1">
        <v>0.9284</v>
      </c>
      <c r="I3243" s="1">
        <v>6.6799999999999998E-2</v>
      </c>
      <c r="J3243" s="1">
        <v>6.2100000000000002E-2</v>
      </c>
      <c r="K3243" s="1">
        <v>6.6799999999999998E-2</v>
      </c>
    </row>
    <row r="3244" spans="1:16">
      <c r="A3244" t="s">
        <v>199</v>
      </c>
      <c r="B3244">
        <v>96</v>
      </c>
      <c r="C3244" t="s">
        <v>201</v>
      </c>
      <c r="D3244">
        <v>966</v>
      </c>
      <c r="F3244" s="1">
        <v>1.04E-2</v>
      </c>
      <c r="G3244" s="1">
        <v>0.96879999999999999</v>
      </c>
      <c r="I3244" s="1">
        <v>1.04E-2</v>
      </c>
      <c r="J3244" s="1">
        <v>1.04E-2</v>
      </c>
      <c r="K3244" s="1">
        <v>1.04E-2</v>
      </c>
    </row>
    <row r="3245" spans="1:16">
      <c r="A3245" t="s">
        <v>199</v>
      </c>
      <c r="B3245">
        <v>98</v>
      </c>
      <c r="C3245" t="s">
        <v>202</v>
      </c>
      <c r="D3245">
        <v>966</v>
      </c>
      <c r="E3245" s="1">
        <v>2.5700000000000001E-2</v>
      </c>
      <c r="F3245" s="1">
        <v>1.35E-2</v>
      </c>
      <c r="G3245" s="1">
        <v>0.87119999999999997</v>
      </c>
      <c r="H3245" s="1">
        <v>1.35E-2</v>
      </c>
      <c r="J3245" s="1">
        <v>1.35E-2</v>
      </c>
      <c r="K3245" s="1">
        <v>8.9499999999999996E-2</v>
      </c>
    </row>
    <row r="3246" spans="1:16">
      <c r="A3246" t="s">
        <v>199</v>
      </c>
      <c r="B3246">
        <v>77</v>
      </c>
      <c r="C3246" t="s">
        <v>203</v>
      </c>
      <c r="D3246">
        <v>966</v>
      </c>
      <c r="F3246" s="1">
        <v>1.9E-2</v>
      </c>
      <c r="G3246" s="1">
        <v>0.89549999999999996</v>
      </c>
      <c r="I3246" s="1">
        <v>5.1200000000000002E-2</v>
      </c>
      <c r="J3246" s="1">
        <v>4.3799999999999999E-2</v>
      </c>
      <c r="K3246" s="1">
        <v>8.2199999999999995E-2</v>
      </c>
    </row>
    <row r="3247" spans="1:16">
      <c r="A3247" t="s">
        <v>209</v>
      </c>
      <c r="B3247">
        <v>74</v>
      </c>
      <c r="C3247" t="s">
        <v>210</v>
      </c>
      <c r="D3247">
        <v>966</v>
      </c>
      <c r="E3247" s="1">
        <v>8.3000000000000001E-3</v>
      </c>
      <c r="F3247" s="1">
        <v>5.9400000000000001E-2</v>
      </c>
      <c r="G3247" s="1">
        <v>0.60240000000000005</v>
      </c>
      <c r="H3247" s="1">
        <v>2.5999999999999999E-2</v>
      </c>
      <c r="I3247" s="1">
        <v>0.1885</v>
      </c>
      <c r="J3247" s="1">
        <v>5.1999999999999998E-2</v>
      </c>
      <c r="K3247" s="1">
        <v>0.29549999999999998</v>
      </c>
    </row>
    <row r="3248" spans="1:16">
      <c r="A3248" t="s">
        <v>209</v>
      </c>
      <c r="B3248">
        <v>97</v>
      </c>
      <c r="C3248" t="s">
        <v>211</v>
      </c>
      <c r="D3248">
        <v>966</v>
      </c>
      <c r="F3248" s="1">
        <v>5.2299999999999999E-2</v>
      </c>
      <c r="G3248" s="1">
        <v>0.82889999999999997</v>
      </c>
      <c r="I3248" s="1">
        <v>0.10249999999999999</v>
      </c>
      <c r="J3248" s="1">
        <v>4.5999999999999999E-2</v>
      </c>
      <c r="K3248" s="1">
        <v>0.14280000000000001</v>
      </c>
    </row>
    <row r="3249" spans="1:12">
      <c r="A3249" t="s">
        <v>209</v>
      </c>
      <c r="B3249">
        <v>85</v>
      </c>
      <c r="C3249" t="s">
        <v>212</v>
      </c>
      <c r="D3249">
        <v>966</v>
      </c>
      <c r="E3249" s="1">
        <v>2.7400000000000001E-2</v>
      </c>
      <c r="G3249" s="1">
        <v>0.87719999999999998</v>
      </c>
      <c r="I3249" s="1">
        <v>1.4E-2</v>
      </c>
      <c r="J3249" s="1">
        <v>2.7900000000000001E-2</v>
      </c>
      <c r="K3249" s="1">
        <v>5.3499999999999999E-2</v>
      </c>
    </row>
    <row r="3251" spans="1:12">
      <c r="A3251" t="s">
        <v>864</v>
      </c>
    </row>
    <row r="3252" spans="1:12">
      <c r="A3252" t="s">
        <v>214</v>
      </c>
      <c r="B3252" t="s">
        <v>189</v>
      </c>
      <c r="C3252" t="s">
        <v>195</v>
      </c>
      <c r="D3252" t="s">
        <v>190</v>
      </c>
      <c r="E3252" t="s">
        <v>196</v>
      </c>
      <c r="F3252" t="s">
        <v>228</v>
      </c>
      <c r="G3252" t="s">
        <v>860</v>
      </c>
      <c r="H3252" t="s">
        <v>276</v>
      </c>
      <c r="I3252" t="s">
        <v>278</v>
      </c>
      <c r="J3252" t="s">
        <v>861</v>
      </c>
      <c r="K3252" t="s">
        <v>862</v>
      </c>
      <c r="L3252" t="s">
        <v>863</v>
      </c>
    </row>
    <row r="3253" spans="1:12">
      <c r="A3253" t="s">
        <v>198</v>
      </c>
      <c r="B3253" t="s">
        <v>197</v>
      </c>
      <c r="C3253">
        <v>966</v>
      </c>
      <c r="D3253" t="s">
        <v>198</v>
      </c>
      <c r="E3253">
        <v>966</v>
      </c>
      <c r="F3253" s="1">
        <v>2.58E-2</v>
      </c>
      <c r="G3253" s="1">
        <v>1.15E-2</v>
      </c>
      <c r="H3253" s="1">
        <v>0.90339999999999998</v>
      </c>
      <c r="I3253" s="1">
        <v>2.8E-3</v>
      </c>
      <c r="J3253" s="1">
        <v>2.5700000000000001E-2</v>
      </c>
      <c r="K3253" s="1">
        <v>2.1299999999999999E-2</v>
      </c>
      <c r="L3253" s="1">
        <v>5.3400000000000003E-2</v>
      </c>
    </row>
    <row r="3254" spans="1:12">
      <c r="A3254" t="s">
        <v>235</v>
      </c>
      <c r="B3254" t="s">
        <v>204</v>
      </c>
      <c r="C3254">
        <v>63</v>
      </c>
      <c r="D3254" t="s">
        <v>208</v>
      </c>
      <c r="E3254">
        <v>966</v>
      </c>
      <c r="H3254" s="1">
        <v>0.9365</v>
      </c>
      <c r="J3254" s="1">
        <v>3.1699999999999999E-2</v>
      </c>
      <c r="K3254" s="1">
        <v>1.5900000000000001E-2</v>
      </c>
      <c r="L3254" s="1">
        <v>6.3500000000000001E-2</v>
      </c>
    </row>
    <row r="3255" spans="1:12">
      <c r="A3255" t="s">
        <v>236</v>
      </c>
      <c r="B3255" t="s">
        <v>204</v>
      </c>
      <c r="C3255">
        <v>32</v>
      </c>
      <c r="D3255" t="s">
        <v>205</v>
      </c>
      <c r="E3255">
        <v>966</v>
      </c>
      <c r="F3255" s="1">
        <v>7.5600000000000001E-2</v>
      </c>
      <c r="G3255" s="1">
        <v>1.37E-2</v>
      </c>
      <c r="H3255" s="1">
        <v>0.86560000000000004</v>
      </c>
      <c r="I3255" s="1">
        <v>1.37E-2</v>
      </c>
      <c r="J3255" s="1">
        <v>2.7300000000000001E-2</v>
      </c>
      <c r="L3255" s="1">
        <v>3.15E-2</v>
      </c>
    </row>
    <row r="3256" spans="1:12">
      <c r="A3256" t="s">
        <v>235</v>
      </c>
      <c r="B3256" t="s">
        <v>204</v>
      </c>
      <c r="C3256">
        <v>58</v>
      </c>
      <c r="D3256" t="s">
        <v>205</v>
      </c>
      <c r="E3256">
        <v>966</v>
      </c>
      <c r="F3256" s="1">
        <v>4.48E-2</v>
      </c>
      <c r="H3256" s="1">
        <v>0.9194</v>
      </c>
      <c r="J3256" s="1">
        <v>3.5799999999999998E-2</v>
      </c>
      <c r="K3256" s="1">
        <v>2.5499999999999998E-2</v>
      </c>
      <c r="L3256" s="1">
        <v>3.5799999999999998E-2</v>
      </c>
    </row>
    <row r="3257" spans="1:12" s="26" customFormat="1">
      <c r="A3257" s="26" t="s">
        <v>236</v>
      </c>
      <c r="B3257" s="26" t="s">
        <v>204</v>
      </c>
      <c r="C3257" s="26">
        <v>21</v>
      </c>
      <c r="D3257" s="26" t="s">
        <v>206</v>
      </c>
      <c r="E3257" s="26">
        <v>966</v>
      </c>
      <c r="G3257" s="27">
        <v>0.1792</v>
      </c>
      <c r="H3257" s="27">
        <v>0.71830000000000005</v>
      </c>
      <c r="J3257" s="27">
        <v>0.28170000000000001</v>
      </c>
      <c r="K3257" s="27">
        <v>0.10249999999999999</v>
      </c>
      <c r="L3257" s="27">
        <v>0.222</v>
      </c>
    </row>
    <row r="3258" spans="1:12">
      <c r="A3258" t="s">
        <v>235</v>
      </c>
      <c r="B3258" t="s">
        <v>204</v>
      </c>
      <c r="C3258">
        <v>47</v>
      </c>
      <c r="D3258" t="s">
        <v>206</v>
      </c>
      <c r="E3258">
        <v>966</v>
      </c>
      <c r="G3258" s="1">
        <v>4.8099999999999997E-2</v>
      </c>
      <c r="H3258" s="1">
        <v>0.73199999999999998</v>
      </c>
      <c r="J3258" s="1">
        <v>7.2099999999999997E-2</v>
      </c>
      <c r="L3258" s="1">
        <v>0.26800000000000002</v>
      </c>
    </row>
    <row r="3259" spans="1:12">
      <c r="A3259" t="s">
        <v>236</v>
      </c>
      <c r="B3259" t="s">
        <v>204</v>
      </c>
      <c r="C3259">
        <v>79</v>
      </c>
      <c r="D3259" t="s">
        <v>207</v>
      </c>
      <c r="E3259">
        <v>966</v>
      </c>
      <c r="F3259" s="1">
        <v>1.26E-2</v>
      </c>
      <c r="G3259" s="1">
        <v>1.46E-2</v>
      </c>
      <c r="H3259" s="1">
        <v>0.93130000000000002</v>
      </c>
      <c r="J3259" s="1">
        <v>2.3599999999999999E-2</v>
      </c>
      <c r="K3259" s="1">
        <v>1.46E-2</v>
      </c>
      <c r="L3259" s="1">
        <v>4.9799999999999997E-2</v>
      </c>
    </row>
    <row r="3260" spans="1:12">
      <c r="A3260" t="s">
        <v>235</v>
      </c>
      <c r="B3260" t="s">
        <v>204</v>
      </c>
      <c r="C3260">
        <v>45</v>
      </c>
      <c r="D3260" t="s">
        <v>207</v>
      </c>
      <c r="E3260">
        <v>966</v>
      </c>
      <c r="F3260" s="1">
        <v>7.8299999999999995E-2</v>
      </c>
      <c r="G3260" s="1">
        <v>1.7500000000000002E-2</v>
      </c>
      <c r="H3260" s="1">
        <v>0.88839999999999997</v>
      </c>
      <c r="I3260" s="1">
        <v>1.6000000000000001E-3</v>
      </c>
      <c r="J3260" s="1">
        <v>7.9000000000000008E-3</v>
      </c>
      <c r="K3260" s="1">
        <v>1.3299999999999999E-2</v>
      </c>
      <c r="L3260" s="1">
        <v>1.7399999999999999E-2</v>
      </c>
    </row>
    <row r="3261" spans="1:12" s="26" customFormat="1">
      <c r="A3261" s="26" t="s">
        <v>236</v>
      </c>
      <c r="B3261" s="26" t="s">
        <v>204</v>
      </c>
      <c r="C3261" s="26">
        <v>11</v>
      </c>
      <c r="D3261" s="26" t="s">
        <v>208</v>
      </c>
      <c r="E3261" s="26">
        <v>966</v>
      </c>
      <c r="F3261" s="27">
        <v>9.0899999999999995E-2</v>
      </c>
      <c r="H3261" s="27">
        <v>0.72729999999999995</v>
      </c>
      <c r="K3261" s="27">
        <v>9.0899999999999995E-2</v>
      </c>
      <c r="L3261" s="27">
        <v>9.0899999999999995E-2</v>
      </c>
    </row>
    <row r="3262" spans="1:12">
      <c r="A3262" t="s">
        <v>235</v>
      </c>
      <c r="B3262" t="s">
        <v>199</v>
      </c>
      <c r="C3262">
        <v>44</v>
      </c>
      <c r="D3262" t="s">
        <v>203</v>
      </c>
      <c r="E3262">
        <v>966</v>
      </c>
      <c r="H3262" s="1">
        <v>0.92169999999999996</v>
      </c>
      <c r="J3262" s="1">
        <v>2.3699999999999999E-2</v>
      </c>
      <c r="K3262" s="1">
        <v>1.18E-2</v>
      </c>
      <c r="L3262" s="1">
        <v>4.2799999999999998E-2</v>
      </c>
    </row>
    <row r="3263" spans="1:12">
      <c r="A3263" t="s">
        <v>236</v>
      </c>
      <c r="B3263" t="s">
        <v>199</v>
      </c>
      <c r="C3263">
        <v>32</v>
      </c>
      <c r="D3263" t="s">
        <v>203</v>
      </c>
      <c r="E3263">
        <v>966</v>
      </c>
      <c r="G3263" s="1">
        <v>5.5E-2</v>
      </c>
      <c r="H3263" s="1">
        <v>0.83979999999999999</v>
      </c>
      <c r="J3263" s="1">
        <v>0.1052</v>
      </c>
      <c r="K3263" s="1">
        <v>0.1052</v>
      </c>
      <c r="L3263" s="1">
        <v>0.16020000000000001</v>
      </c>
    </row>
    <row r="3264" spans="1:12">
      <c r="A3264" t="s">
        <v>235</v>
      </c>
      <c r="B3264" t="s">
        <v>199</v>
      </c>
      <c r="C3264">
        <v>60</v>
      </c>
      <c r="D3264" t="s">
        <v>202</v>
      </c>
      <c r="E3264">
        <v>966</v>
      </c>
      <c r="F3264" s="1">
        <v>2.1299999999999999E-2</v>
      </c>
      <c r="H3264" s="1">
        <v>0.89349999999999996</v>
      </c>
      <c r="L3264" s="1">
        <v>8.5300000000000001E-2</v>
      </c>
    </row>
    <row r="3265" spans="1:12" s="26" customFormat="1">
      <c r="A3265" s="26" t="s">
        <v>236</v>
      </c>
      <c r="B3265" s="26" t="s">
        <v>199</v>
      </c>
      <c r="C3265" s="26">
        <v>24</v>
      </c>
      <c r="D3265" s="26" t="s">
        <v>200</v>
      </c>
      <c r="E3265" s="26">
        <v>966</v>
      </c>
      <c r="G3265" s="27">
        <v>3.3999999999999998E-3</v>
      </c>
      <c r="H3265" s="27">
        <v>0.86770000000000003</v>
      </c>
      <c r="J3265" s="27">
        <v>0.1323</v>
      </c>
      <c r="K3265" s="27">
        <v>0.1323</v>
      </c>
      <c r="L3265" s="27">
        <v>0.1323</v>
      </c>
    </row>
    <row r="3266" spans="1:12">
      <c r="A3266" t="s">
        <v>235</v>
      </c>
      <c r="B3266" t="s">
        <v>199</v>
      </c>
      <c r="C3266">
        <v>46</v>
      </c>
      <c r="D3266" t="s">
        <v>200</v>
      </c>
      <c r="E3266">
        <v>966</v>
      </c>
      <c r="H3266" s="1">
        <v>0.98499999999999999</v>
      </c>
      <c r="J3266" s="1">
        <v>6.0000000000000001E-3</v>
      </c>
      <c r="L3266" s="1">
        <v>8.9999999999999993E-3</v>
      </c>
    </row>
    <row r="3267" spans="1:12">
      <c r="A3267" t="s">
        <v>236</v>
      </c>
      <c r="B3267" t="s">
        <v>199</v>
      </c>
      <c r="C3267">
        <v>37</v>
      </c>
      <c r="D3267" t="s">
        <v>202</v>
      </c>
      <c r="E3267">
        <v>966</v>
      </c>
      <c r="F3267" s="1">
        <v>3.2800000000000003E-2</v>
      </c>
      <c r="G3267" s="1">
        <v>3.2800000000000003E-2</v>
      </c>
      <c r="H3267" s="1">
        <v>0.86880000000000002</v>
      </c>
      <c r="I3267" s="1">
        <v>3.2800000000000003E-2</v>
      </c>
      <c r="L3267" s="1">
        <v>6.5600000000000006E-2</v>
      </c>
    </row>
    <row r="3268" spans="1:12">
      <c r="A3268" t="s">
        <v>235</v>
      </c>
      <c r="B3268" t="s">
        <v>199</v>
      </c>
      <c r="C3268">
        <v>96</v>
      </c>
      <c r="D3268" t="s">
        <v>201</v>
      </c>
      <c r="E3268">
        <v>966</v>
      </c>
      <c r="G3268" s="1">
        <v>1.04E-2</v>
      </c>
      <c r="H3268" s="1">
        <v>0.96879999999999999</v>
      </c>
      <c r="J3268" s="1">
        <v>1.04E-2</v>
      </c>
      <c r="K3268" s="1">
        <v>1.04E-2</v>
      </c>
      <c r="L3268" s="1">
        <v>1.04E-2</v>
      </c>
    </row>
    <row r="3269" spans="1:12">
      <c r="A3269" t="s">
        <v>236</v>
      </c>
      <c r="B3269" t="s">
        <v>209</v>
      </c>
      <c r="C3269">
        <v>39</v>
      </c>
      <c r="D3269" t="s">
        <v>211</v>
      </c>
      <c r="E3269">
        <v>966</v>
      </c>
      <c r="G3269" s="1">
        <v>7.9100000000000004E-2</v>
      </c>
      <c r="H3269" s="1">
        <v>0.7964</v>
      </c>
      <c r="J3269" s="1">
        <v>0.15809999999999999</v>
      </c>
      <c r="K3269" s="1">
        <v>3.3599999999999998E-2</v>
      </c>
      <c r="L3269" s="1">
        <v>0.15809999999999999</v>
      </c>
    </row>
    <row r="3270" spans="1:12">
      <c r="A3270" t="s">
        <v>235</v>
      </c>
      <c r="B3270" t="s">
        <v>209</v>
      </c>
      <c r="C3270">
        <v>56</v>
      </c>
      <c r="D3270" t="s">
        <v>211</v>
      </c>
      <c r="E3270">
        <v>966</v>
      </c>
      <c r="G3270" s="1">
        <v>3.9300000000000002E-2</v>
      </c>
      <c r="H3270" s="1">
        <v>0.83940000000000003</v>
      </c>
      <c r="J3270" s="1">
        <v>7.51E-2</v>
      </c>
      <c r="K3270" s="1">
        <v>5.5399999999999998E-2</v>
      </c>
      <c r="L3270" s="1">
        <v>0.1409</v>
      </c>
    </row>
    <row r="3271" spans="1:12">
      <c r="A3271" t="s">
        <v>235</v>
      </c>
      <c r="B3271" t="s">
        <v>209</v>
      </c>
      <c r="C3271">
        <v>67</v>
      </c>
      <c r="D3271" t="s">
        <v>212</v>
      </c>
      <c r="E3271">
        <v>966</v>
      </c>
      <c r="F3271" s="1">
        <v>3.1800000000000002E-2</v>
      </c>
      <c r="H3271" s="1">
        <v>0.87090000000000001</v>
      </c>
      <c r="J3271" s="1">
        <v>1.6199999999999999E-2</v>
      </c>
      <c r="K3271" s="1">
        <v>3.2399999999999998E-2</v>
      </c>
      <c r="L3271" s="1">
        <v>4.8599999999999997E-2</v>
      </c>
    </row>
    <row r="3272" spans="1:12" s="26" customFormat="1">
      <c r="A3272" s="26" t="s">
        <v>236</v>
      </c>
      <c r="B3272" s="26" t="s">
        <v>209</v>
      </c>
      <c r="C3272" s="26">
        <v>18</v>
      </c>
      <c r="D3272" s="26" t="s">
        <v>212</v>
      </c>
      <c r="E3272" s="26">
        <v>966</v>
      </c>
      <c r="H3272" s="27">
        <v>0.91610000000000003</v>
      </c>
      <c r="L3272" s="27">
        <v>8.3900000000000002E-2</v>
      </c>
    </row>
    <row r="3273" spans="1:12">
      <c r="A3273" t="s">
        <v>236</v>
      </c>
      <c r="B3273" t="s">
        <v>209</v>
      </c>
      <c r="C3273">
        <v>38</v>
      </c>
      <c r="D3273" t="s">
        <v>210</v>
      </c>
      <c r="E3273">
        <v>966</v>
      </c>
      <c r="F3273" s="1">
        <v>2.0299999999999999E-2</v>
      </c>
      <c r="G3273" s="1">
        <v>4.07E-2</v>
      </c>
      <c r="H3273" s="1">
        <v>0.56579999999999997</v>
      </c>
      <c r="I3273" s="1">
        <v>2.0299999999999999E-2</v>
      </c>
      <c r="J3273" s="1">
        <v>0.24640000000000001</v>
      </c>
      <c r="K3273" s="1">
        <v>4.07E-2</v>
      </c>
      <c r="L3273" s="1">
        <v>0.27150000000000002</v>
      </c>
    </row>
    <row r="3274" spans="1:12">
      <c r="A3274" t="s">
        <v>235</v>
      </c>
      <c r="B3274" t="s">
        <v>209</v>
      </c>
      <c r="C3274">
        <v>32</v>
      </c>
      <c r="D3274" t="s">
        <v>210</v>
      </c>
      <c r="E3274">
        <v>966</v>
      </c>
      <c r="G3274" s="1">
        <v>4.7600000000000003E-2</v>
      </c>
      <c r="H3274" s="1">
        <v>0.66159999999999997</v>
      </c>
      <c r="I3274" s="1">
        <v>3.2300000000000002E-2</v>
      </c>
      <c r="J3274" s="1">
        <v>0.11219999999999999</v>
      </c>
      <c r="K3274" s="1">
        <v>6.4600000000000005E-2</v>
      </c>
      <c r="L3274" s="1">
        <v>0.27379999999999999</v>
      </c>
    </row>
    <row r="3276" spans="1:12">
      <c r="A3276" t="s">
        <v>865</v>
      </c>
    </row>
    <row r="3277" spans="1:12">
      <c r="A3277" t="s">
        <v>189</v>
      </c>
      <c r="B3277" t="s">
        <v>195</v>
      </c>
      <c r="C3277" t="s">
        <v>190</v>
      </c>
      <c r="D3277" t="s">
        <v>196</v>
      </c>
      <c r="E3277" t="s">
        <v>866</v>
      </c>
      <c r="F3277" t="s">
        <v>228</v>
      </c>
      <c r="G3277" t="s">
        <v>867</v>
      </c>
      <c r="H3277" t="s">
        <v>868</v>
      </c>
      <c r="I3277" t="s">
        <v>869</v>
      </c>
      <c r="J3277" t="s">
        <v>870</v>
      </c>
    </row>
    <row r="3278" spans="1:12">
      <c r="A3278" t="s">
        <v>197</v>
      </c>
      <c r="B3278">
        <v>134</v>
      </c>
      <c r="C3278" t="s">
        <v>198</v>
      </c>
      <c r="D3278">
        <v>134</v>
      </c>
      <c r="E3278" s="1">
        <v>0.01</v>
      </c>
      <c r="F3278" s="1">
        <v>1.4E-3</v>
      </c>
      <c r="G3278" s="1">
        <v>0.1217</v>
      </c>
      <c r="H3278" s="1">
        <v>0.33589999999999998</v>
      </c>
      <c r="I3278" s="1">
        <v>0.2127</v>
      </c>
      <c r="J3278" s="1">
        <v>0.31830000000000003</v>
      </c>
    </row>
    <row r="3279" spans="1:12" s="26" customFormat="1">
      <c r="A3279" s="26" t="s">
        <v>204</v>
      </c>
      <c r="B3279" s="26">
        <v>6</v>
      </c>
      <c r="C3279" s="26" t="s">
        <v>205</v>
      </c>
      <c r="D3279" s="26">
        <v>134</v>
      </c>
      <c r="H3279" s="27">
        <v>0.73699999999999999</v>
      </c>
      <c r="I3279" s="27">
        <v>6.1100000000000002E-2</v>
      </c>
      <c r="J3279" s="27">
        <v>0.2019</v>
      </c>
    </row>
    <row r="3280" spans="1:12" s="26" customFormat="1">
      <c r="A3280" s="26" t="s">
        <v>204</v>
      </c>
      <c r="B3280" s="26">
        <v>18</v>
      </c>
      <c r="C3280" s="26" t="s">
        <v>206</v>
      </c>
      <c r="D3280" s="26">
        <v>134</v>
      </c>
      <c r="G3280" s="27">
        <v>0.22409999999999999</v>
      </c>
      <c r="H3280" s="27">
        <v>0.3276</v>
      </c>
      <c r="I3280" s="27">
        <v>0.20699999999999999</v>
      </c>
      <c r="J3280" s="27">
        <v>0.24129999999999999</v>
      </c>
    </row>
    <row r="3281" spans="1:11" s="26" customFormat="1">
      <c r="A3281" s="26" t="s">
        <v>204</v>
      </c>
      <c r="B3281" s="26">
        <v>22</v>
      </c>
      <c r="C3281" s="26" t="s">
        <v>207</v>
      </c>
      <c r="D3281" s="26">
        <v>134</v>
      </c>
      <c r="E3281" s="27">
        <v>2.01E-2</v>
      </c>
      <c r="G3281" s="27">
        <v>0.13</v>
      </c>
      <c r="H3281" s="27">
        <v>0.2843</v>
      </c>
      <c r="I3281" s="27">
        <v>0.20380000000000001</v>
      </c>
      <c r="J3281" s="27">
        <v>0.36180000000000001</v>
      </c>
    </row>
    <row r="3282" spans="1:11" s="26" customFormat="1">
      <c r="A3282" s="26" t="s">
        <v>204</v>
      </c>
      <c r="B3282" s="26">
        <v>6</v>
      </c>
      <c r="C3282" s="26" t="s">
        <v>208</v>
      </c>
      <c r="D3282" s="26">
        <v>134</v>
      </c>
      <c r="H3282" s="27">
        <v>0.33329999999999999</v>
      </c>
      <c r="I3282" s="27">
        <v>0.16669999999999999</v>
      </c>
      <c r="J3282" s="27">
        <v>0.5</v>
      </c>
    </row>
    <row r="3283" spans="1:11" s="26" customFormat="1">
      <c r="A3283" s="26" t="s">
        <v>199</v>
      </c>
      <c r="B3283" s="26">
        <v>8</v>
      </c>
      <c r="C3283" s="26" t="s">
        <v>200</v>
      </c>
      <c r="D3283" s="26">
        <v>134</v>
      </c>
      <c r="G3283" s="27">
        <v>4.41E-2</v>
      </c>
      <c r="H3283" s="27">
        <v>4.41E-2</v>
      </c>
      <c r="I3283" s="27">
        <v>6.6100000000000006E-2</v>
      </c>
      <c r="J3283" s="27">
        <v>0.84570000000000001</v>
      </c>
    </row>
    <row r="3284" spans="1:11" s="26" customFormat="1">
      <c r="A3284" s="26" t="s">
        <v>199</v>
      </c>
      <c r="B3284" s="26">
        <v>3</v>
      </c>
      <c r="C3284" s="26" t="s">
        <v>201</v>
      </c>
      <c r="D3284" s="26">
        <v>134</v>
      </c>
      <c r="G3284" s="27">
        <v>0.33329999999999999</v>
      </c>
      <c r="I3284" s="27">
        <v>0.33329999999999999</v>
      </c>
      <c r="J3284" s="27">
        <v>0.33329999999999999</v>
      </c>
    </row>
    <row r="3285" spans="1:11" s="26" customFormat="1">
      <c r="A3285" s="26" t="s">
        <v>199</v>
      </c>
      <c r="B3285" s="26">
        <v>8</v>
      </c>
      <c r="C3285" s="26" t="s">
        <v>202</v>
      </c>
      <c r="D3285" s="26">
        <v>134</v>
      </c>
      <c r="G3285" s="27">
        <v>0.11840000000000001</v>
      </c>
      <c r="H3285" s="27">
        <v>0.26279999999999998</v>
      </c>
      <c r="I3285" s="27">
        <v>0.22470000000000001</v>
      </c>
      <c r="J3285" s="27">
        <v>0.39419999999999999</v>
      </c>
    </row>
    <row r="3286" spans="1:11" s="26" customFormat="1">
      <c r="A3286" s="26" t="s">
        <v>199</v>
      </c>
      <c r="B3286" s="26">
        <v>8</v>
      </c>
      <c r="C3286" s="26" t="s">
        <v>203</v>
      </c>
      <c r="D3286" s="26">
        <v>134</v>
      </c>
      <c r="G3286" s="27">
        <v>7.1099999999999997E-2</v>
      </c>
      <c r="H3286" s="27">
        <v>0.25280000000000002</v>
      </c>
      <c r="I3286" s="27">
        <v>0.41899999999999998</v>
      </c>
      <c r="J3286" s="27">
        <v>0.2571</v>
      </c>
    </row>
    <row r="3287" spans="1:11">
      <c r="A3287" t="s">
        <v>209</v>
      </c>
      <c r="B3287">
        <v>31</v>
      </c>
      <c r="C3287" t="s">
        <v>210</v>
      </c>
      <c r="D3287">
        <v>134</v>
      </c>
      <c r="F3287" s="1">
        <v>4.2900000000000001E-2</v>
      </c>
      <c r="G3287" s="1">
        <v>0.11219999999999999</v>
      </c>
      <c r="H3287" s="1">
        <v>0.21940000000000001</v>
      </c>
      <c r="I3287" s="1">
        <v>0.2913</v>
      </c>
      <c r="J3287" s="1">
        <v>0.3342</v>
      </c>
    </row>
    <row r="3288" spans="1:11" s="26" customFormat="1">
      <c r="A3288" s="26" t="s">
        <v>209</v>
      </c>
      <c r="B3288" s="26">
        <v>17</v>
      </c>
      <c r="C3288" s="26" t="s">
        <v>211</v>
      </c>
      <c r="D3288" s="26">
        <v>134</v>
      </c>
      <c r="E3288" s="27">
        <v>7.0300000000000001E-2</v>
      </c>
      <c r="G3288" s="27">
        <v>0.1406</v>
      </c>
      <c r="H3288" s="27">
        <v>0.37609999999999999</v>
      </c>
      <c r="I3288" s="27">
        <v>0.29330000000000001</v>
      </c>
      <c r="J3288" s="27">
        <v>0.1197</v>
      </c>
    </row>
    <row r="3289" spans="1:11" s="26" customFormat="1">
      <c r="A3289" s="26" t="s">
        <v>209</v>
      </c>
      <c r="B3289" s="26">
        <v>7</v>
      </c>
      <c r="C3289" s="26" t="s">
        <v>212</v>
      </c>
      <c r="D3289" s="26">
        <v>134</v>
      </c>
      <c r="G3289" s="27">
        <v>0.1464</v>
      </c>
      <c r="H3289" s="27">
        <v>0.43930000000000002</v>
      </c>
      <c r="I3289" s="27">
        <v>0.1464</v>
      </c>
      <c r="J3289" s="27">
        <v>0.26779999999999998</v>
      </c>
    </row>
    <row r="3291" spans="1:11">
      <c r="A3291" t="s">
        <v>871</v>
      </c>
    </row>
    <row r="3292" spans="1:11">
      <c r="A3292" t="s">
        <v>214</v>
      </c>
      <c r="B3292" t="s">
        <v>189</v>
      </c>
      <c r="C3292" t="s">
        <v>195</v>
      </c>
      <c r="D3292" t="s">
        <v>190</v>
      </c>
      <c r="E3292" t="s">
        <v>196</v>
      </c>
      <c r="F3292" t="s">
        <v>866</v>
      </c>
      <c r="G3292" t="s">
        <v>228</v>
      </c>
      <c r="H3292" t="s">
        <v>867</v>
      </c>
      <c r="I3292" t="s">
        <v>868</v>
      </c>
      <c r="J3292" t="s">
        <v>869</v>
      </c>
      <c r="K3292" t="s">
        <v>870</v>
      </c>
    </row>
    <row r="3293" spans="1:11">
      <c r="A3293" t="s">
        <v>198</v>
      </c>
      <c r="B3293" t="s">
        <v>197</v>
      </c>
      <c r="C3293">
        <v>134</v>
      </c>
      <c r="D3293" t="s">
        <v>198</v>
      </c>
      <c r="E3293">
        <v>134</v>
      </c>
      <c r="F3293" s="1">
        <v>0.01</v>
      </c>
      <c r="G3293" s="1">
        <v>1.4E-3</v>
      </c>
      <c r="H3293" s="1">
        <v>0.1217</v>
      </c>
      <c r="I3293" s="1">
        <v>0.33589999999999998</v>
      </c>
      <c r="J3293" s="1">
        <v>0.2127</v>
      </c>
      <c r="K3293" s="1">
        <v>0.31830000000000003</v>
      </c>
    </row>
    <row r="3294" spans="1:11" s="26" customFormat="1">
      <c r="A3294" s="26" t="s">
        <v>235</v>
      </c>
      <c r="B3294" s="26" t="s">
        <v>204</v>
      </c>
      <c r="C3294" s="26">
        <v>4</v>
      </c>
      <c r="D3294" s="26" t="s">
        <v>208</v>
      </c>
      <c r="E3294" s="26">
        <v>134</v>
      </c>
      <c r="I3294" s="27">
        <v>0.25</v>
      </c>
      <c r="J3294" s="27">
        <v>0.25</v>
      </c>
      <c r="K3294" s="27">
        <v>0.5</v>
      </c>
    </row>
    <row r="3295" spans="1:11" s="26" customFormat="1">
      <c r="A3295" s="26" t="s">
        <v>236</v>
      </c>
      <c r="B3295" s="26" t="s">
        <v>204</v>
      </c>
      <c r="C3295" s="26">
        <v>4</v>
      </c>
      <c r="D3295" s="26" t="s">
        <v>205</v>
      </c>
      <c r="E3295" s="26">
        <v>134</v>
      </c>
      <c r="J3295" s="27">
        <v>0.23219999999999999</v>
      </c>
      <c r="K3295" s="27">
        <v>0.76780000000000004</v>
      </c>
    </row>
    <row r="3296" spans="1:11" s="26" customFormat="1">
      <c r="A3296" s="26" t="s">
        <v>235</v>
      </c>
      <c r="B3296" s="26" t="s">
        <v>204</v>
      </c>
      <c r="C3296" s="26">
        <v>2</v>
      </c>
      <c r="D3296" s="26" t="s">
        <v>205</v>
      </c>
      <c r="E3296" s="26">
        <v>134</v>
      </c>
      <c r="I3296" s="27">
        <v>1</v>
      </c>
    </row>
    <row r="3297" spans="1:11" s="26" customFormat="1">
      <c r="A3297" s="26" t="s">
        <v>236</v>
      </c>
      <c r="B3297" s="26" t="s">
        <v>204</v>
      </c>
      <c r="C3297" s="26">
        <v>5</v>
      </c>
      <c r="D3297" s="26" t="s">
        <v>206</v>
      </c>
      <c r="E3297" s="26">
        <v>134</v>
      </c>
      <c r="H3297" s="27">
        <v>0.21199999999999999</v>
      </c>
      <c r="I3297" s="27">
        <v>0.57589999999999997</v>
      </c>
      <c r="J3297" s="27">
        <v>0.21199999999999999</v>
      </c>
    </row>
    <row r="3298" spans="1:11" s="26" customFormat="1">
      <c r="A3298" s="26" t="s">
        <v>235</v>
      </c>
      <c r="B3298" s="26" t="s">
        <v>204</v>
      </c>
      <c r="C3298" s="26">
        <v>12</v>
      </c>
      <c r="D3298" s="26" t="s">
        <v>206</v>
      </c>
      <c r="E3298" s="26">
        <v>134</v>
      </c>
      <c r="H3298" s="27">
        <v>0.24360000000000001</v>
      </c>
      <c r="I3298" s="27">
        <v>0.24360000000000001</v>
      </c>
      <c r="J3298" s="27">
        <v>0.15390000000000001</v>
      </c>
      <c r="K3298" s="27">
        <v>0.35880000000000001</v>
      </c>
    </row>
    <row r="3299" spans="1:11" s="26" customFormat="1">
      <c r="A3299" s="26" t="s">
        <v>236</v>
      </c>
      <c r="B3299" s="26" t="s">
        <v>204</v>
      </c>
      <c r="C3299" s="26">
        <v>11</v>
      </c>
      <c r="D3299" s="26" t="s">
        <v>207</v>
      </c>
      <c r="E3299" s="26">
        <v>134</v>
      </c>
      <c r="F3299" s="27">
        <v>3.5200000000000002E-2</v>
      </c>
      <c r="H3299" s="27">
        <v>3.5200000000000002E-2</v>
      </c>
      <c r="I3299" s="27">
        <v>0.42609999999999998</v>
      </c>
      <c r="J3299" s="27">
        <v>0.13109999999999999</v>
      </c>
      <c r="K3299" s="27">
        <v>0.37240000000000001</v>
      </c>
    </row>
    <row r="3300" spans="1:11" s="26" customFormat="1">
      <c r="A3300" s="26" t="s">
        <v>235</v>
      </c>
      <c r="B3300" s="26" t="s">
        <v>204</v>
      </c>
      <c r="C3300" s="26">
        <v>11</v>
      </c>
      <c r="D3300" s="26" t="s">
        <v>207</v>
      </c>
      <c r="E3300" s="26">
        <v>134</v>
      </c>
      <c r="H3300" s="27">
        <v>0.2571</v>
      </c>
      <c r="I3300" s="27">
        <v>9.4299999999999995E-2</v>
      </c>
      <c r="J3300" s="27">
        <v>0.30099999999999999</v>
      </c>
      <c r="K3300" s="27">
        <v>0.34749999999999998</v>
      </c>
    </row>
    <row r="3301" spans="1:11" s="26" customFormat="1">
      <c r="A3301" s="26" t="s">
        <v>236</v>
      </c>
      <c r="B3301" s="26" t="s">
        <v>204</v>
      </c>
      <c r="C3301" s="26">
        <v>2</v>
      </c>
      <c r="D3301" s="26" t="s">
        <v>208</v>
      </c>
      <c r="E3301" s="26">
        <v>134</v>
      </c>
      <c r="I3301" s="27">
        <v>0.5</v>
      </c>
      <c r="K3301" s="27">
        <v>0.5</v>
      </c>
    </row>
    <row r="3302" spans="1:11" s="26" customFormat="1">
      <c r="A3302" s="26" t="s">
        <v>235</v>
      </c>
      <c r="B3302" s="26" t="s">
        <v>199</v>
      </c>
      <c r="C3302" s="26">
        <v>4</v>
      </c>
      <c r="D3302" s="26" t="s">
        <v>203</v>
      </c>
      <c r="E3302" s="26">
        <v>134</v>
      </c>
      <c r="H3302" s="27">
        <v>0.15110000000000001</v>
      </c>
      <c r="I3302" s="27">
        <v>0.15110000000000001</v>
      </c>
      <c r="J3302" s="27">
        <v>0.69779999999999998</v>
      </c>
    </row>
    <row r="3303" spans="1:11" s="26" customFormat="1">
      <c r="A3303" s="26" t="s">
        <v>236</v>
      </c>
      <c r="B3303" s="26" t="s">
        <v>199</v>
      </c>
      <c r="C3303" s="26">
        <v>4</v>
      </c>
      <c r="D3303" s="26" t="s">
        <v>203</v>
      </c>
      <c r="E3303" s="26">
        <v>134</v>
      </c>
      <c r="I3303" s="27">
        <v>0.34320000000000001</v>
      </c>
      <c r="J3303" s="27">
        <v>0.1716</v>
      </c>
      <c r="K3303" s="27">
        <v>0.48530000000000001</v>
      </c>
    </row>
    <row r="3304" spans="1:11" s="26" customFormat="1">
      <c r="A3304" s="26" t="s">
        <v>235</v>
      </c>
      <c r="B3304" s="26" t="s">
        <v>199</v>
      </c>
      <c r="C3304" s="26">
        <v>4</v>
      </c>
      <c r="D3304" s="26" t="s">
        <v>202</v>
      </c>
      <c r="E3304" s="26">
        <v>134</v>
      </c>
      <c r="H3304" s="27">
        <v>0.2495</v>
      </c>
      <c r="J3304" s="27">
        <v>0.47360000000000002</v>
      </c>
      <c r="K3304" s="27">
        <v>0.27689999999999998</v>
      </c>
    </row>
    <row r="3305" spans="1:11" s="26" customFormat="1">
      <c r="A3305" s="26" t="s">
        <v>235</v>
      </c>
      <c r="B3305" s="26" t="s">
        <v>199</v>
      </c>
      <c r="C3305" s="26">
        <v>5</v>
      </c>
      <c r="D3305" s="26" t="s">
        <v>200</v>
      </c>
      <c r="E3305" s="26">
        <v>134</v>
      </c>
      <c r="H3305" s="27">
        <v>0.2</v>
      </c>
      <c r="I3305" s="27">
        <v>0.2</v>
      </c>
      <c r="J3305" s="27">
        <v>0.6</v>
      </c>
    </row>
    <row r="3306" spans="1:11" s="26" customFormat="1">
      <c r="A3306" s="26" t="s">
        <v>236</v>
      </c>
      <c r="B3306" s="26" t="s">
        <v>199</v>
      </c>
      <c r="C3306" s="26">
        <v>2</v>
      </c>
      <c r="D3306" s="26" t="s">
        <v>200</v>
      </c>
      <c r="E3306" s="26">
        <v>134</v>
      </c>
      <c r="I3306" s="27">
        <v>2.5399999999999999E-2</v>
      </c>
      <c r="K3306" s="27">
        <v>0.97460000000000002</v>
      </c>
    </row>
    <row r="3307" spans="1:11" s="26" customFormat="1">
      <c r="A3307" s="26" t="s">
        <v>236</v>
      </c>
      <c r="B3307" s="26" t="s">
        <v>199</v>
      </c>
      <c r="C3307" s="26">
        <v>3</v>
      </c>
      <c r="D3307" s="26" t="s">
        <v>202</v>
      </c>
      <c r="E3307" s="26">
        <v>134</v>
      </c>
      <c r="I3307" s="27">
        <v>0.66669999999999996</v>
      </c>
      <c r="K3307" s="27">
        <v>0.33329999999999999</v>
      </c>
    </row>
    <row r="3308" spans="1:11" s="26" customFormat="1">
      <c r="A3308" s="26" t="s">
        <v>235</v>
      </c>
      <c r="B3308" s="26" t="s">
        <v>199</v>
      </c>
      <c r="C3308" s="26">
        <v>3</v>
      </c>
      <c r="D3308" s="26" t="s">
        <v>201</v>
      </c>
      <c r="E3308" s="26">
        <v>134</v>
      </c>
      <c r="H3308" s="27">
        <v>0.33329999999999999</v>
      </c>
      <c r="J3308" s="27">
        <v>0.33329999999999999</v>
      </c>
      <c r="K3308" s="27">
        <v>0.33329999999999999</v>
      </c>
    </row>
    <row r="3309" spans="1:11" s="26" customFormat="1">
      <c r="A3309" s="26" t="s">
        <v>235</v>
      </c>
      <c r="B3309" s="26" t="s">
        <v>209</v>
      </c>
      <c r="C3309" s="26">
        <v>9</v>
      </c>
      <c r="D3309" s="26" t="s">
        <v>211</v>
      </c>
      <c r="E3309" s="26">
        <v>134</v>
      </c>
      <c r="F3309" s="27">
        <v>0.12230000000000001</v>
      </c>
      <c r="H3309" s="27">
        <v>0.2447</v>
      </c>
      <c r="I3309" s="27">
        <v>0.12230000000000001</v>
      </c>
      <c r="J3309" s="27">
        <v>0.3453</v>
      </c>
      <c r="K3309" s="27">
        <v>0.16539999999999999</v>
      </c>
    </row>
    <row r="3310" spans="1:11" s="26" customFormat="1">
      <c r="A3310" s="26" t="s">
        <v>236</v>
      </c>
      <c r="B3310" s="26" t="s">
        <v>209</v>
      </c>
      <c r="C3310" s="26">
        <v>8</v>
      </c>
      <c r="D3310" s="26" t="s">
        <v>211</v>
      </c>
      <c r="E3310" s="26">
        <v>134</v>
      </c>
      <c r="I3310" s="27">
        <v>0.71870000000000001</v>
      </c>
      <c r="J3310" s="27">
        <v>0.22320000000000001</v>
      </c>
      <c r="K3310" s="27">
        <v>5.8099999999999999E-2</v>
      </c>
    </row>
    <row r="3311" spans="1:11" s="26" customFormat="1">
      <c r="A3311" s="26" t="s">
        <v>236</v>
      </c>
      <c r="B3311" s="26" t="s">
        <v>209</v>
      </c>
      <c r="C3311" s="26">
        <v>1</v>
      </c>
      <c r="D3311" s="26" t="s">
        <v>212</v>
      </c>
      <c r="E3311" s="26">
        <v>134</v>
      </c>
      <c r="K3311" s="27">
        <v>1</v>
      </c>
    </row>
    <row r="3312" spans="1:11" s="26" customFormat="1">
      <c r="A3312" s="26" t="s">
        <v>235</v>
      </c>
      <c r="B3312" s="26" t="s">
        <v>209</v>
      </c>
      <c r="C3312" s="26">
        <v>6</v>
      </c>
      <c r="D3312" s="26" t="s">
        <v>212</v>
      </c>
      <c r="E3312" s="26">
        <v>134</v>
      </c>
      <c r="H3312" s="27">
        <v>0.16669999999999999</v>
      </c>
      <c r="I3312" s="27">
        <v>0.5</v>
      </c>
      <c r="J3312" s="27">
        <v>0.16669999999999999</v>
      </c>
      <c r="K3312" s="27">
        <v>0.16669999999999999</v>
      </c>
    </row>
    <row r="3313" spans="1:11" s="26" customFormat="1">
      <c r="A3313" s="26" t="s">
        <v>235</v>
      </c>
      <c r="B3313" s="26" t="s">
        <v>209</v>
      </c>
      <c r="C3313" s="26">
        <v>11</v>
      </c>
      <c r="D3313" s="26" t="s">
        <v>210</v>
      </c>
      <c r="E3313" s="26">
        <v>134</v>
      </c>
      <c r="H3313" s="27">
        <v>9.5500000000000002E-2</v>
      </c>
      <c r="I3313" s="27">
        <v>0.2361</v>
      </c>
      <c r="J3313" s="27">
        <v>0.28649999999999998</v>
      </c>
      <c r="K3313" s="27">
        <v>0.38200000000000001</v>
      </c>
    </row>
    <row r="3314" spans="1:11" s="26" customFormat="1">
      <c r="A3314" s="26" t="s">
        <v>236</v>
      </c>
      <c r="B3314" s="26" t="s">
        <v>209</v>
      </c>
      <c r="C3314" s="26">
        <v>17</v>
      </c>
      <c r="D3314" s="26" t="s">
        <v>210</v>
      </c>
      <c r="E3314" s="26">
        <v>134</v>
      </c>
      <c r="G3314" s="27">
        <v>9.8299999999999998E-2</v>
      </c>
      <c r="H3314" s="27">
        <v>0.1532</v>
      </c>
      <c r="I3314" s="27">
        <v>0.19650000000000001</v>
      </c>
      <c r="J3314" s="27">
        <v>0.25140000000000001</v>
      </c>
      <c r="K3314" s="27">
        <v>0.30059999999999998</v>
      </c>
    </row>
    <row r="3316" spans="1:11">
      <c r="A3316" t="s">
        <v>872</v>
      </c>
    </row>
    <row r="3317" spans="1:11">
      <c r="A3317" t="s">
        <v>189</v>
      </c>
      <c r="B3317" t="s">
        <v>195</v>
      </c>
      <c r="C3317" t="s">
        <v>190</v>
      </c>
      <c r="D3317" t="s">
        <v>196</v>
      </c>
      <c r="E3317" t="s">
        <v>873</v>
      </c>
      <c r="F3317" t="s">
        <v>874</v>
      </c>
      <c r="G3317" t="s">
        <v>875</v>
      </c>
    </row>
    <row r="3318" spans="1:11">
      <c r="A3318" t="s">
        <v>197</v>
      </c>
      <c r="B3318">
        <v>968</v>
      </c>
      <c r="C3318" t="s">
        <v>198</v>
      </c>
      <c r="D3318">
        <v>968</v>
      </c>
      <c r="E3318" s="1">
        <v>1.6999999999999999E-3</v>
      </c>
      <c r="F3318" s="1">
        <v>8.6900000000000005E-2</v>
      </c>
      <c r="G3318" s="1">
        <v>0.91139999999999999</v>
      </c>
    </row>
    <row r="3319" spans="1:11">
      <c r="A3319" t="s">
        <v>204</v>
      </c>
      <c r="B3319">
        <v>91</v>
      </c>
      <c r="C3319" t="s">
        <v>205</v>
      </c>
      <c r="D3319">
        <v>968</v>
      </c>
      <c r="F3319" s="1">
        <v>2.92E-2</v>
      </c>
      <c r="G3319" s="1">
        <v>0.9708</v>
      </c>
    </row>
    <row r="3320" spans="1:11">
      <c r="A3320" t="s">
        <v>204</v>
      </c>
      <c r="B3320">
        <v>72</v>
      </c>
      <c r="C3320" t="s">
        <v>206</v>
      </c>
      <c r="D3320">
        <v>968</v>
      </c>
      <c r="F3320" s="1">
        <v>7.2099999999999997E-2</v>
      </c>
      <c r="G3320" s="1">
        <v>0.92789999999999995</v>
      </c>
    </row>
    <row r="3321" spans="1:11">
      <c r="A3321" t="s">
        <v>204</v>
      </c>
      <c r="B3321">
        <v>131</v>
      </c>
      <c r="C3321" t="s">
        <v>207</v>
      </c>
      <c r="D3321">
        <v>968</v>
      </c>
      <c r="F3321" s="1">
        <v>7.3899999999999993E-2</v>
      </c>
      <c r="G3321" s="1">
        <v>0.92610000000000003</v>
      </c>
    </row>
    <row r="3322" spans="1:11">
      <c r="A3322" t="s">
        <v>204</v>
      </c>
      <c r="B3322">
        <v>74</v>
      </c>
      <c r="C3322" t="s">
        <v>208</v>
      </c>
      <c r="D3322">
        <v>968</v>
      </c>
      <c r="F3322" s="1">
        <v>6.7599999999999993E-2</v>
      </c>
      <c r="G3322" s="1">
        <v>0.93240000000000001</v>
      </c>
    </row>
    <row r="3323" spans="1:11">
      <c r="A3323" t="s">
        <v>199</v>
      </c>
      <c r="B3323">
        <v>73</v>
      </c>
      <c r="C3323" t="s">
        <v>200</v>
      </c>
      <c r="D3323">
        <v>968</v>
      </c>
      <c r="F3323" s="1">
        <v>0.1736</v>
      </c>
      <c r="G3323" s="1">
        <v>0.82640000000000002</v>
      </c>
    </row>
    <row r="3324" spans="1:11">
      <c r="A3324" t="s">
        <v>199</v>
      </c>
      <c r="B3324">
        <v>96</v>
      </c>
      <c r="C3324" t="s">
        <v>201</v>
      </c>
      <c r="D3324">
        <v>968</v>
      </c>
      <c r="F3324" s="1">
        <v>0.1875</v>
      </c>
      <c r="G3324" s="1">
        <v>0.8125</v>
      </c>
    </row>
    <row r="3325" spans="1:11">
      <c r="A3325" t="s">
        <v>199</v>
      </c>
      <c r="B3325">
        <v>98</v>
      </c>
      <c r="C3325" t="s">
        <v>202</v>
      </c>
      <c r="D3325">
        <v>968</v>
      </c>
      <c r="F3325" s="1">
        <v>4.8899999999999999E-2</v>
      </c>
      <c r="G3325" s="1">
        <v>0.95109999999999995</v>
      </c>
    </row>
    <row r="3326" spans="1:11">
      <c r="A3326" t="s">
        <v>199</v>
      </c>
      <c r="B3326">
        <v>77</v>
      </c>
      <c r="C3326" t="s">
        <v>203</v>
      </c>
      <c r="D3326">
        <v>968</v>
      </c>
      <c r="F3326" s="1">
        <v>5.1700000000000003E-2</v>
      </c>
      <c r="G3326" s="1">
        <v>0.94830000000000003</v>
      </c>
    </row>
    <row r="3327" spans="1:11">
      <c r="A3327" t="s">
        <v>209</v>
      </c>
      <c r="B3327">
        <v>74</v>
      </c>
      <c r="C3327" t="s">
        <v>210</v>
      </c>
      <c r="D3327">
        <v>968</v>
      </c>
      <c r="F3327" s="1">
        <v>4.2700000000000002E-2</v>
      </c>
      <c r="G3327" s="1">
        <v>0.95730000000000004</v>
      </c>
    </row>
    <row r="3328" spans="1:11">
      <c r="A3328" t="s">
        <v>209</v>
      </c>
      <c r="B3328">
        <v>97</v>
      </c>
      <c r="C3328" t="s">
        <v>211</v>
      </c>
      <c r="D3328">
        <v>968</v>
      </c>
      <c r="E3328" s="1">
        <v>4.1999999999999997E-3</v>
      </c>
      <c r="F3328" s="1">
        <v>0.1177</v>
      </c>
      <c r="G3328" s="1">
        <v>0.87809999999999999</v>
      </c>
    </row>
    <row r="3329" spans="1:8">
      <c r="A3329" t="s">
        <v>209</v>
      </c>
      <c r="B3329">
        <v>85</v>
      </c>
      <c r="C3329" t="s">
        <v>212</v>
      </c>
      <c r="D3329">
        <v>968</v>
      </c>
      <c r="E3329" s="1">
        <v>1.4E-2</v>
      </c>
      <c r="F3329" s="1">
        <v>8.1500000000000003E-2</v>
      </c>
      <c r="G3329" s="1">
        <v>0.90459999999999996</v>
      </c>
    </row>
    <row r="3331" spans="1:8">
      <c r="A3331" t="s">
        <v>876</v>
      </c>
    </row>
    <row r="3332" spans="1:8">
      <c r="A3332" t="s">
        <v>214</v>
      </c>
      <c r="B3332" t="s">
        <v>189</v>
      </c>
      <c r="C3332" t="s">
        <v>195</v>
      </c>
      <c r="D3332" t="s">
        <v>190</v>
      </c>
      <c r="E3332" t="s">
        <v>196</v>
      </c>
      <c r="F3332" t="s">
        <v>873</v>
      </c>
      <c r="G3332" t="s">
        <v>874</v>
      </c>
      <c r="H3332" t="s">
        <v>875</v>
      </c>
    </row>
    <row r="3333" spans="1:8">
      <c r="A3333" t="s">
        <v>198</v>
      </c>
      <c r="B3333" t="s">
        <v>197</v>
      </c>
      <c r="C3333">
        <v>968</v>
      </c>
      <c r="D3333" t="s">
        <v>198</v>
      </c>
      <c r="E3333">
        <v>968</v>
      </c>
      <c r="F3333" s="1">
        <v>1.6999999999999999E-3</v>
      </c>
      <c r="G3333" s="1">
        <v>8.6900000000000005E-2</v>
      </c>
      <c r="H3333" s="1">
        <v>0.91139999999999999</v>
      </c>
    </row>
    <row r="3334" spans="1:8">
      <c r="A3334" t="s">
        <v>235</v>
      </c>
      <c r="B3334" t="s">
        <v>204</v>
      </c>
      <c r="C3334">
        <v>63</v>
      </c>
      <c r="D3334" t="s">
        <v>208</v>
      </c>
      <c r="E3334">
        <v>968</v>
      </c>
      <c r="G3334" s="1">
        <v>6.3500000000000001E-2</v>
      </c>
      <c r="H3334" s="1">
        <v>0.9365</v>
      </c>
    </row>
    <row r="3335" spans="1:8">
      <c r="A3335" t="s">
        <v>236</v>
      </c>
      <c r="B3335" t="s">
        <v>204</v>
      </c>
      <c r="C3335">
        <v>32</v>
      </c>
      <c r="D3335" t="s">
        <v>205</v>
      </c>
      <c r="E3335">
        <v>968</v>
      </c>
      <c r="G3335" s="1">
        <v>6.13E-2</v>
      </c>
      <c r="H3335" s="1">
        <v>0.93869999999999998</v>
      </c>
    </row>
    <row r="3336" spans="1:8">
      <c r="A3336" t="s">
        <v>235</v>
      </c>
      <c r="B3336" t="s">
        <v>204</v>
      </c>
      <c r="C3336">
        <v>58</v>
      </c>
      <c r="D3336" t="s">
        <v>205</v>
      </c>
      <c r="E3336">
        <v>968</v>
      </c>
      <c r="G3336" s="1">
        <v>2.24E-2</v>
      </c>
      <c r="H3336" s="1">
        <v>0.97760000000000002</v>
      </c>
    </row>
    <row r="3337" spans="1:8" s="26" customFormat="1">
      <c r="A3337" s="26" t="s">
        <v>236</v>
      </c>
      <c r="B3337" s="26" t="s">
        <v>204</v>
      </c>
      <c r="C3337" s="26">
        <v>21</v>
      </c>
      <c r="D3337" s="26" t="s">
        <v>206</v>
      </c>
      <c r="E3337" s="26">
        <v>968</v>
      </c>
      <c r="G3337" s="27">
        <v>8.5500000000000007E-2</v>
      </c>
      <c r="H3337" s="27">
        <v>0.91449999999999998</v>
      </c>
    </row>
    <row r="3338" spans="1:8">
      <c r="A3338" t="s">
        <v>235</v>
      </c>
      <c r="B3338" t="s">
        <v>204</v>
      </c>
      <c r="C3338">
        <v>47</v>
      </c>
      <c r="D3338" t="s">
        <v>206</v>
      </c>
      <c r="E3338">
        <v>968</v>
      </c>
      <c r="G3338" s="1">
        <v>7.2099999999999997E-2</v>
      </c>
      <c r="H3338" s="1">
        <v>0.92789999999999995</v>
      </c>
    </row>
    <row r="3339" spans="1:8">
      <c r="A3339" t="s">
        <v>236</v>
      </c>
      <c r="B3339" t="s">
        <v>204</v>
      </c>
      <c r="C3339">
        <v>81</v>
      </c>
      <c r="D3339" t="s">
        <v>207</v>
      </c>
      <c r="E3339">
        <v>968</v>
      </c>
      <c r="G3339" s="1">
        <v>6.7900000000000002E-2</v>
      </c>
      <c r="H3339" s="1">
        <v>0.93210000000000004</v>
      </c>
    </row>
    <row r="3340" spans="1:8">
      <c r="A3340" t="s">
        <v>235</v>
      </c>
      <c r="B3340" t="s">
        <v>204</v>
      </c>
      <c r="C3340">
        <v>45</v>
      </c>
      <c r="D3340" t="s">
        <v>207</v>
      </c>
      <c r="E3340">
        <v>968</v>
      </c>
      <c r="G3340" s="1">
        <v>7.9899999999999999E-2</v>
      </c>
      <c r="H3340" s="1">
        <v>0.92010000000000003</v>
      </c>
    </row>
    <row r="3341" spans="1:8" s="26" customFormat="1">
      <c r="A3341" s="26" t="s">
        <v>236</v>
      </c>
      <c r="B3341" s="26" t="s">
        <v>204</v>
      </c>
      <c r="C3341" s="26">
        <v>11</v>
      </c>
      <c r="D3341" s="26" t="s">
        <v>208</v>
      </c>
      <c r="E3341" s="26">
        <v>968</v>
      </c>
      <c r="G3341" s="27">
        <v>9.0899999999999995E-2</v>
      </c>
      <c r="H3341" s="27">
        <v>0.90910000000000002</v>
      </c>
    </row>
    <row r="3342" spans="1:8">
      <c r="A3342" t="s">
        <v>235</v>
      </c>
      <c r="B3342" t="s">
        <v>199</v>
      </c>
      <c r="C3342">
        <v>44</v>
      </c>
      <c r="D3342" t="s">
        <v>203</v>
      </c>
      <c r="E3342">
        <v>968</v>
      </c>
      <c r="G3342" s="1">
        <v>6.2600000000000003E-2</v>
      </c>
      <c r="H3342" s="1">
        <v>0.93740000000000001</v>
      </c>
    </row>
    <row r="3343" spans="1:8">
      <c r="A3343" t="s">
        <v>236</v>
      </c>
      <c r="B3343" t="s">
        <v>199</v>
      </c>
      <c r="C3343">
        <v>32</v>
      </c>
      <c r="D3343" t="s">
        <v>203</v>
      </c>
      <c r="E3343">
        <v>968</v>
      </c>
      <c r="G3343" s="1">
        <v>3.5900000000000001E-2</v>
      </c>
      <c r="H3343" s="1">
        <v>0.96409999999999996</v>
      </c>
    </row>
    <row r="3344" spans="1:8">
      <c r="A3344" t="s">
        <v>235</v>
      </c>
      <c r="B3344" t="s">
        <v>199</v>
      </c>
      <c r="C3344">
        <v>60</v>
      </c>
      <c r="D3344" t="s">
        <v>202</v>
      </c>
      <c r="E3344">
        <v>968</v>
      </c>
      <c r="G3344" s="1">
        <v>3.0599999999999999E-2</v>
      </c>
      <c r="H3344" s="1">
        <v>0.96940000000000004</v>
      </c>
    </row>
    <row r="3345" spans="1:8" s="26" customFormat="1">
      <c r="A3345" s="26" t="s">
        <v>236</v>
      </c>
      <c r="B3345" s="26" t="s">
        <v>199</v>
      </c>
      <c r="C3345" s="26">
        <v>24</v>
      </c>
      <c r="D3345" s="26" t="s">
        <v>200</v>
      </c>
      <c r="E3345" s="26">
        <v>968</v>
      </c>
      <c r="G3345" s="27">
        <v>0.2175</v>
      </c>
      <c r="H3345" s="27">
        <v>0.78249999999999997</v>
      </c>
    </row>
    <row r="3346" spans="1:8">
      <c r="A3346" t="s">
        <v>235</v>
      </c>
      <c r="B3346" t="s">
        <v>199</v>
      </c>
      <c r="C3346">
        <v>46</v>
      </c>
      <c r="D3346" t="s">
        <v>200</v>
      </c>
      <c r="E3346">
        <v>968</v>
      </c>
      <c r="G3346" s="1">
        <v>0.13600000000000001</v>
      </c>
      <c r="H3346" s="1">
        <v>0.86399999999999999</v>
      </c>
    </row>
    <row r="3347" spans="1:8">
      <c r="A3347" t="s">
        <v>236</v>
      </c>
      <c r="B3347" t="s">
        <v>199</v>
      </c>
      <c r="C3347">
        <v>37</v>
      </c>
      <c r="D3347" t="s">
        <v>202</v>
      </c>
      <c r="E3347">
        <v>968</v>
      </c>
      <c r="G3347" s="1">
        <v>7.5800000000000006E-2</v>
      </c>
      <c r="H3347" s="1">
        <v>0.92420000000000002</v>
      </c>
    </row>
    <row r="3348" spans="1:8">
      <c r="A3348" t="s">
        <v>235</v>
      </c>
      <c r="B3348" t="s">
        <v>199</v>
      </c>
      <c r="C3348">
        <v>96</v>
      </c>
      <c r="D3348" t="s">
        <v>201</v>
      </c>
      <c r="E3348">
        <v>968</v>
      </c>
      <c r="G3348" s="1">
        <v>0.1875</v>
      </c>
      <c r="H3348" s="1">
        <v>0.8125</v>
      </c>
    </row>
    <row r="3349" spans="1:8">
      <c r="A3349" t="s">
        <v>236</v>
      </c>
      <c r="B3349" t="s">
        <v>209</v>
      </c>
      <c r="C3349">
        <v>39</v>
      </c>
      <c r="D3349" t="s">
        <v>211</v>
      </c>
      <c r="E3349">
        <v>968</v>
      </c>
      <c r="F3349" s="1">
        <v>1.18E-2</v>
      </c>
      <c r="G3349" s="1">
        <v>0.1462</v>
      </c>
      <c r="H3349" s="1">
        <v>0.84199999999999997</v>
      </c>
    </row>
    <row r="3350" spans="1:8">
      <c r="A3350" t="s">
        <v>235</v>
      </c>
      <c r="B3350" t="s">
        <v>209</v>
      </c>
      <c r="C3350">
        <v>56</v>
      </c>
      <c r="D3350" t="s">
        <v>211</v>
      </c>
      <c r="E3350">
        <v>968</v>
      </c>
      <c r="G3350" s="1">
        <v>0.1069</v>
      </c>
      <c r="H3350" s="1">
        <v>0.8931</v>
      </c>
    </row>
    <row r="3351" spans="1:8">
      <c r="A3351" t="s">
        <v>235</v>
      </c>
      <c r="B3351" t="s">
        <v>209</v>
      </c>
      <c r="C3351">
        <v>67</v>
      </c>
      <c r="D3351" t="s">
        <v>212</v>
      </c>
      <c r="E3351">
        <v>968</v>
      </c>
      <c r="F3351" s="1">
        <v>1.6199999999999999E-2</v>
      </c>
      <c r="G3351" s="1">
        <v>7.8299999999999995E-2</v>
      </c>
      <c r="H3351" s="1">
        <v>0.90549999999999997</v>
      </c>
    </row>
    <row r="3352" spans="1:8" s="26" customFormat="1">
      <c r="A3352" s="26" t="s">
        <v>236</v>
      </c>
      <c r="B3352" s="26" t="s">
        <v>209</v>
      </c>
      <c r="C3352" s="26">
        <v>18</v>
      </c>
      <c r="D3352" s="26" t="s">
        <v>212</v>
      </c>
      <c r="E3352" s="26">
        <v>968</v>
      </c>
      <c r="G3352" s="27">
        <v>0.1013</v>
      </c>
      <c r="H3352" s="27">
        <v>0.89870000000000005</v>
      </c>
    </row>
    <row r="3353" spans="1:8">
      <c r="A3353" t="s">
        <v>236</v>
      </c>
      <c r="B3353" t="s">
        <v>209</v>
      </c>
      <c r="C3353">
        <v>38</v>
      </c>
      <c r="D3353" t="s">
        <v>210</v>
      </c>
      <c r="E3353">
        <v>968</v>
      </c>
      <c r="G3353" s="1">
        <v>4.07E-2</v>
      </c>
      <c r="H3353" s="1">
        <v>0.95930000000000004</v>
      </c>
    </row>
    <row r="3354" spans="1:8">
      <c r="A3354" t="s">
        <v>235</v>
      </c>
      <c r="B3354" t="s">
        <v>209</v>
      </c>
      <c r="C3354">
        <v>32</v>
      </c>
      <c r="D3354" t="s">
        <v>210</v>
      </c>
      <c r="E3354">
        <v>968</v>
      </c>
      <c r="G3354" s="1">
        <v>3.2300000000000002E-2</v>
      </c>
      <c r="H3354" s="1">
        <v>0.9677</v>
      </c>
    </row>
    <row r="3356" spans="1:8">
      <c r="A3356" t="s">
        <v>877</v>
      </c>
    </row>
    <row r="3357" spans="1:8">
      <c r="A3357" t="s">
        <v>189</v>
      </c>
      <c r="B3357" t="s">
        <v>195</v>
      </c>
      <c r="C3357" t="s">
        <v>190</v>
      </c>
      <c r="D3357" t="s">
        <v>196</v>
      </c>
      <c r="E3357" t="s">
        <v>873</v>
      </c>
      <c r="F3357" t="s">
        <v>223</v>
      </c>
      <c r="G3357" t="s">
        <v>874</v>
      </c>
      <c r="H3357" t="s">
        <v>875</v>
      </c>
    </row>
    <row r="3358" spans="1:8">
      <c r="A3358" t="s">
        <v>197</v>
      </c>
      <c r="B3358">
        <v>968</v>
      </c>
      <c r="C3358" t="s">
        <v>198</v>
      </c>
      <c r="D3358">
        <v>968</v>
      </c>
      <c r="E3358" s="1">
        <v>2.5999999999999999E-3</v>
      </c>
      <c r="F3358" s="1">
        <v>4.0000000000000002E-4</v>
      </c>
      <c r="G3358" s="1">
        <v>5.1299999999999998E-2</v>
      </c>
      <c r="H3358" s="1">
        <v>0.94569999999999999</v>
      </c>
    </row>
    <row r="3359" spans="1:8">
      <c r="A3359" t="s">
        <v>204</v>
      </c>
      <c r="B3359">
        <v>91</v>
      </c>
      <c r="C3359" t="s">
        <v>205</v>
      </c>
      <c r="D3359">
        <v>968</v>
      </c>
      <c r="G3359" s="1">
        <v>1.3299999999999999E-2</v>
      </c>
      <c r="H3359" s="1">
        <v>0.98670000000000002</v>
      </c>
    </row>
    <row r="3360" spans="1:8">
      <c r="A3360" t="s">
        <v>204</v>
      </c>
      <c r="B3360">
        <v>72</v>
      </c>
      <c r="C3360" t="s">
        <v>206</v>
      </c>
      <c r="D3360">
        <v>968</v>
      </c>
      <c r="G3360" s="1">
        <v>1.6299999999999999E-2</v>
      </c>
      <c r="H3360" s="1">
        <v>0.98370000000000002</v>
      </c>
    </row>
    <row r="3361" spans="1:9">
      <c r="A3361" t="s">
        <v>204</v>
      </c>
      <c r="B3361">
        <v>131</v>
      </c>
      <c r="C3361" t="s">
        <v>207</v>
      </c>
      <c r="D3361">
        <v>968</v>
      </c>
      <c r="F3361" s="1">
        <v>2.5000000000000001E-3</v>
      </c>
      <c r="G3361" s="1">
        <v>0.1235</v>
      </c>
      <c r="H3361" s="1">
        <v>0.874</v>
      </c>
    </row>
    <row r="3362" spans="1:9">
      <c r="A3362" t="s">
        <v>204</v>
      </c>
      <c r="B3362">
        <v>74</v>
      </c>
      <c r="C3362" t="s">
        <v>208</v>
      </c>
      <c r="D3362">
        <v>968</v>
      </c>
      <c r="G3362" s="1">
        <v>2.7E-2</v>
      </c>
      <c r="H3362" s="1">
        <v>0.97299999999999998</v>
      </c>
    </row>
    <row r="3363" spans="1:9">
      <c r="A3363" t="s">
        <v>199</v>
      </c>
      <c r="B3363">
        <v>73</v>
      </c>
      <c r="C3363" t="s">
        <v>200</v>
      </c>
      <c r="D3363">
        <v>968</v>
      </c>
      <c r="E3363" s="1">
        <v>1.6000000000000001E-3</v>
      </c>
      <c r="G3363" s="1">
        <v>7.9000000000000008E-3</v>
      </c>
      <c r="H3363" s="1">
        <v>0.99050000000000005</v>
      </c>
    </row>
    <row r="3364" spans="1:9">
      <c r="A3364" t="s">
        <v>199</v>
      </c>
      <c r="B3364">
        <v>96</v>
      </c>
      <c r="C3364" t="s">
        <v>201</v>
      </c>
      <c r="D3364">
        <v>968</v>
      </c>
      <c r="G3364" s="1">
        <v>7.2900000000000006E-2</v>
      </c>
      <c r="H3364" s="1">
        <v>0.92710000000000004</v>
      </c>
    </row>
    <row r="3365" spans="1:9">
      <c r="A3365" t="s">
        <v>199</v>
      </c>
      <c r="B3365">
        <v>98</v>
      </c>
      <c r="C3365" t="s">
        <v>202</v>
      </c>
      <c r="D3365">
        <v>968</v>
      </c>
      <c r="E3365" s="1">
        <v>1.3299999999999999E-2</v>
      </c>
      <c r="G3365" s="1">
        <v>4.87E-2</v>
      </c>
      <c r="H3365" s="1">
        <v>0.93799999999999994</v>
      </c>
    </row>
    <row r="3366" spans="1:9">
      <c r="A3366" t="s">
        <v>199</v>
      </c>
      <c r="B3366">
        <v>77</v>
      </c>
      <c r="C3366" t="s">
        <v>203</v>
      </c>
      <c r="D3366">
        <v>968</v>
      </c>
      <c r="G3366" s="1">
        <v>2.5999999999999999E-2</v>
      </c>
      <c r="H3366" s="1">
        <v>0.97399999999999998</v>
      </c>
    </row>
    <row r="3367" spans="1:9">
      <c r="A3367" t="s">
        <v>209</v>
      </c>
      <c r="B3367">
        <v>74</v>
      </c>
      <c r="C3367" t="s">
        <v>210</v>
      </c>
      <c r="D3367">
        <v>968</v>
      </c>
      <c r="G3367" s="1">
        <v>1.67E-2</v>
      </c>
      <c r="H3367" s="1">
        <v>0.98329999999999995</v>
      </c>
    </row>
    <row r="3368" spans="1:9">
      <c r="A3368" t="s">
        <v>209</v>
      </c>
      <c r="B3368">
        <v>97</v>
      </c>
      <c r="C3368" t="s">
        <v>211</v>
      </c>
      <c r="D3368">
        <v>968</v>
      </c>
      <c r="E3368" s="1">
        <v>1.2E-2</v>
      </c>
      <c r="G3368" s="1">
        <v>3.6700000000000003E-2</v>
      </c>
      <c r="H3368" s="1">
        <v>0.95120000000000005</v>
      </c>
    </row>
    <row r="3369" spans="1:9">
      <c r="A3369" t="s">
        <v>209</v>
      </c>
      <c r="B3369">
        <v>85</v>
      </c>
      <c r="C3369" t="s">
        <v>212</v>
      </c>
      <c r="D3369">
        <v>968</v>
      </c>
      <c r="G3369" s="1">
        <v>3.2800000000000003E-2</v>
      </c>
      <c r="H3369" s="1">
        <v>0.96719999999999995</v>
      </c>
    </row>
    <row r="3371" spans="1:9">
      <c r="A3371" t="s">
        <v>878</v>
      </c>
    </row>
    <row r="3372" spans="1:9">
      <c r="A3372" t="s">
        <v>214</v>
      </c>
      <c r="B3372" t="s">
        <v>189</v>
      </c>
      <c r="C3372" t="s">
        <v>195</v>
      </c>
      <c r="D3372" t="s">
        <v>190</v>
      </c>
      <c r="E3372" t="s">
        <v>196</v>
      </c>
      <c r="F3372" t="s">
        <v>873</v>
      </c>
      <c r="G3372" t="s">
        <v>223</v>
      </c>
      <c r="H3372" t="s">
        <v>874</v>
      </c>
      <c r="I3372" t="s">
        <v>875</v>
      </c>
    </row>
    <row r="3373" spans="1:9">
      <c r="A3373" t="s">
        <v>198</v>
      </c>
      <c r="B3373" t="s">
        <v>197</v>
      </c>
      <c r="C3373">
        <v>968</v>
      </c>
      <c r="D3373" t="s">
        <v>198</v>
      </c>
      <c r="E3373">
        <v>968</v>
      </c>
      <c r="F3373" s="1">
        <v>2.5999999999999999E-3</v>
      </c>
      <c r="G3373" s="1">
        <v>4.0000000000000002E-4</v>
      </c>
      <c r="H3373" s="1">
        <v>5.1299999999999998E-2</v>
      </c>
      <c r="I3373" s="1">
        <v>0.94569999999999999</v>
      </c>
    </row>
    <row r="3374" spans="1:9">
      <c r="A3374" t="s">
        <v>235</v>
      </c>
      <c r="B3374" t="s">
        <v>204</v>
      </c>
      <c r="C3374">
        <v>63</v>
      </c>
      <c r="D3374" t="s">
        <v>208</v>
      </c>
      <c r="E3374">
        <v>968</v>
      </c>
      <c r="H3374" s="1">
        <v>1.5900000000000001E-2</v>
      </c>
      <c r="I3374" s="1">
        <v>0.98409999999999997</v>
      </c>
    </row>
    <row r="3375" spans="1:9">
      <c r="A3375" t="s">
        <v>236</v>
      </c>
      <c r="B3375" t="s">
        <v>204</v>
      </c>
      <c r="C3375">
        <v>32</v>
      </c>
      <c r="D3375" t="s">
        <v>205</v>
      </c>
      <c r="E3375">
        <v>968</v>
      </c>
      <c r="H3375" s="1">
        <v>7.4899999999999994E-2</v>
      </c>
      <c r="I3375" s="1">
        <v>0.92510000000000003</v>
      </c>
    </row>
    <row r="3376" spans="1:9">
      <c r="A3376" t="s">
        <v>235</v>
      </c>
      <c r="B3376" t="s">
        <v>204</v>
      </c>
      <c r="C3376">
        <v>58</v>
      </c>
      <c r="D3376" t="s">
        <v>205</v>
      </c>
      <c r="E3376">
        <v>968</v>
      </c>
      <c r="I3376" s="1">
        <v>1</v>
      </c>
    </row>
    <row r="3377" spans="1:9" s="26" customFormat="1">
      <c r="A3377" s="26" t="s">
        <v>236</v>
      </c>
      <c r="B3377" s="26" t="s">
        <v>204</v>
      </c>
      <c r="C3377" s="26">
        <v>21</v>
      </c>
      <c r="D3377" s="26" t="s">
        <v>206</v>
      </c>
      <c r="E3377" s="26">
        <v>968</v>
      </c>
      <c r="I3377" s="27">
        <v>1</v>
      </c>
    </row>
    <row r="3378" spans="1:9">
      <c r="A3378" t="s">
        <v>235</v>
      </c>
      <c r="B3378" t="s">
        <v>204</v>
      </c>
      <c r="C3378">
        <v>47</v>
      </c>
      <c r="D3378" t="s">
        <v>206</v>
      </c>
      <c r="E3378">
        <v>968</v>
      </c>
      <c r="H3378" s="1">
        <v>2.4E-2</v>
      </c>
      <c r="I3378" s="1">
        <v>0.97599999999999998</v>
      </c>
    </row>
    <row r="3379" spans="1:9">
      <c r="A3379" t="s">
        <v>236</v>
      </c>
      <c r="B3379" t="s">
        <v>204</v>
      </c>
      <c r="C3379">
        <v>81</v>
      </c>
      <c r="D3379" t="s">
        <v>207</v>
      </c>
      <c r="E3379">
        <v>968</v>
      </c>
      <c r="G3379" s="1">
        <v>6.1000000000000004E-3</v>
      </c>
      <c r="H3379" s="1">
        <v>7.4099999999999999E-2</v>
      </c>
      <c r="I3379" s="1">
        <v>0.91969999999999996</v>
      </c>
    </row>
    <row r="3380" spans="1:9">
      <c r="A3380" t="s">
        <v>235</v>
      </c>
      <c r="B3380" t="s">
        <v>204</v>
      </c>
      <c r="C3380">
        <v>45</v>
      </c>
      <c r="D3380" t="s">
        <v>207</v>
      </c>
      <c r="E3380">
        <v>968</v>
      </c>
      <c r="H3380" s="1">
        <v>0.16089999999999999</v>
      </c>
      <c r="I3380" s="1">
        <v>0.83909999999999996</v>
      </c>
    </row>
    <row r="3381" spans="1:9" s="26" customFormat="1">
      <c r="A3381" s="26" t="s">
        <v>236</v>
      </c>
      <c r="B3381" s="26" t="s">
        <v>204</v>
      </c>
      <c r="C3381" s="26">
        <v>11</v>
      </c>
      <c r="D3381" s="26" t="s">
        <v>208</v>
      </c>
      <c r="E3381" s="26">
        <v>968</v>
      </c>
      <c r="H3381" s="27">
        <v>9.0899999999999995E-2</v>
      </c>
      <c r="I3381" s="27">
        <v>0.90910000000000002</v>
      </c>
    </row>
    <row r="3382" spans="1:9">
      <c r="A3382" t="s">
        <v>235</v>
      </c>
      <c r="B3382" t="s">
        <v>199</v>
      </c>
      <c r="C3382">
        <v>44</v>
      </c>
      <c r="D3382" t="s">
        <v>203</v>
      </c>
      <c r="E3382">
        <v>968</v>
      </c>
      <c r="H3382" s="1">
        <v>2.8299999999999999E-2</v>
      </c>
      <c r="I3382" s="1">
        <v>0.97170000000000001</v>
      </c>
    </row>
    <row r="3383" spans="1:9">
      <c r="A3383" t="s">
        <v>236</v>
      </c>
      <c r="B3383" t="s">
        <v>199</v>
      </c>
      <c r="C3383">
        <v>32</v>
      </c>
      <c r="D3383" t="s">
        <v>203</v>
      </c>
      <c r="E3383">
        <v>968</v>
      </c>
      <c r="H3383" s="1">
        <v>2.3900000000000001E-2</v>
      </c>
      <c r="I3383" s="1">
        <v>0.97609999999999997</v>
      </c>
    </row>
    <row r="3384" spans="1:9">
      <c r="A3384" t="s">
        <v>235</v>
      </c>
      <c r="B3384" t="s">
        <v>199</v>
      </c>
      <c r="C3384">
        <v>60</v>
      </c>
      <c r="D3384" t="s">
        <v>202</v>
      </c>
      <c r="E3384">
        <v>968</v>
      </c>
      <c r="F3384" s="1">
        <v>2.3199999999999998E-2</v>
      </c>
      <c r="H3384" s="1">
        <v>3.7999999999999999E-2</v>
      </c>
      <c r="I3384" s="1">
        <v>0.93869999999999998</v>
      </c>
    </row>
    <row r="3385" spans="1:9" s="26" customFormat="1">
      <c r="A3385" s="26" t="s">
        <v>236</v>
      </c>
      <c r="B3385" s="26" t="s">
        <v>199</v>
      </c>
      <c r="C3385" s="26">
        <v>24</v>
      </c>
      <c r="D3385" s="26" t="s">
        <v>200</v>
      </c>
      <c r="E3385" s="26">
        <v>968</v>
      </c>
      <c r="H3385" s="27">
        <v>3.3999999999999998E-3</v>
      </c>
      <c r="I3385" s="27">
        <v>0.99660000000000004</v>
      </c>
    </row>
    <row r="3386" spans="1:9">
      <c r="A3386" t="s">
        <v>235</v>
      </c>
      <c r="B3386" t="s">
        <v>199</v>
      </c>
      <c r="C3386">
        <v>46</v>
      </c>
      <c r="D3386" t="s">
        <v>200</v>
      </c>
      <c r="E3386">
        <v>968</v>
      </c>
      <c r="F3386" s="1">
        <v>3.0000000000000001E-3</v>
      </c>
      <c r="H3386" s="1">
        <v>1.2E-2</v>
      </c>
      <c r="I3386" s="1">
        <v>0.98499999999999999</v>
      </c>
    </row>
    <row r="3387" spans="1:9">
      <c r="A3387" t="s">
        <v>236</v>
      </c>
      <c r="B3387" t="s">
        <v>199</v>
      </c>
      <c r="C3387">
        <v>37</v>
      </c>
      <c r="D3387" t="s">
        <v>202</v>
      </c>
      <c r="E3387">
        <v>968</v>
      </c>
      <c r="H3387" s="1">
        <v>6.5100000000000005E-2</v>
      </c>
      <c r="I3387" s="1">
        <v>0.93489999999999995</v>
      </c>
    </row>
    <row r="3388" spans="1:9">
      <c r="A3388" t="s">
        <v>235</v>
      </c>
      <c r="B3388" t="s">
        <v>199</v>
      </c>
      <c r="C3388">
        <v>96</v>
      </c>
      <c r="D3388" t="s">
        <v>201</v>
      </c>
      <c r="E3388">
        <v>968</v>
      </c>
      <c r="H3388" s="1">
        <v>7.2900000000000006E-2</v>
      </c>
      <c r="I3388" s="1">
        <v>0.92710000000000004</v>
      </c>
    </row>
    <row r="3389" spans="1:9">
      <c r="A3389" t="s">
        <v>236</v>
      </c>
      <c r="B3389" t="s">
        <v>209</v>
      </c>
      <c r="C3389">
        <v>39</v>
      </c>
      <c r="D3389" t="s">
        <v>211</v>
      </c>
      <c r="E3389">
        <v>968</v>
      </c>
      <c r="H3389" s="1">
        <v>5.7299999999999997E-2</v>
      </c>
      <c r="I3389" s="1">
        <v>0.94269999999999998</v>
      </c>
    </row>
    <row r="3390" spans="1:9">
      <c r="A3390" t="s">
        <v>235</v>
      </c>
      <c r="B3390" t="s">
        <v>209</v>
      </c>
      <c r="C3390">
        <v>56</v>
      </c>
      <c r="D3390" t="s">
        <v>211</v>
      </c>
      <c r="E3390">
        <v>968</v>
      </c>
      <c r="F3390" s="1">
        <v>1.9599999999999999E-2</v>
      </c>
      <c r="H3390" s="1">
        <v>2.6599999999999999E-2</v>
      </c>
      <c r="I3390" s="1">
        <v>0.95379999999999998</v>
      </c>
    </row>
    <row r="3391" spans="1:9">
      <c r="A3391" t="s">
        <v>235</v>
      </c>
      <c r="B3391" t="s">
        <v>209</v>
      </c>
      <c r="C3391">
        <v>67</v>
      </c>
      <c r="D3391" t="s">
        <v>212</v>
      </c>
      <c r="E3391">
        <v>968</v>
      </c>
      <c r="H3391" s="1">
        <v>2.9600000000000001E-2</v>
      </c>
      <c r="I3391" s="1">
        <v>0.97040000000000004</v>
      </c>
    </row>
    <row r="3392" spans="1:9" s="26" customFormat="1">
      <c r="A3392" s="26" t="s">
        <v>236</v>
      </c>
      <c r="B3392" s="26" t="s">
        <v>209</v>
      </c>
      <c r="C3392" s="26">
        <v>18</v>
      </c>
      <c r="D3392" s="26" t="s">
        <v>212</v>
      </c>
      <c r="E3392" s="26">
        <v>968</v>
      </c>
      <c r="H3392" s="27">
        <v>5.2499999999999998E-2</v>
      </c>
      <c r="I3392" s="27">
        <v>0.94750000000000001</v>
      </c>
    </row>
    <row r="3393" spans="1:11">
      <c r="A3393" t="s">
        <v>236</v>
      </c>
      <c r="B3393" t="s">
        <v>209</v>
      </c>
      <c r="C3393">
        <v>38</v>
      </c>
      <c r="D3393" t="s">
        <v>210</v>
      </c>
      <c r="E3393">
        <v>968</v>
      </c>
      <c r="H3393" s="1">
        <v>4.07E-2</v>
      </c>
      <c r="I3393" s="1">
        <v>0.95930000000000004</v>
      </c>
    </row>
    <row r="3394" spans="1:11">
      <c r="A3394" t="s">
        <v>235</v>
      </c>
      <c r="B3394" t="s">
        <v>209</v>
      </c>
      <c r="C3394">
        <v>32</v>
      </c>
      <c r="D3394" t="s">
        <v>210</v>
      </c>
      <c r="E3394">
        <v>968</v>
      </c>
      <c r="I3394" s="1">
        <v>1</v>
      </c>
    </row>
    <row r="3396" spans="1:11">
      <c r="A3396" t="s">
        <v>879</v>
      </c>
    </row>
    <row r="3397" spans="1:11">
      <c r="A3397" t="s">
        <v>189</v>
      </c>
      <c r="B3397" t="s">
        <v>195</v>
      </c>
      <c r="C3397" t="s">
        <v>190</v>
      </c>
      <c r="D3397" t="s">
        <v>196</v>
      </c>
      <c r="E3397" t="s">
        <v>880</v>
      </c>
      <c r="F3397" t="s">
        <v>881</v>
      </c>
      <c r="G3397" t="s">
        <v>228</v>
      </c>
      <c r="H3397" t="s">
        <v>882</v>
      </c>
      <c r="I3397" t="s">
        <v>883</v>
      </c>
      <c r="J3397" t="s">
        <v>276</v>
      </c>
      <c r="K3397" t="s">
        <v>884</v>
      </c>
    </row>
    <row r="3398" spans="1:11">
      <c r="A3398" t="s">
        <v>197</v>
      </c>
      <c r="B3398">
        <v>967</v>
      </c>
      <c r="C3398" t="s">
        <v>198</v>
      </c>
      <c r="D3398">
        <v>967</v>
      </c>
      <c r="E3398" s="1">
        <v>8.3000000000000001E-3</v>
      </c>
      <c r="F3398" s="1">
        <v>0.58879999999999999</v>
      </c>
      <c r="G3398" s="1">
        <v>2.8E-3</v>
      </c>
      <c r="H3398" s="1">
        <v>6.3399999999999998E-2</v>
      </c>
      <c r="I3398" s="1">
        <v>0.21859999999999999</v>
      </c>
      <c r="J3398" s="1">
        <v>4.4999999999999997E-3</v>
      </c>
      <c r="K3398" s="1">
        <v>0.1711</v>
      </c>
    </row>
    <row r="3399" spans="1:11">
      <c r="A3399" t="s">
        <v>204</v>
      </c>
      <c r="B3399">
        <v>91</v>
      </c>
      <c r="C3399" t="s">
        <v>205</v>
      </c>
      <c r="D3399">
        <v>967</v>
      </c>
      <c r="E3399" s="1">
        <v>2.3999999999999998E-3</v>
      </c>
      <c r="F3399" s="1">
        <v>0.58620000000000005</v>
      </c>
      <c r="H3399" s="1">
        <v>8.0299999999999996E-2</v>
      </c>
      <c r="I3399" s="1">
        <v>0.2059</v>
      </c>
      <c r="J3399" s="1">
        <v>1.34E-2</v>
      </c>
      <c r="K3399" s="1">
        <v>0.153</v>
      </c>
    </row>
    <row r="3400" spans="1:11">
      <c r="A3400" t="s">
        <v>204</v>
      </c>
      <c r="B3400">
        <v>72</v>
      </c>
      <c r="C3400" t="s">
        <v>206</v>
      </c>
      <c r="D3400">
        <v>967</v>
      </c>
      <c r="E3400" s="1">
        <v>6.0400000000000002E-2</v>
      </c>
      <c r="F3400" s="1">
        <v>0.31859999999999999</v>
      </c>
      <c r="H3400" s="1">
        <v>0.14879999999999999</v>
      </c>
      <c r="I3400" s="1">
        <v>0.20019999999999999</v>
      </c>
      <c r="J3400" s="1">
        <v>1.6299999999999999E-2</v>
      </c>
      <c r="K3400" s="1">
        <v>0.379</v>
      </c>
    </row>
    <row r="3401" spans="1:11">
      <c r="A3401" t="s">
        <v>204</v>
      </c>
      <c r="B3401">
        <v>130</v>
      </c>
      <c r="C3401" t="s">
        <v>207</v>
      </c>
      <c r="D3401">
        <v>967</v>
      </c>
      <c r="E3401" s="1">
        <v>1.5E-3</v>
      </c>
      <c r="F3401" s="1">
        <v>0.52880000000000005</v>
      </c>
      <c r="H3401" s="1">
        <v>8.8999999999999999E-3</v>
      </c>
      <c r="I3401" s="1">
        <v>0.2452</v>
      </c>
      <c r="K3401" s="1">
        <v>0.33239999999999997</v>
      </c>
    </row>
    <row r="3402" spans="1:11">
      <c r="A3402" t="s">
        <v>204</v>
      </c>
      <c r="B3402">
        <v>74</v>
      </c>
      <c r="C3402" t="s">
        <v>208</v>
      </c>
      <c r="D3402">
        <v>967</v>
      </c>
      <c r="E3402" s="1">
        <v>2.7E-2</v>
      </c>
      <c r="F3402" s="1">
        <v>0.6351</v>
      </c>
      <c r="H3402" s="1">
        <v>6.7599999999999993E-2</v>
      </c>
      <c r="I3402" s="1">
        <v>0.14860000000000001</v>
      </c>
      <c r="K3402" s="1">
        <v>0.20269999999999999</v>
      </c>
    </row>
    <row r="3403" spans="1:11">
      <c r="A3403" t="s">
        <v>199</v>
      </c>
      <c r="B3403">
        <v>73</v>
      </c>
      <c r="C3403" t="s">
        <v>200</v>
      </c>
      <c r="D3403">
        <v>967</v>
      </c>
      <c r="F3403" s="1">
        <v>0.31850000000000001</v>
      </c>
      <c r="H3403" s="1">
        <v>6.8400000000000002E-2</v>
      </c>
      <c r="I3403" s="1">
        <v>0.21779999999999999</v>
      </c>
      <c r="K3403" s="1">
        <v>0.48270000000000002</v>
      </c>
    </row>
    <row r="3404" spans="1:11">
      <c r="A3404" t="s">
        <v>199</v>
      </c>
      <c r="B3404">
        <v>96</v>
      </c>
      <c r="C3404" t="s">
        <v>201</v>
      </c>
      <c r="D3404">
        <v>967</v>
      </c>
      <c r="E3404" s="1">
        <v>1.04E-2</v>
      </c>
      <c r="F3404" s="1">
        <v>0.83330000000000004</v>
      </c>
      <c r="H3404" s="1">
        <v>7.2900000000000006E-2</v>
      </c>
      <c r="I3404" s="1">
        <v>7.2900000000000006E-2</v>
      </c>
      <c r="K3404" s="1">
        <v>1.04E-2</v>
      </c>
    </row>
    <row r="3405" spans="1:11">
      <c r="A3405" t="s">
        <v>199</v>
      </c>
      <c r="B3405">
        <v>98</v>
      </c>
      <c r="C3405" t="s">
        <v>202</v>
      </c>
      <c r="D3405">
        <v>967</v>
      </c>
      <c r="F3405" s="1">
        <v>0.57679999999999998</v>
      </c>
      <c r="H3405" s="1">
        <v>3.5799999999999998E-2</v>
      </c>
      <c r="I3405" s="1">
        <v>0.29659999999999997</v>
      </c>
      <c r="K3405" s="1">
        <v>0.1216</v>
      </c>
    </row>
    <row r="3406" spans="1:11">
      <c r="A3406" t="s">
        <v>199</v>
      </c>
      <c r="B3406">
        <v>77</v>
      </c>
      <c r="C3406" t="s">
        <v>203</v>
      </c>
      <c r="D3406">
        <v>967</v>
      </c>
      <c r="F3406" s="1">
        <v>0.33310000000000001</v>
      </c>
      <c r="G3406" s="1">
        <v>1.9E-2</v>
      </c>
      <c r="H3406" s="1">
        <v>4.4600000000000001E-2</v>
      </c>
      <c r="I3406" s="1">
        <v>0.4551</v>
      </c>
      <c r="K3406" s="1">
        <v>0.3105</v>
      </c>
    </row>
    <row r="3407" spans="1:11">
      <c r="A3407" t="s">
        <v>209</v>
      </c>
      <c r="B3407">
        <v>74</v>
      </c>
      <c r="C3407" t="s">
        <v>210</v>
      </c>
      <c r="D3407">
        <v>967</v>
      </c>
      <c r="E3407" s="1">
        <v>6.7699999999999996E-2</v>
      </c>
      <c r="F3407" s="1">
        <v>0.38590000000000002</v>
      </c>
      <c r="H3407" s="1">
        <v>0.1321</v>
      </c>
      <c r="I3407" s="1">
        <v>0.3039</v>
      </c>
      <c r="K3407" s="1">
        <v>0.2666</v>
      </c>
    </row>
    <row r="3408" spans="1:11">
      <c r="A3408" t="s">
        <v>209</v>
      </c>
      <c r="B3408">
        <v>97</v>
      </c>
      <c r="C3408" t="s">
        <v>211</v>
      </c>
      <c r="D3408">
        <v>967</v>
      </c>
      <c r="E3408" s="1">
        <v>2.0500000000000001E-2</v>
      </c>
      <c r="F3408" s="1">
        <v>0.34289999999999998</v>
      </c>
      <c r="G3408" s="1">
        <v>1.2E-2</v>
      </c>
      <c r="H3408" s="1">
        <v>8.2799999999999999E-2</v>
      </c>
      <c r="I3408" s="1">
        <v>0.33439999999999998</v>
      </c>
      <c r="K3408" s="1">
        <v>0.34</v>
      </c>
    </row>
    <row r="3409" spans="1:11">
      <c r="A3409" t="s">
        <v>209</v>
      </c>
      <c r="B3409">
        <v>85</v>
      </c>
      <c r="C3409" t="s">
        <v>212</v>
      </c>
      <c r="D3409">
        <v>967</v>
      </c>
      <c r="E3409" s="1">
        <v>1.5900000000000001E-2</v>
      </c>
      <c r="F3409" s="1">
        <v>0.53759999999999997</v>
      </c>
      <c r="G3409" s="1">
        <v>1.4E-2</v>
      </c>
      <c r="H3409" s="1">
        <v>0.11020000000000001</v>
      </c>
      <c r="I3409" s="1">
        <v>0.26419999999999999</v>
      </c>
      <c r="J3409" s="1">
        <v>1.4E-2</v>
      </c>
      <c r="K3409" s="1">
        <v>8.2199999999999995E-2</v>
      </c>
    </row>
    <row r="3411" spans="1:11">
      <c r="A3411" t="s">
        <v>879</v>
      </c>
    </row>
    <row r="3412" spans="1:11">
      <c r="A3412" t="s">
        <v>189</v>
      </c>
      <c r="B3412" t="s">
        <v>195</v>
      </c>
      <c r="C3412" t="s">
        <v>190</v>
      </c>
      <c r="D3412" t="s">
        <v>196</v>
      </c>
      <c r="E3412" t="s">
        <v>880</v>
      </c>
      <c r="F3412" t="s">
        <v>881</v>
      </c>
      <c r="G3412" t="s">
        <v>228</v>
      </c>
      <c r="H3412" t="s">
        <v>882</v>
      </c>
      <c r="I3412" t="s">
        <v>883</v>
      </c>
      <c r="J3412" t="s">
        <v>276</v>
      </c>
      <c r="K3412" t="s">
        <v>884</v>
      </c>
    </row>
    <row r="3413" spans="1:11">
      <c r="A3413" t="s">
        <v>197</v>
      </c>
      <c r="B3413">
        <v>967</v>
      </c>
      <c r="C3413" t="s">
        <v>198</v>
      </c>
      <c r="D3413">
        <v>967</v>
      </c>
      <c r="E3413" s="1">
        <v>8.3000000000000001E-3</v>
      </c>
      <c r="F3413" s="1">
        <v>0.58879999999999999</v>
      </c>
      <c r="G3413" s="1">
        <v>2.8E-3</v>
      </c>
      <c r="H3413" s="1">
        <v>6.3399999999999998E-2</v>
      </c>
      <c r="I3413" s="1">
        <v>0.21859999999999999</v>
      </c>
      <c r="J3413" s="1">
        <v>4.4999999999999997E-3</v>
      </c>
      <c r="K3413" s="1">
        <v>0.1711</v>
      </c>
    </row>
    <row r="3414" spans="1:11">
      <c r="A3414" t="s">
        <v>204</v>
      </c>
      <c r="B3414">
        <v>91</v>
      </c>
      <c r="C3414" t="s">
        <v>205</v>
      </c>
      <c r="D3414">
        <v>967</v>
      </c>
      <c r="E3414" s="1">
        <v>2.3999999999999998E-3</v>
      </c>
      <c r="F3414" s="1">
        <v>0.58620000000000005</v>
      </c>
      <c r="H3414" s="1">
        <v>8.0299999999999996E-2</v>
      </c>
      <c r="I3414" s="1">
        <v>0.2059</v>
      </c>
      <c r="J3414" s="1">
        <v>1.34E-2</v>
      </c>
      <c r="K3414" s="1">
        <v>0.153</v>
      </c>
    </row>
    <row r="3415" spans="1:11">
      <c r="A3415" t="s">
        <v>204</v>
      </c>
      <c r="B3415">
        <v>72</v>
      </c>
      <c r="C3415" t="s">
        <v>206</v>
      </c>
      <c r="D3415">
        <v>967</v>
      </c>
      <c r="E3415" s="1">
        <v>6.0400000000000002E-2</v>
      </c>
      <c r="F3415" s="1">
        <v>0.31859999999999999</v>
      </c>
      <c r="H3415" s="1">
        <v>0.14879999999999999</v>
      </c>
      <c r="I3415" s="1">
        <v>0.20019999999999999</v>
      </c>
      <c r="J3415" s="1">
        <v>1.6299999999999999E-2</v>
      </c>
      <c r="K3415" s="1">
        <v>0.379</v>
      </c>
    </row>
    <row r="3416" spans="1:11">
      <c r="A3416" t="s">
        <v>204</v>
      </c>
      <c r="B3416">
        <v>130</v>
      </c>
      <c r="C3416" t="s">
        <v>207</v>
      </c>
      <c r="D3416">
        <v>967</v>
      </c>
      <c r="E3416" s="1">
        <v>1.5E-3</v>
      </c>
      <c r="F3416" s="1">
        <v>0.52880000000000005</v>
      </c>
      <c r="H3416" s="1">
        <v>8.8999999999999999E-3</v>
      </c>
      <c r="I3416" s="1">
        <v>0.2452</v>
      </c>
      <c r="K3416" s="1">
        <v>0.33239999999999997</v>
      </c>
    </row>
    <row r="3417" spans="1:11">
      <c r="A3417" t="s">
        <v>204</v>
      </c>
      <c r="B3417">
        <v>74</v>
      </c>
      <c r="C3417" t="s">
        <v>208</v>
      </c>
      <c r="D3417">
        <v>967</v>
      </c>
      <c r="E3417" s="1">
        <v>2.7E-2</v>
      </c>
      <c r="F3417" s="1">
        <v>0.6351</v>
      </c>
      <c r="H3417" s="1">
        <v>6.7599999999999993E-2</v>
      </c>
      <c r="I3417" s="1">
        <v>0.14860000000000001</v>
      </c>
      <c r="K3417" s="1">
        <v>0.20269999999999999</v>
      </c>
    </row>
    <row r="3418" spans="1:11">
      <c r="A3418" t="s">
        <v>199</v>
      </c>
      <c r="B3418">
        <v>73</v>
      </c>
      <c r="C3418" t="s">
        <v>200</v>
      </c>
      <c r="D3418">
        <v>967</v>
      </c>
      <c r="F3418" s="1">
        <v>0.31850000000000001</v>
      </c>
      <c r="H3418" s="1">
        <v>6.8400000000000002E-2</v>
      </c>
      <c r="I3418" s="1">
        <v>0.21779999999999999</v>
      </c>
      <c r="K3418" s="1">
        <v>0.48270000000000002</v>
      </c>
    </row>
    <row r="3419" spans="1:11">
      <c r="A3419" t="s">
        <v>199</v>
      </c>
      <c r="B3419">
        <v>96</v>
      </c>
      <c r="C3419" t="s">
        <v>201</v>
      </c>
      <c r="D3419">
        <v>967</v>
      </c>
      <c r="E3419" s="1">
        <v>1.04E-2</v>
      </c>
      <c r="F3419" s="1">
        <v>0.83330000000000004</v>
      </c>
      <c r="H3419" s="1">
        <v>7.2900000000000006E-2</v>
      </c>
      <c r="I3419" s="1">
        <v>7.2900000000000006E-2</v>
      </c>
      <c r="K3419" s="1">
        <v>1.04E-2</v>
      </c>
    </row>
    <row r="3420" spans="1:11">
      <c r="A3420" t="s">
        <v>199</v>
      </c>
      <c r="B3420">
        <v>98</v>
      </c>
      <c r="C3420" t="s">
        <v>202</v>
      </c>
      <c r="D3420">
        <v>967</v>
      </c>
      <c r="F3420" s="1">
        <v>0.57679999999999998</v>
      </c>
      <c r="H3420" s="1">
        <v>3.5799999999999998E-2</v>
      </c>
      <c r="I3420" s="1">
        <v>0.29659999999999997</v>
      </c>
      <c r="K3420" s="1">
        <v>0.1216</v>
      </c>
    </row>
    <row r="3421" spans="1:11">
      <c r="A3421" t="s">
        <v>199</v>
      </c>
      <c r="B3421">
        <v>77</v>
      </c>
      <c r="C3421" t="s">
        <v>203</v>
      </c>
      <c r="D3421">
        <v>967</v>
      </c>
      <c r="F3421" s="1">
        <v>0.33310000000000001</v>
      </c>
      <c r="G3421" s="1">
        <v>1.9E-2</v>
      </c>
      <c r="H3421" s="1">
        <v>4.4600000000000001E-2</v>
      </c>
      <c r="I3421" s="1">
        <v>0.4551</v>
      </c>
      <c r="K3421" s="1">
        <v>0.3105</v>
      </c>
    </row>
    <row r="3422" spans="1:11">
      <c r="A3422" t="s">
        <v>209</v>
      </c>
      <c r="B3422">
        <v>74</v>
      </c>
      <c r="C3422" t="s">
        <v>210</v>
      </c>
      <c r="D3422">
        <v>967</v>
      </c>
      <c r="E3422" s="1">
        <v>6.7699999999999996E-2</v>
      </c>
      <c r="F3422" s="1">
        <v>0.38590000000000002</v>
      </c>
      <c r="H3422" s="1">
        <v>0.1321</v>
      </c>
      <c r="I3422" s="1">
        <v>0.3039</v>
      </c>
      <c r="K3422" s="1">
        <v>0.2666</v>
      </c>
    </row>
    <row r="3423" spans="1:11">
      <c r="A3423" t="s">
        <v>209</v>
      </c>
      <c r="B3423">
        <v>97</v>
      </c>
      <c r="C3423" t="s">
        <v>211</v>
      </c>
      <c r="D3423">
        <v>967</v>
      </c>
      <c r="E3423" s="1">
        <v>2.0500000000000001E-2</v>
      </c>
      <c r="F3423" s="1">
        <v>0.34289999999999998</v>
      </c>
      <c r="G3423" s="1">
        <v>1.2E-2</v>
      </c>
      <c r="H3423" s="1">
        <v>8.2799999999999999E-2</v>
      </c>
      <c r="I3423" s="1">
        <v>0.33439999999999998</v>
      </c>
      <c r="K3423" s="1">
        <v>0.34</v>
      </c>
    </row>
    <row r="3424" spans="1:11">
      <c r="A3424" t="s">
        <v>209</v>
      </c>
      <c r="B3424">
        <v>85</v>
      </c>
      <c r="C3424" t="s">
        <v>212</v>
      </c>
      <c r="D3424">
        <v>967</v>
      </c>
      <c r="E3424" s="1">
        <v>1.5900000000000001E-2</v>
      </c>
      <c r="F3424" s="1">
        <v>0.53759999999999997</v>
      </c>
      <c r="G3424" s="1">
        <v>1.4E-2</v>
      </c>
      <c r="H3424" s="1">
        <v>0.11020000000000001</v>
      </c>
      <c r="I3424" s="1">
        <v>0.26419999999999999</v>
      </c>
      <c r="J3424" s="1">
        <v>1.4E-2</v>
      </c>
      <c r="K3424" s="1">
        <v>8.2199999999999995E-2</v>
      </c>
    </row>
    <row r="3426" spans="1:12">
      <c r="A3426" t="s">
        <v>885</v>
      </c>
    </row>
    <row r="3427" spans="1:12">
      <c r="A3427" t="s">
        <v>214</v>
      </c>
      <c r="B3427" t="s">
        <v>189</v>
      </c>
      <c r="C3427" t="s">
        <v>195</v>
      </c>
      <c r="D3427" t="s">
        <v>190</v>
      </c>
      <c r="E3427" t="s">
        <v>196</v>
      </c>
      <c r="F3427" t="s">
        <v>880</v>
      </c>
      <c r="G3427" t="s">
        <v>881</v>
      </c>
      <c r="H3427" t="s">
        <v>228</v>
      </c>
      <c r="I3427" t="s">
        <v>882</v>
      </c>
      <c r="J3427" t="s">
        <v>883</v>
      </c>
      <c r="K3427" t="s">
        <v>276</v>
      </c>
      <c r="L3427" t="s">
        <v>884</v>
      </c>
    </row>
    <row r="3428" spans="1:12">
      <c r="A3428" t="s">
        <v>198</v>
      </c>
      <c r="B3428" t="s">
        <v>197</v>
      </c>
      <c r="C3428">
        <v>967</v>
      </c>
      <c r="D3428" t="s">
        <v>198</v>
      </c>
      <c r="E3428">
        <v>967</v>
      </c>
      <c r="F3428" s="1">
        <v>8.3000000000000001E-3</v>
      </c>
      <c r="G3428" s="1">
        <v>0.58879999999999999</v>
      </c>
      <c r="H3428" s="1">
        <v>2.8E-3</v>
      </c>
      <c r="I3428" s="1">
        <v>6.3399999999999998E-2</v>
      </c>
      <c r="J3428" s="1">
        <v>0.21859999999999999</v>
      </c>
      <c r="K3428" s="1">
        <v>4.4999999999999997E-3</v>
      </c>
      <c r="L3428" s="1">
        <v>0.1711</v>
      </c>
    </row>
    <row r="3429" spans="1:12">
      <c r="A3429" t="s">
        <v>235</v>
      </c>
      <c r="B3429" t="s">
        <v>204</v>
      </c>
      <c r="C3429">
        <v>63</v>
      </c>
      <c r="D3429" t="s">
        <v>208</v>
      </c>
      <c r="E3429">
        <v>967</v>
      </c>
      <c r="F3429" s="1">
        <v>1.5900000000000001E-2</v>
      </c>
      <c r="G3429" s="1">
        <v>0.73019999999999996</v>
      </c>
      <c r="I3429" s="1">
        <v>6.3500000000000001E-2</v>
      </c>
      <c r="J3429" s="1">
        <v>0.15870000000000001</v>
      </c>
      <c r="L3429" s="1">
        <v>0.1111</v>
      </c>
    </row>
    <row r="3430" spans="1:12">
      <c r="A3430" t="s">
        <v>236</v>
      </c>
      <c r="B3430" t="s">
        <v>204</v>
      </c>
      <c r="C3430">
        <v>32</v>
      </c>
      <c r="D3430" t="s">
        <v>205</v>
      </c>
      <c r="E3430">
        <v>967</v>
      </c>
      <c r="F3430" s="1">
        <v>1.37E-2</v>
      </c>
      <c r="G3430" s="1">
        <v>0.30940000000000001</v>
      </c>
      <c r="I3430" s="1">
        <v>9.5600000000000004E-2</v>
      </c>
      <c r="J3430" s="1">
        <v>0.20530000000000001</v>
      </c>
      <c r="L3430" s="1">
        <v>0.4652</v>
      </c>
    </row>
    <row r="3431" spans="1:12">
      <c r="A3431" t="s">
        <v>235</v>
      </c>
      <c r="B3431" t="s">
        <v>204</v>
      </c>
      <c r="C3431">
        <v>58</v>
      </c>
      <c r="D3431" t="s">
        <v>205</v>
      </c>
      <c r="E3431">
        <v>967</v>
      </c>
      <c r="G3431" s="1">
        <v>0.64800000000000002</v>
      </c>
      <c r="I3431" s="1">
        <v>7.7200000000000005E-2</v>
      </c>
      <c r="J3431" s="1">
        <v>0.20669999999999999</v>
      </c>
      <c r="K3431" s="1">
        <v>1.6400000000000001E-2</v>
      </c>
      <c r="L3431" s="1">
        <v>8.2799999999999999E-2</v>
      </c>
    </row>
    <row r="3432" spans="1:12" s="26" customFormat="1">
      <c r="A3432" s="26" t="s">
        <v>236</v>
      </c>
      <c r="B3432" s="26" t="s">
        <v>204</v>
      </c>
      <c r="C3432" s="26">
        <v>21</v>
      </c>
      <c r="D3432" s="26" t="s">
        <v>206</v>
      </c>
      <c r="E3432" s="26">
        <v>967</v>
      </c>
      <c r="F3432" s="27">
        <v>5.9700000000000003E-2</v>
      </c>
      <c r="G3432" s="27">
        <v>0.14530000000000001</v>
      </c>
      <c r="I3432" s="27">
        <v>4.2799999999999998E-2</v>
      </c>
      <c r="J3432" s="27">
        <v>0.1711</v>
      </c>
      <c r="L3432" s="27">
        <v>0.76919999999999999</v>
      </c>
    </row>
    <row r="3433" spans="1:12">
      <c r="A3433" t="s">
        <v>235</v>
      </c>
      <c r="B3433" t="s">
        <v>204</v>
      </c>
      <c r="C3433">
        <v>47</v>
      </c>
      <c r="D3433" t="s">
        <v>206</v>
      </c>
      <c r="E3433">
        <v>967</v>
      </c>
      <c r="F3433" s="1">
        <v>4.8099999999999997E-2</v>
      </c>
      <c r="G3433" s="1">
        <v>0.38840000000000002</v>
      </c>
      <c r="I3433" s="1">
        <v>0.20269999999999999</v>
      </c>
      <c r="J3433" s="1">
        <v>0.19259999999999999</v>
      </c>
      <c r="K3433" s="1">
        <v>2.4E-2</v>
      </c>
      <c r="L3433" s="1">
        <v>0.23350000000000001</v>
      </c>
    </row>
    <row r="3434" spans="1:12">
      <c r="A3434" t="s">
        <v>236</v>
      </c>
      <c r="B3434" t="s">
        <v>204</v>
      </c>
      <c r="C3434">
        <v>80</v>
      </c>
      <c r="D3434" t="s">
        <v>207</v>
      </c>
      <c r="E3434">
        <v>967</v>
      </c>
      <c r="F3434" s="1">
        <v>3.7000000000000002E-3</v>
      </c>
      <c r="G3434" s="1">
        <v>0.18210000000000001</v>
      </c>
      <c r="I3434" s="1">
        <v>2.2100000000000002E-2</v>
      </c>
      <c r="J3434" s="1">
        <v>0.39269999999999999</v>
      </c>
      <c r="L3434" s="1">
        <v>0.67600000000000005</v>
      </c>
    </row>
    <row r="3435" spans="1:12">
      <c r="A3435" t="s">
        <v>235</v>
      </c>
      <c r="B3435" t="s">
        <v>204</v>
      </c>
      <c r="C3435">
        <v>45</v>
      </c>
      <c r="D3435" t="s">
        <v>207</v>
      </c>
      <c r="E3435">
        <v>967</v>
      </c>
      <c r="G3435" s="1">
        <v>0.77749999999999997</v>
      </c>
      <c r="J3435" s="1">
        <v>0.1399</v>
      </c>
      <c r="L3435" s="1">
        <v>8.6900000000000005E-2</v>
      </c>
    </row>
    <row r="3436" spans="1:12" s="26" customFormat="1">
      <c r="A3436" s="26" t="s">
        <v>236</v>
      </c>
      <c r="B3436" s="26" t="s">
        <v>204</v>
      </c>
      <c r="C3436" s="26">
        <v>11</v>
      </c>
      <c r="D3436" s="26" t="s">
        <v>208</v>
      </c>
      <c r="E3436" s="26">
        <v>967</v>
      </c>
      <c r="F3436" s="27">
        <v>9.0899999999999995E-2</v>
      </c>
      <c r="G3436" s="27">
        <v>9.0899999999999995E-2</v>
      </c>
      <c r="I3436" s="27">
        <v>9.0899999999999995E-2</v>
      </c>
      <c r="J3436" s="27">
        <v>9.0899999999999995E-2</v>
      </c>
      <c r="L3436" s="27">
        <v>0.72729999999999995</v>
      </c>
    </row>
    <row r="3437" spans="1:12">
      <c r="A3437" t="s">
        <v>235</v>
      </c>
      <c r="B3437" t="s">
        <v>199</v>
      </c>
      <c r="C3437">
        <v>44</v>
      </c>
      <c r="D3437" t="s">
        <v>203</v>
      </c>
      <c r="E3437">
        <v>967</v>
      </c>
      <c r="G3437" s="1">
        <v>0.47620000000000001</v>
      </c>
      <c r="I3437" s="1">
        <v>4.2799999999999998E-2</v>
      </c>
      <c r="J3437" s="1">
        <v>0.46860000000000002</v>
      </c>
      <c r="L3437" s="1">
        <v>0.17050000000000001</v>
      </c>
    </row>
    <row r="3438" spans="1:12">
      <c r="A3438" t="s">
        <v>236</v>
      </c>
      <c r="B3438" t="s">
        <v>199</v>
      </c>
      <c r="C3438">
        <v>32</v>
      </c>
      <c r="D3438" t="s">
        <v>203</v>
      </c>
      <c r="E3438">
        <v>967</v>
      </c>
      <c r="G3438" s="1">
        <v>2.1499999999999998E-2</v>
      </c>
      <c r="H3438" s="1">
        <v>5.5E-2</v>
      </c>
      <c r="I3438" s="1">
        <v>5.1299999999999998E-2</v>
      </c>
      <c r="J3438" s="1">
        <v>0.46600000000000003</v>
      </c>
      <c r="L3438" s="1">
        <v>0.58899999999999997</v>
      </c>
    </row>
    <row r="3439" spans="1:12">
      <c r="A3439" t="s">
        <v>235</v>
      </c>
      <c r="B3439" t="s">
        <v>199</v>
      </c>
      <c r="C3439">
        <v>60</v>
      </c>
      <c r="D3439" t="s">
        <v>202</v>
      </c>
      <c r="E3439">
        <v>967</v>
      </c>
      <c r="G3439" s="1">
        <v>0.76629999999999998</v>
      </c>
      <c r="I3439" s="1">
        <v>3.1E-2</v>
      </c>
      <c r="J3439" s="1">
        <v>0.17219999999999999</v>
      </c>
      <c r="L3439" s="1">
        <v>3.0499999999999999E-2</v>
      </c>
    </row>
    <row r="3440" spans="1:12" s="26" customFormat="1">
      <c r="A3440" s="26" t="s">
        <v>236</v>
      </c>
      <c r="B3440" s="26" t="s">
        <v>199</v>
      </c>
      <c r="C3440" s="26">
        <v>24</v>
      </c>
      <c r="D3440" s="26" t="s">
        <v>200</v>
      </c>
      <c r="E3440" s="26">
        <v>967</v>
      </c>
      <c r="G3440" s="27">
        <v>6.8500000000000005E-2</v>
      </c>
      <c r="I3440" s="27">
        <v>0.14560000000000001</v>
      </c>
      <c r="J3440" s="27">
        <v>0.26790000000000003</v>
      </c>
      <c r="L3440" s="27">
        <v>0.66690000000000005</v>
      </c>
    </row>
    <row r="3441" spans="1:12">
      <c r="A3441" t="s">
        <v>235</v>
      </c>
      <c r="B3441" t="s">
        <v>199</v>
      </c>
      <c r="C3441">
        <v>46</v>
      </c>
      <c r="D3441" t="s">
        <v>200</v>
      </c>
      <c r="E3441">
        <v>967</v>
      </c>
      <c r="G3441" s="1">
        <v>0.54449999999999998</v>
      </c>
      <c r="J3441" s="1">
        <v>0.17199999999999999</v>
      </c>
      <c r="L3441" s="1">
        <v>0.3165</v>
      </c>
    </row>
    <row r="3442" spans="1:12">
      <c r="A3442" t="s">
        <v>236</v>
      </c>
      <c r="B3442" t="s">
        <v>199</v>
      </c>
      <c r="C3442">
        <v>37</v>
      </c>
      <c r="D3442" t="s">
        <v>202</v>
      </c>
      <c r="E3442">
        <v>967</v>
      </c>
      <c r="G3442" s="1">
        <v>0.33250000000000002</v>
      </c>
      <c r="I3442" s="1">
        <v>4.3799999999999999E-2</v>
      </c>
      <c r="J3442" s="1">
        <v>0.44629999999999997</v>
      </c>
      <c r="L3442" s="1">
        <v>0.25219999999999998</v>
      </c>
    </row>
    <row r="3443" spans="1:12">
      <c r="A3443" t="s">
        <v>235</v>
      </c>
      <c r="B3443" t="s">
        <v>199</v>
      </c>
      <c r="C3443">
        <v>96</v>
      </c>
      <c r="D3443" t="s">
        <v>201</v>
      </c>
      <c r="E3443">
        <v>967</v>
      </c>
      <c r="F3443" s="1">
        <v>1.04E-2</v>
      </c>
      <c r="G3443" s="1">
        <v>0.83330000000000004</v>
      </c>
      <c r="I3443" s="1">
        <v>7.2900000000000006E-2</v>
      </c>
      <c r="J3443" s="1">
        <v>7.2900000000000006E-2</v>
      </c>
      <c r="L3443" s="1">
        <v>1.04E-2</v>
      </c>
    </row>
    <row r="3444" spans="1:12">
      <c r="A3444" t="s">
        <v>236</v>
      </c>
      <c r="B3444" t="s">
        <v>209</v>
      </c>
      <c r="C3444">
        <v>39</v>
      </c>
      <c r="D3444" t="s">
        <v>211</v>
      </c>
      <c r="E3444">
        <v>967</v>
      </c>
      <c r="F3444" s="1">
        <v>4.5400000000000003E-2</v>
      </c>
      <c r="G3444" s="1">
        <v>7.9100000000000004E-2</v>
      </c>
      <c r="I3444" s="1">
        <v>7.6200000000000004E-2</v>
      </c>
      <c r="J3444" s="1">
        <v>0.39219999999999999</v>
      </c>
      <c r="L3444" s="1">
        <v>0.65620000000000001</v>
      </c>
    </row>
    <row r="3445" spans="1:12">
      <c r="A3445" t="s">
        <v>235</v>
      </c>
      <c r="B3445" t="s">
        <v>209</v>
      </c>
      <c r="C3445">
        <v>56</v>
      </c>
      <c r="D3445" t="s">
        <v>211</v>
      </c>
      <c r="E3445">
        <v>967</v>
      </c>
      <c r="F3445" s="1">
        <v>6.8999999999999999E-3</v>
      </c>
      <c r="G3445" s="1">
        <v>0.51419999999999999</v>
      </c>
      <c r="H3445" s="1">
        <v>1.9599999999999999E-2</v>
      </c>
      <c r="I3445" s="1">
        <v>6.59E-2</v>
      </c>
      <c r="J3445" s="1">
        <v>0.2923</v>
      </c>
      <c r="L3445" s="1">
        <v>0.1721</v>
      </c>
    </row>
    <row r="3446" spans="1:12">
      <c r="A3446" t="s">
        <v>235</v>
      </c>
      <c r="B3446" t="s">
        <v>209</v>
      </c>
      <c r="C3446">
        <v>67</v>
      </c>
      <c r="D3446" t="s">
        <v>212</v>
      </c>
      <c r="E3446">
        <v>967</v>
      </c>
      <c r="G3446" s="1">
        <v>0.59119999999999995</v>
      </c>
      <c r="H3446" s="1">
        <v>1.6199999999999999E-2</v>
      </c>
      <c r="I3446" s="1">
        <v>0.1144</v>
      </c>
      <c r="J3446" s="1">
        <v>0.25319999999999998</v>
      </c>
      <c r="K3446" s="1">
        <v>1.6199999999999999E-2</v>
      </c>
      <c r="L3446" s="1">
        <v>2.7799999999999998E-2</v>
      </c>
    </row>
    <row r="3447" spans="1:12" s="26" customFormat="1">
      <c r="A3447" s="26" t="s">
        <v>236</v>
      </c>
      <c r="B3447" s="26" t="s">
        <v>209</v>
      </c>
      <c r="C3447" s="26">
        <v>18</v>
      </c>
      <c r="D3447" s="26" t="s">
        <v>212</v>
      </c>
      <c r="E3447" s="26">
        <v>967</v>
      </c>
      <c r="F3447" s="27">
        <v>0.11509999999999999</v>
      </c>
      <c r="G3447" s="27">
        <v>0.20250000000000001</v>
      </c>
      <c r="I3447" s="27">
        <v>8.3900000000000002E-2</v>
      </c>
      <c r="J3447" s="27">
        <v>0.33289999999999997</v>
      </c>
      <c r="L3447" s="27">
        <v>0.42170000000000002</v>
      </c>
    </row>
    <row r="3448" spans="1:12">
      <c r="A3448" t="s">
        <v>236</v>
      </c>
      <c r="B3448" t="s">
        <v>209</v>
      </c>
      <c r="C3448">
        <v>38</v>
      </c>
      <c r="D3448" t="s">
        <v>210</v>
      </c>
      <c r="E3448">
        <v>967</v>
      </c>
      <c r="F3448" s="1">
        <v>0.1244</v>
      </c>
      <c r="G3448" s="1">
        <v>0.16750000000000001</v>
      </c>
      <c r="I3448" s="1">
        <v>2.0299999999999999E-2</v>
      </c>
      <c r="J3448" s="1">
        <v>0.30980000000000002</v>
      </c>
      <c r="L3448" s="1">
        <v>0.50239999999999996</v>
      </c>
    </row>
    <row r="3449" spans="1:12">
      <c r="A3449" t="s">
        <v>235</v>
      </c>
      <c r="B3449" t="s">
        <v>209</v>
      </c>
      <c r="C3449">
        <v>32</v>
      </c>
      <c r="D3449" t="s">
        <v>210</v>
      </c>
      <c r="E3449">
        <v>967</v>
      </c>
      <c r="G3449" s="1">
        <v>0.57989999999999997</v>
      </c>
      <c r="I3449" s="1">
        <v>0.22620000000000001</v>
      </c>
      <c r="J3449" s="1">
        <v>0.32319999999999999</v>
      </c>
      <c r="L3449" s="1">
        <v>3.2300000000000002E-2</v>
      </c>
    </row>
    <row r="3451" spans="1:12">
      <c r="A3451" t="s">
        <v>886</v>
      </c>
    </row>
    <row r="3452" spans="1:12">
      <c r="A3452" t="s">
        <v>189</v>
      </c>
      <c r="B3452" t="s">
        <v>195</v>
      </c>
      <c r="C3452" t="s">
        <v>190</v>
      </c>
      <c r="D3452" t="s">
        <v>196</v>
      </c>
      <c r="E3452" t="s">
        <v>228</v>
      </c>
      <c r="F3452" t="s">
        <v>873</v>
      </c>
      <c r="G3452" t="s">
        <v>874</v>
      </c>
      <c r="H3452" t="s">
        <v>875</v>
      </c>
    </row>
    <row r="3453" spans="1:12">
      <c r="A3453" t="s">
        <v>197</v>
      </c>
      <c r="B3453">
        <v>968</v>
      </c>
      <c r="C3453" t="s">
        <v>198</v>
      </c>
      <c r="D3453">
        <v>968</v>
      </c>
      <c r="E3453" s="1">
        <v>0</v>
      </c>
      <c r="F3453" s="1">
        <v>8.6E-3</v>
      </c>
      <c r="G3453" s="1">
        <v>0.1052</v>
      </c>
      <c r="H3453" s="1">
        <v>0.88619999999999999</v>
      </c>
    </row>
    <row r="3454" spans="1:12">
      <c r="A3454" t="s">
        <v>204</v>
      </c>
      <c r="B3454">
        <v>91</v>
      </c>
      <c r="C3454" t="s">
        <v>205</v>
      </c>
      <c r="D3454">
        <v>968</v>
      </c>
      <c r="F3454" s="1">
        <v>8.5000000000000006E-3</v>
      </c>
      <c r="G3454" s="1">
        <v>5.5999999999999999E-3</v>
      </c>
      <c r="H3454" s="1">
        <v>0.9859</v>
      </c>
    </row>
    <row r="3455" spans="1:12">
      <c r="A3455" t="s">
        <v>204</v>
      </c>
      <c r="B3455">
        <v>72</v>
      </c>
      <c r="C3455" t="s">
        <v>206</v>
      </c>
      <c r="D3455">
        <v>968</v>
      </c>
      <c r="G3455" s="1">
        <v>2.7900000000000001E-2</v>
      </c>
      <c r="H3455" s="1">
        <v>0.97209999999999996</v>
      </c>
    </row>
    <row r="3456" spans="1:12">
      <c r="A3456" t="s">
        <v>204</v>
      </c>
      <c r="B3456">
        <v>131</v>
      </c>
      <c r="C3456" t="s">
        <v>207</v>
      </c>
      <c r="D3456">
        <v>968</v>
      </c>
      <c r="G3456" s="1">
        <v>0.1643</v>
      </c>
      <c r="H3456" s="1">
        <v>0.8357</v>
      </c>
    </row>
    <row r="3457" spans="1:9">
      <c r="A3457" t="s">
        <v>204</v>
      </c>
      <c r="B3457">
        <v>74</v>
      </c>
      <c r="C3457" t="s">
        <v>208</v>
      </c>
      <c r="D3457">
        <v>968</v>
      </c>
      <c r="F3457" s="1">
        <v>1.35E-2</v>
      </c>
      <c r="G3457" s="1">
        <v>4.0500000000000001E-2</v>
      </c>
      <c r="H3457" s="1">
        <v>0.94589999999999996</v>
      </c>
    </row>
    <row r="3458" spans="1:9">
      <c r="A3458" t="s">
        <v>199</v>
      </c>
      <c r="B3458">
        <v>73</v>
      </c>
      <c r="C3458" t="s">
        <v>200</v>
      </c>
      <c r="D3458">
        <v>968</v>
      </c>
      <c r="E3458" s="1">
        <v>1.6000000000000001E-3</v>
      </c>
      <c r="G3458" s="1">
        <v>7.6200000000000004E-2</v>
      </c>
      <c r="H3458" s="1">
        <v>0.92220000000000002</v>
      </c>
    </row>
    <row r="3459" spans="1:9">
      <c r="A3459" t="s">
        <v>199</v>
      </c>
      <c r="B3459">
        <v>96</v>
      </c>
      <c r="C3459" t="s">
        <v>201</v>
      </c>
      <c r="D3459">
        <v>968</v>
      </c>
      <c r="F3459" s="1">
        <v>1.04E-2</v>
      </c>
      <c r="G3459" s="1">
        <v>0.20830000000000001</v>
      </c>
      <c r="H3459" s="1">
        <v>0.78120000000000001</v>
      </c>
    </row>
    <row r="3460" spans="1:9">
      <c r="A3460" t="s">
        <v>199</v>
      </c>
      <c r="B3460">
        <v>98</v>
      </c>
      <c r="C3460" t="s">
        <v>202</v>
      </c>
      <c r="D3460">
        <v>968</v>
      </c>
      <c r="F3460" s="1">
        <v>1.3299999999999999E-2</v>
      </c>
      <c r="G3460" s="1">
        <v>0.13750000000000001</v>
      </c>
      <c r="H3460" s="1">
        <v>0.84919999999999995</v>
      </c>
    </row>
    <row r="3461" spans="1:9">
      <c r="A3461" t="s">
        <v>199</v>
      </c>
      <c r="B3461">
        <v>77</v>
      </c>
      <c r="C3461" t="s">
        <v>203</v>
      </c>
      <c r="D3461">
        <v>968</v>
      </c>
      <c r="F3461" s="1">
        <v>7.4000000000000003E-3</v>
      </c>
      <c r="G3461" s="1">
        <v>8.3900000000000002E-2</v>
      </c>
      <c r="H3461" s="1">
        <v>0.90869999999999995</v>
      </c>
    </row>
    <row r="3462" spans="1:9">
      <c r="A3462" t="s">
        <v>209</v>
      </c>
      <c r="B3462">
        <v>74</v>
      </c>
      <c r="C3462" t="s">
        <v>210</v>
      </c>
      <c r="D3462">
        <v>968</v>
      </c>
      <c r="G3462" s="1">
        <v>6.8699999999999997E-2</v>
      </c>
      <c r="H3462" s="1">
        <v>0.93130000000000002</v>
      </c>
    </row>
    <row r="3463" spans="1:9">
      <c r="A3463" t="s">
        <v>209</v>
      </c>
      <c r="B3463">
        <v>97</v>
      </c>
      <c r="C3463" t="s">
        <v>211</v>
      </c>
      <c r="D3463">
        <v>968</v>
      </c>
      <c r="F3463" s="1">
        <v>4.1999999999999997E-3</v>
      </c>
      <c r="G3463" s="1">
        <v>6.4299999999999996E-2</v>
      </c>
      <c r="H3463" s="1">
        <v>0.93149999999999999</v>
      </c>
    </row>
    <row r="3464" spans="1:9">
      <c r="A3464" t="s">
        <v>209</v>
      </c>
      <c r="B3464">
        <v>85</v>
      </c>
      <c r="C3464" t="s">
        <v>212</v>
      </c>
      <c r="D3464">
        <v>968</v>
      </c>
      <c r="F3464" s="1">
        <v>1.4E-2</v>
      </c>
      <c r="G3464" s="1">
        <v>6.5699999999999995E-2</v>
      </c>
      <c r="H3464" s="1">
        <v>0.92030000000000001</v>
      </c>
    </row>
    <row r="3466" spans="1:9">
      <c r="A3466" t="s">
        <v>887</v>
      </c>
    </row>
    <row r="3467" spans="1:9">
      <c r="A3467" t="s">
        <v>214</v>
      </c>
      <c r="B3467" t="s">
        <v>189</v>
      </c>
      <c r="C3467" t="s">
        <v>195</v>
      </c>
      <c r="D3467" t="s">
        <v>190</v>
      </c>
      <c r="E3467" t="s">
        <v>196</v>
      </c>
      <c r="F3467" t="s">
        <v>228</v>
      </c>
      <c r="G3467" t="s">
        <v>873</v>
      </c>
      <c r="H3467" t="s">
        <v>874</v>
      </c>
      <c r="I3467" t="s">
        <v>875</v>
      </c>
    </row>
    <row r="3468" spans="1:9">
      <c r="A3468" t="s">
        <v>198</v>
      </c>
      <c r="B3468" t="s">
        <v>197</v>
      </c>
      <c r="C3468">
        <v>968</v>
      </c>
      <c r="D3468" t="s">
        <v>198</v>
      </c>
      <c r="E3468">
        <v>968</v>
      </c>
      <c r="F3468" s="1">
        <v>0</v>
      </c>
      <c r="G3468" s="1">
        <v>8.6E-3</v>
      </c>
      <c r="H3468" s="1">
        <v>0.1052</v>
      </c>
      <c r="I3468" s="1">
        <v>0.88619999999999999</v>
      </c>
    </row>
    <row r="3469" spans="1:9">
      <c r="A3469" t="s">
        <v>235</v>
      </c>
      <c r="B3469" t="s">
        <v>204</v>
      </c>
      <c r="C3469">
        <v>63</v>
      </c>
      <c r="D3469" t="s">
        <v>208</v>
      </c>
      <c r="E3469">
        <v>968</v>
      </c>
      <c r="G3469" s="1">
        <v>1.5900000000000001E-2</v>
      </c>
      <c r="H3469" s="1">
        <v>3.1699999999999999E-2</v>
      </c>
      <c r="I3469" s="1">
        <v>0.95240000000000002</v>
      </c>
    </row>
    <row r="3470" spans="1:9">
      <c r="A3470" t="s">
        <v>236</v>
      </c>
      <c r="B3470" t="s">
        <v>204</v>
      </c>
      <c r="C3470">
        <v>32</v>
      </c>
      <c r="D3470" t="s">
        <v>205</v>
      </c>
      <c r="E3470">
        <v>968</v>
      </c>
      <c r="G3470" s="1">
        <v>4.7600000000000003E-2</v>
      </c>
      <c r="H3470" s="1">
        <v>1.37E-2</v>
      </c>
      <c r="I3470" s="1">
        <v>0.93869999999999998</v>
      </c>
    </row>
    <row r="3471" spans="1:9">
      <c r="A3471" t="s">
        <v>235</v>
      </c>
      <c r="B3471" t="s">
        <v>204</v>
      </c>
      <c r="C3471">
        <v>58</v>
      </c>
      <c r="D3471" t="s">
        <v>205</v>
      </c>
      <c r="E3471">
        <v>968</v>
      </c>
      <c r="H3471" s="1">
        <v>3.8999999999999998E-3</v>
      </c>
      <c r="I3471" s="1">
        <v>0.99609999999999999</v>
      </c>
    </row>
    <row r="3472" spans="1:9" s="26" customFormat="1">
      <c r="A3472" s="26" t="s">
        <v>236</v>
      </c>
      <c r="B3472" s="26" t="s">
        <v>204</v>
      </c>
      <c r="C3472" s="26">
        <v>21</v>
      </c>
      <c r="D3472" s="26" t="s">
        <v>206</v>
      </c>
      <c r="E3472" s="26">
        <v>968</v>
      </c>
      <c r="H3472" s="27">
        <v>4.2799999999999998E-2</v>
      </c>
      <c r="I3472" s="27">
        <v>0.95720000000000005</v>
      </c>
    </row>
    <row r="3473" spans="1:9">
      <c r="A3473" t="s">
        <v>235</v>
      </c>
      <c r="B3473" t="s">
        <v>204</v>
      </c>
      <c r="C3473">
        <v>47</v>
      </c>
      <c r="D3473" t="s">
        <v>206</v>
      </c>
      <c r="E3473">
        <v>968</v>
      </c>
      <c r="H3473" s="1">
        <v>2.4E-2</v>
      </c>
      <c r="I3473" s="1">
        <v>0.97599999999999998</v>
      </c>
    </row>
    <row r="3474" spans="1:9">
      <c r="A3474" t="s">
        <v>236</v>
      </c>
      <c r="B3474" t="s">
        <v>204</v>
      </c>
      <c r="C3474">
        <v>81</v>
      </c>
      <c r="D3474" t="s">
        <v>207</v>
      </c>
      <c r="E3474">
        <v>968</v>
      </c>
      <c r="H3474" s="1">
        <v>0.16400000000000001</v>
      </c>
      <c r="I3474" s="1">
        <v>0.83599999999999997</v>
      </c>
    </row>
    <row r="3475" spans="1:9">
      <c r="A3475" t="s">
        <v>235</v>
      </c>
      <c r="B3475" t="s">
        <v>204</v>
      </c>
      <c r="C3475">
        <v>45</v>
      </c>
      <c r="D3475" t="s">
        <v>207</v>
      </c>
      <c r="E3475">
        <v>968</v>
      </c>
      <c r="H3475" s="1">
        <v>0.16400000000000001</v>
      </c>
      <c r="I3475" s="1">
        <v>0.83599999999999997</v>
      </c>
    </row>
    <row r="3476" spans="1:9" s="26" customFormat="1">
      <c r="A3476" s="26" t="s">
        <v>236</v>
      </c>
      <c r="B3476" s="26" t="s">
        <v>204</v>
      </c>
      <c r="C3476" s="26">
        <v>11</v>
      </c>
      <c r="D3476" s="26" t="s">
        <v>208</v>
      </c>
      <c r="E3476" s="26">
        <v>968</v>
      </c>
      <c r="H3476" s="27">
        <v>9.0899999999999995E-2</v>
      </c>
      <c r="I3476" s="27">
        <v>0.90910000000000002</v>
      </c>
    </row>
    <row r="3477" spans="1:9">
      <c r="A3477" t="s">
        <v>235</v>
      </c>
      <c r="B3477" t="s">
        <v>199</v>
      </c>
      <c r="C3477">
        <v>44</v>
      </c>
      <c r="D3477" t="s">
        <v>203</v>
      </c>
      <c r="E3477">
        <v>968</v>
      </c>
      <c r="G3477" s="1">
        <v>1.18E-2</v>
      </c>
      <c r="H3477" s="1">
        <v>0.13370000000000001</v>
      </c>
      <c r="I3477" s="1">
        <v>0.85450000000000004</v>
      </c>
    </row>
    <row r="3478" spans="1:9">
      <c r="A3478" t="s">
        <v>236</v>
      </c>
      <c r="B3478" t="s">
        <v>199</v>
      </c>
      <c r="C3478">
        <v>32</v>
      </c>
      <c r="D3478" t="s">
        <v>203</v>
      </c>
      <c r="E3478">
        <v>968</v>
      </c>
      <c r="I3478" s="1">
        <v>1</v>
      </c>
    </row>
    <row r="3479" spans="1:9">
      <c r="A3479" t="s">
        <v>235</v>
      </c>
      <c r="B3479" t="s">
        <v>199</v>
      </c>
      <c r="C3479">
        <v>60</v>
      </c>
      <c r="D3479" t="s">
        <v>202</v>
      </c>
      <c r="E3479">
        <v>968</v>
      </c>
      <c r="G3479" s="1">
        <v>2.3199999999999998E-2</v>
      </c>
      <c r="H3479" s="1">
        <v>0.1217</v>
      </c>
      <c r="I3479" s="1">
        <v>0.85509999999999997</v>
      </c>
    </row>
    <row r="3480" spans="1:9" s="26" customFormat="1">
      <c r="A3480" s="26" t="s">
        <v>236</v>
      </c>
      <c r="B3480" s="26" t="s">
        <v>199</v>
      </c>
      <c r="C3480" s="26">
        <v>24</v>
      </c>
      <c r="D3480" s="26" t="s">
        <v>200</v>
      </c>
      <c r="E3480" s="26">
        <v>968</v>
      </c>
      <c r="H3480" s="27">
        <v>0.1489</v>
      </c>
      <c r="I3480" s="27">
        <v>0.85109999999999997</v>
      </c>
    </row>
    <row r="3481" spans="1:9">
      <c r="A3481" t="s">
        <v>235</v>
      </c>
      <c r="B3481" t="s">
        <v>199</v>
      </c>
      <c r="C3481">
        <v>46</v>
      </c>
      <c r="D3481" t="s">
        <v>200</v>
      </c>
      <c r="E3481">
        <v>968</v>
      </c>
      <c r="F3481" s="1">
        <v>3.0000000000000001E-3</v>
      </c>
      <c r="H3481" s="1">
        <v>8.9999999999999993E-3</v>
      </c>
      <c r="I3481" s="1">
        <v>0.98799999999999999</v>
      </c>
    </row>
    <row r="3482" spans="1:9">
      <c r="A3482" t="s">
        <v>236</v>
      </c>
      <c r="B3482" t="s">
        <v>199</v>
      </c>
      <c r="C3482">
        <v>37</v>
      </c>
      <c r="D3482" t="s">
        <v>202</v>
      </c>
      <c r="E3482">
        <v>968</v>
      </c>
      <c r="H3482" s="1">
        <v>0.16400000000000001</v>
      </c>
      <c r="I3482" s="1">
        <v>0.83599999999999997</v>
      </c>
    </row>
    <row r="3483" spans="1:9">
      <c r="A3483" t="s">
        <v>235</v>
      </c>
      <c r="B3483" t="s">
        <v>199</v>
      </c>
      <c r="C3483">
        <v>96</v>
      </c>
      <c r="D3483" t="s">
        <v>201</v>
      </c>
      <c r="E3483">
        <v>968</v>
      </c>
      <c r="G3483" s="1">
        <v>1.04E-2</v>
      </c>
      <c r="H3483" s="1">
        <v>0.20830000000000001</v>
      </c>
      <c r="I3483" s="1">
        <v>0.78120000000000001</v>
      </c>
    </row>
    <row r="3484" spans="1:9">
      <c r="A3484" t="s">
        <v>236</v>
      </c>
      <c r="B3484" t="s">
        <v>209</v>
      </c>
      <c r="C3484">
        <v>39</v>
      </c>
      <c r="D3484" t="s">
        <v>211</v>
      </c>
      <c r="E3484">
        <v>968</v>
      </c>
      <c r="G3484" s="1">
        <v>1.18E-2</v>
      </c>
      <c r="H3484" s="1">
        <v>2.3699999999999999E-2</v>
      </c>
      <c r="I3484" s="1">
        <v>0.96450000000000002</v>
      </c>
    </row>
    <row r="3485" spans="1:9">
      <c r="A3485" t="s">
        <v>235</v>
      </c>
      <c r="B3485" t="s">
        <v>209</v>
      </c>
      <c r="C3485">
        <v>56</v>
      </c>
      <c r="D3485" t="s">
        <v>211</v>
      </c>
      <c r="E3485">
        <v>968</v>
      </c>
      <c r="H3485" s="1">
        <v>9.1300000000000006E-2</v>
      </c>
      <c r="I3485" s="1">
        <v>0.90869999999999995</v>
      </c>
    </row>
    <row r="3486" spans="1:9">
      <c r="A3486" t="s">
        <v>235</v>
      </c>
      <c r="B3486" t="s">
        <v>209</v>
      </c>
      <c r="C3486">
        <v>67</v>
      </c>
      <c r="D3486" t="s">
        <v>212</v>
      </c>
      <c r="E3486">
        <v>968</v>
      </c>
      <c r="G3486" s="1">
        <v>1.6199999999999999E-2</v>
      </c>
      <c r="H3486" s="1">
        <v>7.3400000000000007E-2</v>
      </c>
      <c r="I3486" s="1">
        <v>0.91039999999999999</v>
      </c>
    </row>
    <row r="3487" spans="1:9" s="26" customFormat="1">
      <c r="A3487" s="26" t="s">
        <v>236</v>
      </c>
      <c r="B3487" s="26" t="s">
        <v>209</v>
      </c>
      <c r="C3487" s="26">
        <v>18</v>
      </c>
      <c r="D3487" s="26" t="s">
        <v>212</v>
      </c>
      <c r="E3487" s="26">
        <v>968</v>
      </c>
      <c r="H3487" s="27">
        <v>1.77E-2</v>
      </c>
      <c r="I3487" s="27">
        <v>0.98229999999999995</v>
      </c>
    </row>
    <row r="3488" spans="1:9">
      <c r="A3488" t="s">
        <v>236</v>
      </c>
      <c r="B3488" t="s">
        <v>209</v>
      </c>
      <c r="C3488">
        <v>38</v>
      </c>
      <c r="D3488" t="s">
        <v>210</v>
      </c>
      <c r="E3488">
        <v>968</v>
      </c>
      <c r="H3488" s="1">
        <v>6.0999999999999999E-2</v>
      </c>
      <c r="I3488" s="1">
        <v>0.93899999999999995</v>
      </c>
    </row>
    <row r="3489" spans="1:10">
      <c r="A3489" t="s">
        <v>235</v>
      </c>
      <c r="B3489" t="s">
        <v>209</v>
      </c>
      <c r="C3489">
        <v>32</v>
      </c>
      <c r="D3489" t="s">
        <v>210</v>
      </c>
      <c r="E3489">
        <v>968</v>
      </c>
      <c r="H3489" s="1">
        <v>6.4600000000000005E-2</v>
      </c>
      <c r="I3489" s="1">
        <v>0.93540000000000001</v>
      </c>
    </row>
    <row r="3491" spans="1:10">
      <c r="A3491" t="s">
        <v>888</v>
      </c>
    </row>
    <row r="3492" spans="1:10">
      <c r="A3492" t="s">
        <v>189</v>
      </c>
      <c r="B3492" t="s">
        <v>195</v>
      </c>
      <c r="C3492" t="s">
        <v>190</v>
      </c>
      <c r="D3492" t="s">
        <v>196</v>
      </c>
      <c r="E3492" t="s">
        <v>228</v>
      </c>
      <c r="F3492" t="s">
        <v>889</v>
      </c>
      <c r="G3492" t="s">
        <v>890</v>
      </c>
      <c r="H3492" t="s">
        <v>891</v>
      </c>
      <c r="I3492" t="s">
        <v>892</v>
      </c>
      <c r="J3492" t="s">
        <v>278</v>
      </c>
    </row>
    <row r="3493" spans="1:10">
      <c r="A3493" t="s">
        <v>197</v>
      </c>
      <c r="B3493">
        <v>967</v>
      </c>
      <c r="C3493" t="s">
        <v>198</v>
      </c>
      <c r="D3493">
        <v>967</v>
      </c>
      <c r="E3493" s="1">
        <v>1.5E-3</v>
      </c>
      <c r="F3493" s="1">
        <v>1.04E-2</v>
      </c>
      <c r="G3493" s="1">
        <v>0.79700000000000004</v>
      </c>
      <c r="H3493" s="1">
        <v>1.9E-2</v>
      </c>
      <c r="I3493" s="1">
        <v>0.17199999999999999</v>
      </c>
      <c r="J3493" s="1">
        <v>1E-4</v>
      </c>
    </row>
    <row r="3494" spans="1:10">
      <c r="A3494" t="s">
        <v>204</v>
      </c>
      <c r="B3494">
        <v>91</v>
      </c>
      <c r="C3494" t="s">
        <v>205</v>
      </c>
      <c r="D3494">
        <v>967</v>
      </c>
      <c r="G3494" s="1">
        <v>0.80959999999999999</v>
      </c>
      <c r="I3494" s="1">
        <v>0.19040000000000001</v>
      </c>
    </row>
    <row r="3495" spans="1:10">
      <c r="A3495" t="s">
        <v>204</v>
      </c>
      <c r="B3495">
        <v>72</v>
      </c>
      <c r="C3495" t="s">
        <v>206</v>
      </c>
      <c r="D3495">
        <v>967</v>
      </c>
      <c r="F3495" s="1">
        <v>2.7900000000000001E-2</v>
      </c>
      <c r="G3495" s="1">
        <v>0.628</v>
      </c>
      <c r="H3495" s="1">
        <v>1.1599999999999999E-2</v>
      </c>
      <c r="I3495" s="1">
        <v>0.33250000000000002</v>
      </c>
    </row>
    <row r="3496" spans="1:10">
      <c r="A3496" t="s">
        <v>204</v>
      </c>
      <c r="B3496">
        <v>131</v>
      </c>
      <c r="C3496" t="s">
        <v>207</v>
      </c>
      <c r="D3496">
        <v>967</v>
      </c>
      <c r="F3496" s="1">
        <v>1.9699999999999999E-2</v>
      </c>
      <c r="G3496" s="1">
        <v>0.83089999999999997</v>
      </c>
      <c r="H3496" s="1">
        <v>8.9999999999999998E-4</v>
      </c>
      <c r="I3496" s="1">
        <v>0.14849999999999999</v>
      </c>
    </row>
    <row r="3497" spans="1:10">
      <c r="A3497" t="s">
        <v>204</v>
      </c>
      <c r="B3497">
        <v>74</v>
      </c>
      <c r="C3497" t="s">
        <v>208</v>
      </c>
      <c r="D3497">
        <v>967</v>
      </c>
      <c r="F3497" s="1">
        <v>8.1100000000000005E-2</v>
      </c>
      <c r="G3497" s="1">
        <v>0.66220000000000001</v>
      </c>
      <c r="H3497" s="1">
        <v>1.35E-2</v>
      </c>
      <c r="I3497" s="1">
        <v>0.2432</v>
      </c>
    </row>
    <row r="3498" spans="1:10">
      <c r="A3498" t="s">
        <v>199</v>
      </c>
      <c r="B3498">
        <v>73</v>
      </c>
      <c r="C3498" t="s">
        <v>200</v>
      </c>
      <c r="D3498">
        <v>967</v>
      </c>
      <c r="F3498" s="1">
        <v>3.2000000000000002E-3</v>
      </c>
      <c r="G3498" s="1">
        <v>0.80130000000000001</v>
      </c>
      <c r="I3498" s="1">
        <v>0.19550000000000001</v>
      </c>
    </row>
    <row r="3499" spans="1:10">
      <c r="A3499" t="s">
        <v>199</v>
      </c>
      <c r="B3499">
        <v>96</v>
      </c>
      <c r="C3499" t="s">
        <v>201</v>
      </c>
      <c r="D3499">
        <v>967</v>
      </c>
      <c r="G3499" s="1">
        <v>0.84379999999999999</v>
      </c>
      <c r="H3499" s="1">
        <v>3.1199999999999999E-2</v>
      </c>
      <c r="I3499" s="1">
        <v>0.125</v>
      </c>
    </row>
    <row r="3500" spans="1:10">
      <c r="A3500" t="s">
        <v>199</v>
      </c>
      <c r="B3500">
        <v>97</v>
      </c>
      <c r="C3500" t="s">
        <v>202</v>
      </c>
      <c r="D3500">
        <v>967</v>
      </c>
      <c r="G3500" s="1">
        <v>0.74680000000000002</v>
      </c>
      <c r="H3500" s="1">
        <v>2.5600000000000001E-2</v>
      </c>
      <c r="I3500" s="1">
        <v>0.22750000000000001</v>
      </c>
    </row>
    <row r="3501" spans="1:10">
      <c r="A3501" t="s">
        <v>199</v>
      </c>
      <c r="B3501">
        <v>77</v>
      </c>
      <c r="C3501" t="s">
        <v>203</v>
      </c>
      <c r="D3501">
        <v>967</v>
      </c>
      <c r="F3501" s="1">
        <v>2.52E-2</v>
      </c>
      <c r="G3501" s="1">
        <v>0.71009999999999995</v>
      </c>
      <c r="H3501" s="1">
        <v>2.69E-2</v>
      </c>
      <c r="I3501" s="1">
        <v>0.23499999999999999</v>
      </c>
      <c r="J3501" s="1">
        <v>2.8999999999999998E-3</v>
      </c>
    </row>
    <row r="3502" spans="1:10">
      <c r="A3502" t="s">
        <v>209</v>
      </c>
      <c r="B3502">
        <v>74</v>
      </c>
      <c r="C3502" t="s">
        <v>210</v>
      </c>
      <c r="D3502">
        <v>967</v>
      </c>
      <c r="F3502" s="1">
        <v>3.44E-2</v>
      </c>
      <c r="G3502" s="1">
        <v>0.46200000000000002</v>
      </c>
      <c r="H3502" s="1">
        <v>8.3000000000000001E-3</v>
      </c>
      <c r="I3502" s="1">
        <v>0.49530000000000002</v>
      </c>
    </row>
    <row r="3503" spans="1:10">
      <c r="A3503" t="s">
        <v>209</v>
      </c>
      <c r="B3503">
        <v>97</v>
      </c>
      <c r="C3503" t="s">
        <v>211</v>
      </c>
      <c r="D3503">
        <v>967</v>
      </c>
      <c r="F3503" s="1">
        <v>1.2E-2</v>
      </c>
      <c r="G3503" s="1">
        <v>0.6744</v>
      </c>
      <c r="H3503" s="1">
        <v>6.3299999999999995E-2</v>
      </c>
      <c r="I3503" s="1">
        <v>0.25019999999999998</v>
      </c>
    </row>
    <row r="3504" spans="1:10">
      <c r="A3504" t="s">
        <v>209</v>
      </c>
      <c r="B3504">
        <v>85</v>
      </c>
      <c r="C3504" t="s">
        <v>212</v>
      </c>
      <c r="D3504">
        <v>967</v>
      </c>
      <c r="E3504" s="1">
        <v>1.4E-2</v>
      </c>
      <c r="G3504" s="1">
        <v>0.90969999999999995</v>
      </c>
      <c r="H3504" s="1">
        <v>3.78E-2</v>
      </c>
      <c r="I3504" s="1">
        <v>3.85E-2</v>
      </c>
    </row>
    <row r="3506" spans="1:11">
      <c r="A3506" t="s">
        <v>893</v>
      </c>
    </row>
    <row r="3507" spans="1:11">
      <c r="A3507" t="s">
        <v>214</v>
      </c>
      <c r="B3507" t="s">
        <v>189</v>
      </c>
      <c r="C3507" t="s">
        <v>195</v>
      </c>
      <c r="D3507" t="s">
        <v>190</v>
      </c>
      <c r="E3507" t="s">
        <v>196</v>
      </c>
      <c r="F3507" t="s">
        <v>228</v>
      </c>
      <c r="G3507" t="s">
        <v>889</v>
      </c>
      <c r="H3507" t="s">
        <v>890</v>
      </c>
      <c r="I3507" t="s">
        <v>891</v>
      </c>
      <c r="J3507" t="s">
        <v>892</v>
      </c>
      <c r="K3507" t="s">
        <v>278</v>
      </c>
    </row>
    <row r="3508" spans="1:11">
      <c r="A3508" t="s">
        <v>198</v>
      </c>
      <c r="B3508" t="s">
        <v>197</v>
      </c>
      <c r="C3508">
        <v>967</v>
      </c>
      <c r="D3508" t="s">
        <v>198</v>
      </c>
      <c r="E3508">
        <v>967</v>
      </c>
      <c r="F3508" s="1">
        <v>1.5E-3</v>
      </c>
      <c r="G3508" s="1">
        <v>1.04E-2</v>
      </c>
      <c r="H3508" s="1">
        <v>0.79700000000000004</v>
      </c>
      <c r="I3508" s="1">
        <v>1.9E-2</v>
      </c>
      <c r="J3508" s="1">
        <v>0.17199999999999999</v>
      </c>
      <c r="K3508" s="1">
        <v>1E-4</v>
      </c>
    </row>
    <row r="3509" spans="1:11">
      <c r="A3509" t="s">
        <v>235</v>
      </c>
      <c r="B3509" t="s">
        <v>204</v>
      </c>
      <c r="C3509">
        <v>63</v>
      </c>
      <c r="D3509" t="s">
        <v>208</v>
      </c>
      <c r="E3509">
        <v>967</v>
      </c>
      <c r="G3509" s="1">
        <v>9.5200000000000007E-2</v>
      </c>
      <c r="H3509" s="1">
        <v>0.63490000000000002</v>
      </c>
      <c r="I3509" s="1">
        <v>1.5900000000000001E-2</v>
      </c>
      <c r="J3509" s="1">
        <v>0.254</v>
      </c>
    </row>
    <row r="3510" spans="1:11">
      <c r="A3510" t="s">
        <v>236</v>
      </c>
      <c r="B3510" t="s">
        <v>204</v>
      </c>
      <c r="C3510">
        <v>32</v>
      </c>
      <c r="D3510" t="s">
        <v>205</v>
      </c>
      <c r="E3510">
        <v>967</v>
      </c>
      <c r="H3510" s="1">
        <v>0.91139999999999999</v>
      </c>
      <c r="J3510" s="1">
        <v>8.8599999999999998E-2</v>
      </c>
    </row>
    <row r="3511" spans="1:11">
      <c r="A3511" t="s">
        <v>235</v>
      </c>
      <c r="B3511" t="s">
        <v>204</v>
      </c>
      <c r="C3511">
        <v>58</v>
      </c>
      <c r="D3511" t="s">
        <v>205</v>
      </c>
      <c r="E3511">
        <v>967</v>
      </c>
      <c r="H3511" s="1">
        <v>0.78990000000000005</v>
      </c>
      <c r="J3511" s="1">
        <v>0.21010000000000001</v>
      </c>
    </row>
    <row r="3512" spans="1:11" s="26" customFormat="1">
      <c r="A3512" s="26" t="s">
        <v>236</v>
      </c>
      <c r="B3512" s="26" t="s">
        <v>204</v>
      </c>
      <c r="C3512" s="26">
        <v>21</v>
      </c>
      <c r="D3512" s="26" t="s">
        <v>206</v>
      </c>
      <c r="E3512" s="26">
        <v>967</v>
      </c>
      <c r="G3512" s="27">
        <v>5.9700000000000003E-2</v>
      </c>
      <c r="H3512" s="27">
        <v>0.70940000000000003</v>
      </c>
      <c r="J3512" s="27">
        <v>0.23080000000000001</v>
      </c>
    </row>
    <row r="3513" spans="1:11">
      <c r="A3513" t="s">
        <v>235</v>
      </c>
      <c r="B3513" t="s">
        <v>204</v>
      </c>
      <c r="C3513">
        <v>47</v>
      </c>
      <c r="D3513" t="s">
        <v>206</v>
      </c>
      <c r="E3513">
        <v>967</v>
      </c>
      <c r="G3513" s="1">
        <v>1.72E-2</v>
      </c>
      <c r="H3513" s="1">
        <v>0.56710000000000005</v>
      </c>
      <c r="I3513" s="1">
        <v>1.72E-2</v>
      </c>
      <c r="J3513" s="1">
        <v>0.39850000000000002</v>
      </c>
    </row>
    <row r="3514" spans="1:11">
      <c r="A3514" t="s">
        <v>236</v>
      </c>
      <c r="B3514" t="s">
        <v>204</v>
      </c>
      <c r="C3514">
        <v>81</v>
      </c>
      <c r="D3514" t="s">
        <v>207</v>
      </c>
      <c r="E3514">
        <v>967</v>
      </c>
      <c r="G3514" s="1">
        <v>3.7900000000000003E-2</v>
      </c>
      <c r="H3514" s="1">
        <v>0.74480000000000002</v>
      </c>
      <c r="J3514" s="1">
        <v>0.21729999999999999</v>
      </c>
    </row>
    <row r="3515" spans="1:11">
      <c r="A3515" t="s">
        <v>235</v>
      </c>
      <c r="B3515" t="s">
        <v>204</v>
      </c>
      <c r="C3515">
        <v>45</v>
      </c>
      <c r="D3515" t="s">
        <v>207</v>
      </c>
      <c r="E3515">
        <v>967</v>
      </c>
      <c r="G3515" s="1">
        <v>3.0999999999999999E-3</v>
      </c>
      <c r="H3515" s="1">
        <v>0.89570000000000005</v>
      </c>
      <c r="I3515" s="1">
        <v>1.6000000000000001E-3</v>
      </c>
      <c r="J3515" s="1">
        <v>9.9599999999999994E-2</v>
      </c>
    </row>
    <row r="3516" spans="1:11" s="26" customFormat="1">
      <c r="A3516" s="26" t="s">
        <v>236</v>
      </c>
      <c r="B3516" s="26" t="s">
        <v>204</v>
      </c>
      <c r="C3516" s="26">
        <v>11</v>
      </c>
      <c r="D3516" s="26" t="s">
        <v>208</v>
      </c>
      <c r="E3516" s="26">
        <v>967</v>
      </c>
      <c r="H3516" s="27">
        <v>0.81820000000000004</v>
      </c>
      <c r="J3516" s="27">
        <v>0.18179999999999999</v>
      </c>
    </row>
    <row r="3517" spans="1:11">
      <c r="A3517" t="s">
        <v>235</v>
      </c>
      <c r="B3517" t="s">
        <v>199</v>
      </c>
      <c r="C3517">
        <v>44</v>
      </c>
      <c r="D3517" t="s">
        <v>203</v>
      </c>
      <c r="E3517">
        <v>967</v>
      </c>
      <c r="G3517" s="1">
        <v>2.8299999999999999E-2</v>
      </c>
      <c r="H3517" s="1">
        <v>0.71560000000000001</v>
      </c>
      <c r="I3517" s="1">
        <v>4.2799999999999998E-2</v>
      </c>
      <c r="J3517" s="1">
        <v>0.2087</v>
      </c>
      <c r="K3517" s="1">
        <v>4.5999999999999999E-3</v>
      </c>
    </row>
    <row r="3518" spans="1:11">
      <c r="A3518" t="s">
        <v>236</v>
      </c>
      <c r="B3518" t="s">
        <v>199</v>
      </c>
      <c r="C3518">
        <v>32</v>
      </c>
      <c r="D3518" t="s">
        <v>203</v>
      </c>
      <c r="E3518">
        <v>967</v>
      </c>
      <c r="G3518" s="1">
        <v>2.1499999999999998E-2</v>
      </c>
      <c r="H3518" s="1">
        <v>0.6774</v>
      </c>
      <c r="J3518" s="1">
        <v>0.30109999999999998</v>
      </c>
    </row>
    <row r="3519" spans="1:11">
      <c r="A3519" t="s">
        <v>235</v>
      </c>
      <c r="B3519" t="s">
        <v>199</v>
      </c>
      <c r="C3519">
        <v>60</v>
      </c>
      <c r="D3519" t="s">
        <v>202</v>
      </c>
      <c r="E3519">
        <v>967</v>
      </c>
      <c r="H3519" s="1">
        <v>0.77600000000000002</v>
      </c>
      <c r="I3519" s="1">
        <v>2.1299999999999999E-2</v>
      </c>
      <c r="J3519" s="1">
        <v>0.20269999999999999</v>
      </c>
    </row>
    <row r="3520" spans="1:11" s="26" customFormat="1">
      <c r="A3520" s="26" t="s">
        <v>236</v>
      </c>
      <c r="B3520" s="26" t="s">
        <v>199</v>
      </c>
      <c r="C3520" s="26">
        <v>24</v>
      </c>
      <c r="D3520" s="26" t="s">
        <v>200</v>
      </c>
      <c r="E3520" s="26">
        <v>967</v>
      </c>
      <c r="G3520" s="27">
        <v>3.3999999999999998E-3</v>
      </c>
      <c r="H3520" s="27">
        <v>0.94730000000000003</v>
      </c>
      <c r="J3520" s="27">
        <v>4.9399999999999999E-2</v>
      </c>
    </row>
    <row r="3521" spans="1:12">
      <c r="A3521" t="s">
        <v>235</v>
      </c>
      <c r="B3521" t="s">
        <v>199</v>
      </c>
      <c r="C3521">
        <v>46</v>
      </c>
      <c r="D3521" t="s">
        <v>200</v>
      </c>
      <c r="E3521">
        <v>967</v>
      </c>
      <c r="G3521" s="1">
        <v>3.0000000000000001E-3</v>
      </c>
      <c r="H3521" s="1">
        <v>0.67220000000000002</v>
      </c>
      <c r="J3521" s="1">
        <v>0.32479999999999998</v>
      </c>
    </row>
    <row r="3522" spans="1:12">
      <c r="A3522" t="s">
        <v>236</v>
      </c>
      <c r="B3522" t="s">
        <v>199</v>
      </c>
      <c r="C3522">
        <v>36</v>
      </c>
      <c r="D3522" t="s">
        <v>202</v>
      </c>
      <c r="E3522">
        <v>967</v>
      </c>
      <c r="H3522" s="1">
        <v>0.69740000000000002</v>
      </c>
      <c r="I3522" s="1">
        <v>3.2599999999999997E-2</v>
      </c>
      <c r="J3522" s="1">
        <v>0.27</v>
      </c>
    </row>
    <row r="3523" spans="1:12">
      <c r="A3523" t="s">
        <v>235</v>
      </c>
      <c r="B3523" t="s">
        <v>199</v>
      </c>
      <c r="C3523">
        <v>96</v>
      </c>
      <c r="D3523" t="s">
        <v>201</v>
      </c>
      <c r="E3523">
        <v>967</v>
      </c>
      <c r="H3523" s="1">
        <v>0.84379999999999999</v>
      </c>
      <c r="I3523" s="1">
        <v>3.1199999999999999E-2</v>
      </c>
      <c r="J3523" s="1">
        <v>0.125</v>
      </c>
    </row>
    <row r="3524" spans="1:12">
      <c r="A3524" t="s">
        <v>236</v>
      </c>
      <c r="B3524" t="s">
        <v>209</v>
      </c>
      <c r="C3524">
        <v>39</v>
      </c>
      <c r="D3524" t="s">
        <v>211</v>
      </c>
      <c r="E3524">
        <v>967</v>
      </c>
      <c r="G3524" s="1">
        <v>3.3599999999999998E-2</v>
      </c>
      <c r="H3524" s="1">
        <v>0.76880000000000004</v>
      </c>
      <c r="I3524" s="1">
        <v>3.3599999999999998E-2</v>
      </c>
      <c r="J3524" s="1">
        <v>0.16400000000000001</v>
      </c>
    </row>
    <row r="3525" spans="1:12">
      <c r="A3525" t="s">
        <v>235</v>
      </c>
      <c r="B3525" t="s">
        <v>209</v>
      </c>
      <c r="C3525">
        <v>56</v>
      </c>
      <c r="D3525" t="s">
        <v>211</v>
      </c>
      <c r="E3525">
        <v>967</v>
      </c>
      <c r="H3525" s="1">
        <v>0.60309999999999997</v>
      </c>
      <c r="I3525" s="1">
        <v>8.3799999999999999E-2</v>
      </c>
      <c r="J3525" s="1">
        <v>0.31309999999999999</v>
      </c>
    </row>
    <row r="3526" spans="1:12">
      <c r="A3526" t="s">
        <v>235</v>
      </c>
      <c r="B3526" t="s">
        <v>209</v>
      </c>
      <c r="C3526">
        <v>67</v>
      </c>
      <c r="D3526" t="s">
        <v>212</v>
      </c>
      <c r="E3526">
        <v>967</v>
      </c>
      <c r="F3526" s="1">
        <v>1.6199999999999999E-2</v>
      </c>
      <c r="H3526" s="1">
        <v>0.90749999999999997</v>
      </c>
      <c r="I3526" s="1">
        <v>4.1000000000000002E-2</v>
      </c>
      <c r="J3526" s="1">
        <v>3.5299999999999998E-2</v>
      </c>
    </row>
    <row r="3527" spans="1:12" s="26" customFormat="1">
      <c r="A3527" s="26" t="s">
        <v>236</v>
      </c>
      <c r="B3527" s="26" t="s">
        <v>209</v>
      </c>
      <c r="C3527" s="26">
        <v>18</v>
      </c>
      <c r="D3527" s="26" t="s">
        <v>212</v>
      </c>
      <c r="E3527" s="26">
        <v>967</v>
      </c>
      <c r="H3527" s="27">
        <v>0.92349999999999999</v>
      </c>
      <c r="I3527" s="27">
        <v>1.77E-2</v>
      </c>
      <c r="J3527" s="27">
        <v>5.8799999999999998E-2</v>
      </c>
    </row>
    <row r="3528" spans="1:12">
      <c r="A3528" t="s">
        <v>236</v>
      </c>
      <c r="B3528" t="s">
        <v>209</v>
      </c>
      <c r="C3528">
        <v>38</v>
      </c>
      <c r="D3528" t="s">
        <v>210</v>
      </c>
      <c r="E3528">
        <v>967</v>
      </c>
      <c r="G3528" s="1">
        <v>4.07E-2</v>
      </c>
      <c r="H3528" s="1">
        <v>0.37319999999999998</v>
      </c>
      <c r="J3528" s="1">
        <v>0.58609999999999995</v>
      </c>
    </row>
    <row r="3529" spans="1:12">
      <c r="A3529" t="s">
        <v>235</v>
      </c>
      <c r="B3529" t="s">
        <v>209</v>
      </c>
      <c r="C3529">
        <v>32</v>
      </c>
      <c r="D3529" t="s">
        <v>210</v>
      </c>
      <c r="E3529">
        <v>967</v>
      </c>
      <c r="G3529" s="1">
        <v>3.2300000000000002E-2</v>
      </c>
      <c r="H3529" s="1">
        <v>0.56459999999999999</v>
      </c>
      <c r="J3529" s="1">
        <v>0.40310000000000001</v>
      </c>
    </row>
    <row r="3531" spans="1:12">
      <c r="A3531" t="s">
        <v>894</v>
      </c>
    </row>
    <row r="3532" spans="1:12">
      <c r="A3532" t="s">
        <v>189</v>
      </c>
      <c r="B3532" t="s">
        <v>195</v>
      </c>
      <c r="C3532" t="s">
        <v>190</v>
      </c>
      <c r="D3532" t="s">
        <v>196</v>
      </c>
      <c r="E3532" t="s">
        <v>895</v>
      </c>
      <c r="F3532" t="s">
        <v>228</v>
      </c>
      <c r="G3532" t="s">
        <v>896</v>
      </c>
      <c r="H3532" t="s">
        <v>897</v>
      </c>
      <c r="I3532" t="s">
        <v>898</v>
      </c>
      <c r="J3532" t="s">
        <v>276</v>
      </c>
      <c r="K3532" t="s">
        <v>278</v>
      </c>
      <c r="L3532" t="s">
        <v>899</v>
      </c>
    </row>
    <row r="3533" spans="1:12">
      <c r="A3533" t="s">
        <v>197</v>
      </c>
      <c r="B3533">
        <v>968</v>
      </c>
      <c r="C3533" t="s">
        <v>198</v>
      </c>
      <c r="D3533">
        <v>968</v>
      </c>
      <c r="E3533" s="1">
        <v>0.2172</v>
      </c>
      <c r="F3533" s="1">
        <v>2.2000000000000001E-3</v>
      </c>
      <c r="G3533" s="1">
        <v>1.21E-2</v>
      </c>
      <c r="H3533" s="1">
        <v>0.16259999999999999</v>
      </c>
      <c r="I3533" s="1">
        <v>0.2666</v>
      </c>
      <c r="J3533" s="1">
        <v>0.49940000000000001</v>
      </c>
      <c r="K3533" s="1">
        <v>4.8500000000000001E-2</v>
      </c>
      <c r="L3533" s="1">
        <v>6.6600000000000006E-2</v>
      </c>
    </row>
    <row r="3534" spans="1:12">
      <c r="A3534" t="s">
        <v>204</v>
      </c>
      <c r="B3534">
        <v>91</v>
      </c>
      <c r="C3534" t="s">
        <v>205</v>
      </c>
      <c r="D3534">
        <v>968</v>
      </c>
      <c r="E3534" s="1">
        <v>0.22090000000000001</v>
      </c>
      <c r="H3534" s="1">
        <v>5.3600000000000002E-2</v>
      </c>
      <c r="I3534" s="1">
        <v>0.13819999999999999</v>
      </c>
      <c r="J3534" s="1">
        <v>0.52390000000000003</v>
      </c>
      <c r="K3534" s="1">
        <v>7.9500000000000001E-2</v>
      </c>
      <c r="L3534" s="1">
        <v>5.5100000000000003E-2</v>
      </c>
    </row>
    <row r="3535" spans="1:12">
      <c r="A3535" t="s">
        <v>204</v>
      </c>
      <c r="B3535">
        <v>72</v>
      </c>
      <c r="C3535" t="s">
        <v>206</v>
      </c>
      <c r="D3535">
        <v>968</v>
      </c>
      <c r="E3535" s="1">
        <v>0.35110000000000002</v>
      </c>
      <c r="G3535" s="1">
        <v>1.1599999999999999E-2</v>
      </c>
      <c r="H3535" s="1">
        <v>0.1046</v>
      </c>
      <c r="I3535" s="1">
        <v>0.27910000000000001</v>
      </c>
      <c r="J3535" s="1">
        <v>0.41860000000000003</v>
      </c>
      <c r="K3535" s="1">
        <v>0.1187</v>
      </c>
      <c r="L3535" s="1">
        <v>0.14410000000000001</v>
      </c>
    </row>
    <row r="3536" spans="1:12">
      <c r="A3536" t="s">
        <v>204</v>
      </c>
      <c r="B3536">
        <v>131</v>
      </c>
      <c r="C3536" t="s">
        <v>207</v>
      </c>
      <c r="D3536">
        <v>968</v>
      </c>
      <c r="E3536" s="1">
        <v>0.38979999999999998</v>
      </c>
      <c r="F3536" s="1">
        <v>3.5999999999999999E-3</v>
      </c>
      <c r="G3536" s="1">
        <v>8.3999999999999995E-3</v>
      </c>
      <c r="H3536" s="1">
        <v>0.48049999999999998</v>
      </c>
      <c r="I3536" s="1">
        <v>0.441</v>
      </c>
      <c r="J3536" s="1">
        <v>0.26929999999999998</v>
      </c>
      <c r="K3536" s="1">
        <v>2.0400000000000001E-2</v>
      </c>
      <c r="L3536" s="1">
        <v>7.0199999999999999E-2</v>
      </c>
    </row>
    <row r="3537" spans="1:13">
      <c r="A3537" t="s">
        <v>204</v>
      </c>
      <c r="B3537">
        <v>74</v>
      </c>
      <c r="C3537" t="s">
        <v>208</v>
      </c>
      <c r="D3537">
        <v>968</v>
      </c>
      <c r="E3537" s="1">
        <v>9.4600000000000004E-2</v>
      </c>
      <c r="G3537" s="1">
        <v>1.35E-2</v>
      </c>
      <c r="H3537" s="1">
        <v>2.7E-2</v>
      </c>
      <c r="I3537" s="1">
        <v>0.1351</v>
      </c>
      <c r="J3537" s="1">
        <v>0.75680000000000003</v>
      </c>
      <c r="K3537" s="1">
        <v>4.0500000000000001E-2</v>
      </c>
      <c r="L3537" s="1">
        <v>5.4100000000000002E-2</v>
      </c>
    </row>
    <row r="3538" spans="1:13">
      <c r="A3538" t="s">
        <v>199</v>
      </c>
      <c r="B3538">
        <v>73</v>
      </c>
      <c r="C3538" t="s">
        <v>200</v>
      </c>
      <c r="D3538">
        <v>968</v>
      </c>
      <c r="E3538" s="1">
        <v>4.7000000000000002E-3</v>
      </c>
      <c r="H3538" s="1">
        <v>4.8000000000000001E-2</v>
      </c>
      <c r="I3538" s="1">
        <v>0.39179999999999998</v>
      </c>
      <c r="J3538" s="1">
        <v>0.53669999999999995</v>
      </c>
      <c r="K3538" s="1">
        <v>1.6000000000000001E-3</v>
      </c>
      <c r="L3538" s="1">
        <v>0.1399</v>
      </c>
    </row>
    <row r="3539" spans="1:13">
      <c r="A3539" t="s">
        <v>199</v>
      </c>
      <c r="B3539">
        <v>96</v>
      </c>
      <c r="C3539" t="s">
        <v>201</v>
      </c>
      <c r="D3539">
        <v>968</v>
      </c>
      <c r="E3539" s="1">
        <v>0.13539999999999999</v>
      </c>
      <c r="G3539" s="1">
        <v>2.0799999999999999E-2</v>
      </c>
      <c r="H3539" s="1">
        <v>0.22919999999999999</v>
      </c>
      <c r="I3539" s="1">
        <v>0.27079999999999999</v>
      </c>
      <c r="J3539" s="1">
        <v>0.46879999999999999</v>
      </c>
      <c r="K3539" s="1">
        <v>6.25E-2</v>
      </c>
      <c r="L3539" s="1">
        <v>3.1199999999999999E-2</v>
      </c>
    </row>
    <row r="3540" spans="1:13">
      <c r="A3540" t="s">
        <v>199</v>
      </c>
      <c r="B3540">
        <v>98</v>
      </c>
      <c r="C3540" t="s">
        <v>202</v>
      </c>
      <c r="D3540">
        <v>968</v>
      </c>
      <c r="E3540" s="1">
        <v>0.20169999999999999</v>
      </c>
      <c r="H3540" s="1">
        <v>0.1179</v>
      </c>
      <c r="I3540" s="1">
        <v>0.30869999999999997</v>
      </c>
      <c r="J3540" s="1">
        <v>0.55469999999999997</v>
      </c>
      <c r="K3540" s="1">
        <v>3.09E-2</v>
      </c>
      <c r="L3540" s="1">
        <v>0.11849999999999999</v>
      </c>
    </row>
    <row r="3541" spans="1:13">
      <c r="A3541" t="s">
        <v>199</v>
      </c>
      <c r="B3541">
        <v>77</v>
      </c>
      <c r="C3541" t="s">
        <v>203</v>
      </c>
      <c r="D3541">
        <v>968</v>
      </c>
      <c r="E3541" s="1">
        <v>0.24540000000000001</v>
      </c>
      <c r="G3541" s="1">
        <v>3.6400000000000002E-2</v>
      </c>
      <c r="H3541" s="1">
        <v>0.11700000000000001</v>
      </c>
      <c r="I3541" s="1">
        <v>0.21490000000000001</v>
      </c>
      <c r="J3541" s="1">
        <v>0.61450000000000005</v>
      </c>
      <c r="K3541" s="1">
        <v>3.5099999999999999E-2</v>
      </c>
      <c r="L3541" s="1">
        <v>6.1199999999999997E-2</v>
      </c>
    </row>
    <row r="3542" spans="1:13">
      <c r="A3542" t="s">
        <v>209</v>
      </c>
      <c r="B3542">
        <v>74</v>
      </c>
      <c r="C3542" t="s">
        <v>210</v>
      </c>
      <c r="D3542">
        <v>968</v>
      </c>
      <c r="E3542" s="1">
        <v>0.26850000000000002</v>
      </c>
      <c r="F3542" s="1">
        <v>1.77E-2</v>
      </c>
      <c r="G3542" s="1">
        <v>1.67E-2</v>
      </c>
      <c r="H3542" s="1">
        <v>9.6699999999999994E-2</v>
      </c>
      <c r="I3542" s="1">
        <v>0.20910000000000001</v>
      </c>
      <c r="J3542" s="1">
        <v>0.51300000000000001</v>
      </c>
      <c r="K3542" s="1">
        <v>7.8100000000000003E-2</v>
      </c>
      <c r="L3542" s="1">
        <v>0.1227</v>
      </c>
    </row>
    <row r="3543" spans="1:13">
      <c r="A3543" t="s">
        <v>209</v>
      </c>
      <c r="B3543">
        <v>97</v>
      </c>
      <c r="C3543" t="s">
        <v>211</v>
      </c>
      <c r="D3543">
        <v>968</v>
      </c>
      <c r="E3543" s="1">
        <v>0.22420000000000001</v>
      </c>
      <c r="G3543" s="1">
        <v>4.1999999999999997E-3</v>
      </c>
      <c r="H3543" s="1">
        <v>2.6100000000000002E-2</v>
      </c>
      <c r="I3543" s="1">
        <v>0.20710000000000001</v>
      </c>
      <c r="J3543" s="1">
        <v>0.53939999999999999</v>
      </c>
      <c r="K3543" s="1">
        <v>2.8299999999999999E-2</v>
      </c>
      <c r="L3543" s="1">
        <v>9.5799999999999996E-2</v>
      </c>
    </row>
    <row r="3544" spans="1:13">
      <c r="A3544" t="s">
        <v>209</v>
      </c>
      <c r="B3544">
        <v>85</v>
      </c>
      <c r="C3544" t="s">
        <v>212</v>
      </c>
      <c r="D3544">
        <v>968</v>
      </c>
      <c r="E3544" s="1">
        <v>0.22750000000000001</v>
      </c>
      <c r="F3544" s="1">
        <v>1.4E-2</v>
      </c>
      <c r="G3544" s="1">
        <v>3.85E-2</v>
      </c>
      <c r="H3544" s="1">
        <v>5.5899999999999998E-2</v>
      </c>
      <c r="I3544" s="1">
        <v>0.29089999999999999</v>
      </c>
      <c r="J3544" s="1">
        <v>0.54720000000000002</v>
      </c>
      <c r="K3544" s="1">
        <v>4.9200000000000001E-2</v>
      </c>
      <c r="L3544" s="1">
        <v>4.19E-2</v>
      </c>
    </row>
    <row r="3546" spans="1:13">
      <c r="A3546" t="s">
        <v>900</v>
      </c>
    </row>
    <row r="3547" spans="1:13">
      <c r="A3547" t="s">
        <v>214</v>
      </c>
      <c r="B3547" t="s">
        <v>189</v>
      </c>
      <c r="C3547" t="s">
        <v>195</v>
      </c>
      <c r="D3547" t="s">
        <v>190</v>
      </c>
      <c r="E3547" t="s">
        <v>196</v>
      </c>
      <c r="F3547" t="s">
        <v>895</v>
      </c>
      <c r="G3547" t="s">
        <v>228</v>
      </c>
      <c r="H3547" t="s">
        <v>896</v>
      </c>
      <c r="I3547" t="s">
        <v>897</v>
      </c>
      <c r="J3547" t="s">
        <v>898</v>
      </c>
      <c r="K3547" t="s">
        <v>276</v>
      </c>
      <c r="L3547" t="s">
        <v>278</v>
      </c>
      <c r="M3547" t="s">
        <v>899</v>
      </c>
    </row>
    <row r="3548" spans="1:13">
      <c r="A3548" t="s">
        <v>198</v>
      </c>
      <c r="B3548" t="s">
        <v>197</v>
      </c>
      <c r="C3548">
        <v>968</v>
      </c>
      <c r="D3548" t="s">
        <v>198</v>
      </c>
      <c r="E3548">
        <v>968</v>
      </c>
      <c r="F3548" s="1">
        <v>0.2172</v>
      </c>
      <c r="G3548" s="1">
        <v>2.2000000000000001E-3</v>
      </c>
      <c r="H3548" s="1">
        <v>1.21E-2</v>
      </c>
      <c r="I3548" s="1">
        <v>0.16259999999999999</v>
      </c>
      <c r="J3548" s="1">
        <v>0.2666</v>
      </c>
      <c r="K3548" s="1">
        <v>0.49940000000000001</v>
      </c>
      <c r="L3548" s="1">
        <v>4.8500000000000001E-2</v>
      </c>
      <c r="M3548" s="1">
        <v>6.6600000000000006E-2</v>
      </c>
    </row>
    <row r="3549" spans="1:13">
      <c r="A3549" t="s">
        <v>235</v>
      </c>
      <c r="B3549" t="s">
        <v>204</v>
      </c>
      <c r="C3549">
        <v>63</v>
      </c>
      <c r="D3549" t="s">
        <v>208</v>
      </c>
      <c r="E3549">
        <v>968</v>
      </c>
      <c r="F3549" s="1">
        <v>7.9399999999999998E-2</v>
      </c>
      <c r="H3549" s="1">
        <v>1.5900000000000001E-2</v>
      </c>
      <c r="I3549" s="1">
        <v>1.5900000000000001E-2</v>
      </c>
      <c r="J3549" s="1">
        <v>0.127</v>
      </c>
      <c r="K3549" s="1">
        <v>0.8095</v>
      </c>
      <c r="L3549" s="1">
        <v>1.5900000000000001E-2</v>
      </c>
      <c r="M3549" s="1">
        <v>3.1699999999999999E-2</v>
      </c>
    </row>
    <row r="3550" spans="1:13">
      <c r="A3550" t="s">
        <v>236</v>
      </c>
      <c r="B3550" t="s">
        <v>204</v>
      </c>
      <c r="C3550">
        <v>32</v>
      </c>
      <c r="D3550" t="s">
        <v>205</v>
      </c>
      <c r="E3550">
        <v>968</v>
      </c>
      <c r="F3550" s="1">
        <v>9.4700000000000006E-2</v>
      </c>
      <c r="I3550" s="1">
        <v>1.37E-2</v>
      </c>
      <c r="J3550" s="1">
        <v>0.20119999999999999</v>
      </c>
      <c r="K3550" s="1">
        <v>0.75790000000000002</v>
      </c>
      <c r="L3550" s="1">
        <v>1.37E-2</v>
      </c>
    </row>
    <row r="3551" spans="1:13">
      <c r="A3551" t="s">
        <v>235</v>
      </c>
      <c r="B3551" t="s">
        <v>204</v>
      </c>
      <c r="C3551">
        <v>58</v>
      </c>
      <c r="D3551" t="s">
        <v>205</v>
      </c>
      <c r="E3551">
        <v>968</v>
      </c>
      <c r="F3551" s="1">
        <v>0.246</v>
      </c>
      <c r="I3551" s="1">
        <v>6.2399999999999997E-2</v>
      </c>
      <c r="J3551" s="1">
        <v>0.1249</v>
      </c>
      <c r="K3551" s="1">
        <v>0.47470000000000001</v>
      </c>
      <c r="L3551" s="1">
        <v>9.4100000000000003E-2</v>
      </c>
      <c r="M3551" s="1">
        <v>6.7199999999999996E-2</v>
      </c>
    </row>
    <row r="3552" spans="1:13" s="26" customFormat="1">
      <c r="A3552" s="26" t="s">
        <v>236</v>
      </c>
      <c r="B3552" s="26" t="s">
        <v>204</v>
      </c>
      <c r="C3552" s="26">
        <v>21</v>
      </c>
      <c r="D3552" s="26" t="s">
        <v>206</v>
      </c>
      <c r="E3552" s="26">
        <v>968</v>
      </c>
      <c r="F3552" s="27">
        <v>0.29060000000000002</v>
      </c>
      <c r="H3552" s="27">
        <v>4.2799999999999998E-2</v>
      </c>
      <c r="I3552" s="27">
        <v>0.10249999999999999</v>
      </c>
      <c r="J3552" s="27">
        <v>0.43580000000000002</v>
      </c>
      <c r="K3552" s="27">
        <v>0.25659999999999999</v>
      </c>
      <c r="L3552" s="27">
        <v>5.9700000000000003E-2</v>
      </c>
      <c r="M3552" s="27">
        <v>0.24779999999999999</v>
      </c>
    </row>
    <row r="3553" spans="1:13">
      <c r="A3553" t="s">
        <v>235</v>
      </c>
      <c r="B3553" t="s">
        <v>204</v>
      </c>
      <c r="C3553">
        <v>47</v>
      </c>
      <c r="D3553" t="s">
        <v>206</v>
      </c>
      <c r="E3553">
        <v>968</v>
      </c>
      <c r="F3553" s="1">
        <v>0.40210000000000001</v>
      </c>
      <c r="I3553" s="1">
        <v>0.1134</v>
      </c>
      <c r="J3553" s="1">
        <v>0.23710000000000001</v>
      </c>
      <c r="K3553" s="1">
        <v>0.47420000000000001</v>
      </c>
      <c r="L3553" s="1">
        <v>0.1169</v>
      </c>
      <c r="M3553" s="1">
        <v>0.1134</v>
      </c>
    </row>
    <row r="3554" spans="1:13">
      <c r="A3554" t="s">
        <v>236</v>
      </c>
      <c r="B3554" t="s">
        <v>204</v>
      </c>
      <c r="C3554">
        <v>81</v>
      </c>
      <c r="D3554" t="s">
        <v>207</v>
      </c>
      <c r="E3554">
        <v>968</v>
      </c>
      <c r="F3554" s="1">
        <v>0.33510000000000001</v>
      </c>
      <c r="G3554" s="1">
        <v>8.8000000000000005E-3</v>
      </c>
      <c r="H3554" s="1">
        <v>2.07E-2</v>
      </c>
      <c r="I3554" s="1">
        <v>0.26040000000000002</v>
      </c>
      <c r="J3554" s="1">
        <v>0.3468</v>
      </c>
      <c r="K3554" s="1">
        <v>0.43990000000000001</v>
      </c>
      <c r="L3554" s="1">
        <v>1.95E-2</v>
      </c>
      <c r="M3554" s="1">
        <v>4.0399999999999998E-2</v>
      </c>
    </row>
    <row r="3555" spans="1:13">
      <c r="A3555" t="s">
        <v>235</v>
      </c>
      <c r="B3555" t="s">
        <v>204</v>
      </c>
      <c r="C3555">
        <v>45</v>
      </c>
      <c r="D3555" t="s">
        <v>207</v>
      </c>
      <c r="E3555">
        <v>968</v>
      </c>
      <c r="F3555" s="1">
        <v>0.437</v>
      </c>
      <c r="I3555" s="1">
        <v>0.64559999999999995</v>
      </c>
      <c r="J3555" s="1">
        <v>0.5171</v>
      </c>
      <c r="K3555" s="1">
        <v>0.13739999999999999</v>
      </c>
      <c r="L3555" s="1">
        <v>1.7100000000000001E-2</v>
      </c>
      <c r="M3555" s="1">
        <v>9.2600000000000002E-2</v>
      </c>
    </row>
    <row r="3556" spans="1:13" s="26" customFormat="1">
      <c r="A3556" s="26" t="s">
        <v>236</v>
      </c>
      <c r="B3556" s="26" t="s">
        <v>204</v>
      </c>
      <c r="C3556" s="26">
        <v>11</v>
      </c>
      <c r="D3556" s="26" t="s">
        <v>208</v>
      </c>
      <c r="E3556" s="26">
        <v>968</v>
      </c>
      <c r="F3556" s="27">
        <v>0.18179999999999999</v>
      </c>
      <c r="I3556" s="27">
        <v>9.0899999999999995E-2</v>
      </c>
      <c r="J3556" s="27">
        <v>0.18179999999999999</v>
      </c>
      <c r="K3556" s="27">
        <v>0.45450000000000002</v>
      </c>
      <c r="L3556" s="27">
        <v>0.18179999999999999</v>
      </c>
      <c r="M3556" s="27">
        <v>0.18179999999999999</v>
      </c>
    </row>
    <row r="3557" spans="1:13">
      <c r="A3557" t="s">
        <v>235</v>
      </c>
      <c r="B3557" t="s">
        <v>199</v>
      </c>
      <c r="C3557">
        <v>44</v>
      </c>
      <c r="D3557" t="s">
        <v>203</v>
      </c>
      <c r="E3557">
        <v>968</v>
      </c>
      <c r="F3557" s="1">
        <v>0.2878</v>
      </c>
      <c r="H3557" s="1">
        <v>4.2799999999999998E-2</v>
      </c>
      <c r="I3557" s="1">
        <v>0.17130000000000001</v>
      </c>
      <c r="J3557" s="1">
        <v>0.28720000000000001</v>
      </c>
      <c r="K3557" s="1">
        <v>0.51400000000000001</v>
      </c>
      <c r="L3557" s="1">
        <v>4.2799999999999998E-2</v>
      </c>
      <c r="M3557" s="1">
        <v>9.7500000000000003E-2</v>
      </c>
    </row>
    <row r="3558" spans="1:13">
      <c r="A3558" t="s">
        <v>236</v>
      </c>
      <c r="B3558" t="s">
        <v>199</v>
      </c>
      <c r="C3558">
        <v>32</v>
      </c>
      <c r="D3558" t="s">
        <v>203</v>
      </c>
      <c r="E3558">
        <v>968</v>
      </c>
      <c r="F3558" s="1">
        <v>0.18770000000000001</v>
      </c>
      <c r="H3558" s="1">
        <v>2.75E-2</v>
      </c>
      <c r="I3558" s="1">
        <v>2.75E-2</v>
      </c>
      <c r="J3558" s="1">
        <v>0.1003</v>
      </c>
      <c r="K3558" s="1">
        <v>0.76700000000000002</v>
      </c>
      <c r="L3558" s="1">
        <v>2.3900000000000001E-2</v>
      </c>
    </row>
    <row r="3559" spans="1:13">
      <c r="A3559" t="s">
        <v>235</v>
      </c>
      <c r="B3559" t="s">
        <v>199</v>
      </c>
      <c r="C3559">
        <v>60</v>
      </c>
      <c r="D3559" t="s">
        <v>202</v>
      </c>
      <c r="E3559">
        <v>968</v>
      </c>
      <c r="F3559" s="1">
        <v>0.2215</v>
      </c>
      <c r="I3559" s="1">
        <v>0.14360000000000001</v>
      </c>
      <c r="J3559" s="1">
        <v>0.30509999999999998</v>
      </c>
      <c r="K3559" s="1">
        <v>0.54339999999999999</v>
      </c>
      <c r="L3559" s="1">
        <v>3.8100000000000002E-2</v>
      </c>
      <c r="M3559" s="1">
        <v>7.3999999999999996E-2</v>
      </c>
    </row>
    <row r="3560" spans="1:13" s="26" customFormat="1">
      <c r="A3560" s="26" t="s">
        <v>236</v>
      </c>
      <c r="B3560" s="26" t="s">
        <v>199</v>
      </c>
      <c r="C3560" s="26">
        <v>24</v>
      </c>
      <c r="D3560" s="26" t="s">
        <v>200</v>
      </c>
      <c r="E3560" s="26">
        <v>968</v>
      </c>
      <c r="F3560" s="27">
        <v>3.3999999999999998E-3</v>
      </c>
      <c r="J3560" s="27">
        <v>0.36299999999999999</v>
      </c>
      <c r="K3560" s="27">
        <v>0.63700000000000001</v>
      </c>
      <c r="M3560" s="27">
        <v>0.14560000000000001</v>
      </c>
    </row>
    <row r="3561" spans="1:13">
      <c r="A3561" t="s">
        <v>235</v>
      </c>
      <c r="B3561" t="s">
        <v>199</v>
      </c>
      <c r="C3561">
        <v>46</v>
      </c>
      <c r="D3561" t="s">
        <v>200</v>
      </c>
      <c r="E3561">
        <v>968</v>
      </c>
      <c r="F3561" s="1">
        <v>6.0000000000000001E-3</v>
      </c>
      <c r="I3561" s="1">
        <v>9.1300000000000006E-2</v>
      </c>
      <c r="J3561" s="1">
        <v>0.42099999999999999</v>
      </c>
      <c r="K3561" s="1">
        <v>0.443</v>
      </c>
      <c r="L3561" s="1">
        <v>3.0000000000000001E-3</v>
      </c>
      <c r="M3561" s="1">
        <v>0.13600000000000001</v>
      </c>
    </row>
    <row r="3562" spans="1:13">
      <c r="A3562" t="s">
        <v>236</v>
      </c>
      <c r="B3562" t="s">
        <v>199</v>
      </c>
      <c r="C3562">
        <v>37</v>
      </c>
      <c r="D3562" t="s">
        <v>202</v>
      </c>
      <c r="E3562">
        <v>968</v>
      </c>
      <c r="F3562" s="1">
        <v>0.18079999999999999</v>
      </c>
      <c r="I3562" s="1">
        <v>8.6199999999999999E-2</v>
      </c>
      <c r="J3562" s="1">
        <v>0.32390000000000002</v>
      </c>
      <c r="K3562" s="1">
        <v>0.55579999999999996</v>
      </c>
      <c r="L3562" s="1">
        <v>2.1899999999999999E-2</v>
      </c>
      <c r="M3562" s="1">
        <v>0.18410000000000001</v>
      </c>
    </row>
    <row r="3563" spans="1:13">
      <c r="A3563" t="s">
        <v>235</v>
      </c>
      <c r="B3563" t="s">
        <v>199</v>
      </c>
      <c r="C3563">
        <v>96</v>
      </c>
      <c r="D3563" t="s">
        <v>201</v>
      </c>
      <c r="E3563">
        <v>968</v>
      </c>
      <c r="F3563" s="1">
        <v>0.13539999999999999</v>
      </c>
      <c r="H3563" s="1">
        <v>2.0799999999999999E-2</v>
      </c>
      <c r="I3563" s="1">
        <v>0.22919999999999999</v>
      </c>
      <c r="J3563" s="1">
        <v>0.27079999999999999</v>
      </c>
      <c r="K3563" s="1">
        <v>0.46879999999999999</v>
      </c>
      <c r="L3563" s="1">
        <v>6.25E-2</v>
      </c>
      <c r="M3563" s="1">
        <v>3.1199999999999999E-2</v>
      </c>
    </row>
    <row r="3564" spans="1:13">
      <c r="A3564" t="s">
        <v>236</v>
      </c>
      <c r="B3564" t="s">
        <v>209</v>
      </c>
      <c r="C3564">
        <v>39</v>
      </c>
      <c r="D3564" t="s">
        <v>211</v>
      </c>
      <c r="E3564">
        <v>968</v>
      </c>
      <c r="F3564" s="1">
        <v>0.19070000000000001</v>
      </c>
      <c r="H3564" s="1">
        <v>1.18E-2</v>
      </c>
      <c r="J3564" s="1">
        <v>0.23419999999999999</v>
      </c>
      <c r="K3564" s="1">
        <v>0.59399999999999997</v>
      </c>
      <c r="L3564" s="1">
        <v>4.5400000000000003E-2</v>
      </c>
    </row>
    <row r="3565" spans="1:13">
      <c r="A3565" t="s">
        <v>235</v>
      </c>
      <c r="B3565" t="s">
        <v>209</v>
      </c>
      <c r="C3565">
        <v>56</v>
      </c>
      <c r="D3565" t="s">
        <v>211</v>
      </c>
      <c r="E3565">
        <v>968</v>
      </c>
      <c r="F3565" s="1">
        <v>0.23</v>
      </c>
      <c r="I3565" s="1">
        <v>4.2700000000000002E-2</v>
      </c>
      <c r="J3565" s="1">
        <v>0.2016</v>
      </c>
      <c r="K3565" s="1">
        <v>0.50949999999999995</v>
      </c>
      <c r="L3565" s="1">
        <v>1.9599999999999999E-2</v>
      </c>
      <c r="M3565" s="1">
        <v>0.15659999999999999</v>
      </c>
    </row>
    <row r="3566" spans="1:13">
      <c r="A3566" t="s">
        <v>235</v>
      </c>
      <c r="B3566" t="s">
        <v>209</v>
      </c>
      <c r="C3566">
        <v>67</v>
      </c>
      <c r="D3566" t="s">
        <v>212</v>
      </c>
      <c r="E3566">
        <v>968</v>
      </c>
      <c r="F3566" s="1">
        <v>0.24210000000000001</v>
      </c>
      <c r="G3566" s="1">
        <v>1.6199999999999999E-2</v>
      </c>
      <c r="H3566" s="1">
        <v>3.6200000000000003E-2</v>
      </c>
      <c r="I3566" s="1">
        <v>6.4799999999999996E-2</v>
      </c>
      <c r="J3566" s="1">
        <v>0.29070000000000001</v>
      </c>
      <c r="K3566" s="1">
        <v>0.55110000000000003</v>
      </c>
      <c r="L3566" s="1">
        <v>4.0800000000000003E-2</v>
      </c>
      <c r="M3566" s="1">
        <v>4.8599999999999997E-2</v>
      </c>
    </row>
    <row r="3567" spans="1:13" s="26" customFormat="1">
      <c r="A3567" s="26" t="s">
        <v>236</v>
      </c>
      <c r="B3567" s="26" t="s">
        <v>209</v>
      </c>
      <c r="C3567" s="26">
        <v>18</v>
      </c>
      <c r="D3567" s="26" t="s">
        <v>212</v>
      </c>
      <c r="E3567" s="26">
        <v>968</v>
      </c>
      <c r="F3567" s="27">
        <v>0.13639999999999999</v>
      </c>
      <c r="H3567" s="27">
        <v>5.2499999999999998E-2</v>
      </c>
      <c r="J3567" s="27">
        <v>0.29220000000000002</v>
      </c>
      <c r="K3567" s="27">
        <v>0.52259999999999995</v>
      </c>
      <c r="L3567" s="27">
        <v>0.1013</v>
      </c>
    </row>
    <row r="3568" spans="1:13">
      <c r="A3568" t="s">
        <v>236</v>
      </c>
      <c r="B3568" t="s">
        <v>209</v>
      </c>
      <c r="C3568">
        <v>38</v>
      </c>
      <c r="D3568" t="s">
        <v>210</v>
      </c>
      <c r="E3568">
        <v>968</v>
      </c>
      <c r="F3568" s="1">
        <v>0.33250000000000002</v>
      </c>
      <c r="H3568" s="1">
        <v>4.07E-2</v>
      </c>
      <c r="I3568" s="1">
        <v>0.1065</v>
      </c>
      <c r="J3568" s="1">
        <v>0.23089999999999999</v>
      </c>
      <c r="K3568" s="1">
        <v>0.45689999999999997</v>
      </c>
      <c r="L3568" s="1">
        <v>4.07E-2</v>
      </c>
      <c r="M3568" s="1">
        <v>0.14949999999999999</v>
      </c>
    </row>
    <row r="3569" spans="1:13">
      <c r="A3569" t="s">
        <v>235</v>
      </c>
      <c r="B3569" t="s">
        <v>209</v>
      </c>
      <c r="C3569">
        <v>32</v>
      </c>
      <c r="D3569" t="s">
        <v>210</v>
      </c>
      <c r="E3569">
        <v>968</v>
      </c>
      <c r="F3569" s="1">
        <v>0.22620000000000001</v>
      </c>
      <c r="G3569" s="1">
        <v>3.2300000000000002E-2</v>
      </c>
      <c r="I3569" s="1">
        <v>9.69E-2</v>
      </c>
      <c r="J3569" s="1">
        <v>0.19389999999999999</v>
      </c>
      <c r="K3569" s="1">
        <v>0.54759999999999998</v>
      </c>
      <c r="L3569" s="1">
        <v>9.69E-2</v>
      </c>
      <c r="M3569" s="1">
        <v>9.69E-2</v>
      </c>
    </row>
    <row r="3571" spans="1:13">
      <c r="A3571" t="s">
        <v>901</v>
      </c>
    </row>
    <row r="3572" spans="1:13">
      <c r="A3572" t="s">
        <v>189</v>
      </c>
      <c r="B3572" t="s">
        <v>195</v>
      </c>
      <c r="C3572" t="s">
        <v>190</v>
      </c>
      <c r="D3572" t="s">
        <v>196</v>
      </c>
      <c r="E3572" t="s">
        <v>228</v>
      </c>
      <c r="F3572" t="s">
        <v>215</v>
      </c>
      <c r="G3572" t="s">
        <v>216</v>
      </c>
    </row>
    <row r="3573" spans="1:13">
      <c r="A3573" t="s">
        <v>197</v>
      </c>
      <c r="B3573">
        <v>968</v>
      </c>
      <c r="C3573" t="s">
        <v>198</v>
      </c>
      <c r="D3573">
        <v>968</v>
      </c>
      <c r="E3573" s="1">
        <v>6.6E-3</v>
      </c>
      <c r="F3573" s="1">
        <v>0.79349999999999998</v>
      </c>
      <c r="G3573" s="1">
        <v>0.19989999999999999</v>
      </c>
    </row>
    <row r="3574" spans="1:13">
      <c r="A3574" t="s">
        <v>204</v>
      </c>
      <c r="B3574">
        <v>91</v>
      </c>
      <c r="C3574" t="s">
        <v>205</v>
      </c>
      <c r="D3574">
        <v>968</v>
      </c>
      <c r="F3574" s="1">
        <v>0.85350000000000004</v>
      </c>
      <c r="G3574" s="1">
        <v>0.14649999999999999</v>
      </c>
    </row>
    <row r="3575" spans="1:13">
      <c r="A3575" t="s">
        <v>204</v>
      </c>
      <c r="B3575">
        <v>72</v>
      </c>
      <c r="C3575" t="s">
        <v>206</v>
      </c>
      <c r="D3575">
        <v>968</v>
      </c>
      <c r="E3575" s="1">
        <v>1.1599999999999999E-2</v>
      </c>
      <c r="F3575" s="1">
        <v>0.78139999999999998</v>
      </c>
      <c r="G3575" s="1">
        <v>0.20699999999999999</v>
      </c>
    </row>
    <row r="3576" spans="1:13">
      <c r="A3576" t="s">
        <v>204</v>
      </c>
      <c r="B3576">
        <v>131</v>
      </c>
      <c r="C3576" t="s">
        <v>207</v>
      </c>
      <c r="D3576">
        <v>968</v>
      </c>
      <c r="E3576" s="1">
        <v>6.1000000000000004E-3</v>
      </c>
      <c r="F3576" s="1">
        <v>0.89870000000000005</v>
      </c>
      <c r="G3576" s="1">
        <v>9.5299999999999996E-2</v>
      </c>
    </row>
    <row r="3577" spans="1:13">
      <c r="A3577" t="s">
        <v>204</v>
      </c>
      <c r="B3577">
        <v>74</v>
      </c>
      <c r="C3577" t="s">
        <v>208</v>
      </c>
      <c r="D3577">
        <v>968</v>
      </c>
      <c r="E3577" s="1">
        <v>1.35E-2</v>
      </c>
      <c r="F3577" s="1">
        <v>0.82430000000000003</v>
      </c>
      <c r="G3577" s="1">
        <v>0.16220000000000001</v>
      </c>
    </row>
    <row r="3578" spans="1:13">
      <c r="A3578" t="s">
        <v>199</v>
      </c>
      <c r="B3578">
        <v>73</v>
      </c>
      <c r="C3578" t="s">
        <v>200</v>
      </c>
      <c r="D3578">
        <v>968</v>
      </c>
      <c r="E3578" s="1">
        <v>1.6000000000000001E-3</v>
      </c>
      <c r="F3578" s="1">
        <v>0.92730000000000001</v>
      </c>
      <c r="G3578" s="1">
        <v>7.1199999999999999E-2</v>
      </c>
    </row>
    <row r="3579" spans="1:13">
      <c r="A3579" t="s">
        <v>199</v>
      </c>
      <c r="B3579">
        <v>96</v>
      </c>
      <c r="C3579" t="s">
        <v>201</v>
      </c>
      <c r="D3579">
        <v>968</v>
      </c>
      <c r="E3579" s="1">
        <v>1.04E-2</v>
      </c>
      <c r="F3579" s="1">
        <v>0.71879999999999999</v>
      </c>
      <c r="G3579" s="1">
        <v>0.27079999999999999</v>
      </c>
    </row>
    <row r="3580" spans="1:13">
      <c r="A3580" t="s">
        <v>199</v>
      </c>
      <c r="B3580">
        <v>98</v>
      </c>
      <c r="C3580" t="s">
        <v>202</v>
      </c>
      <c r="D3580">
        <v>968</v>
      </c>
      <c r="F3580" s="1">
        <v>0.71260000000000001</v>
      </c>
      <c r="G3580" s="1">
        <v>0.28739999999999999</v>
      </c>
    </row>
    <row r="3581" spans="1:13">
      <c r="A3581" t="s">
        <v>199</v>
      </c>
      <c r="B3581">
        <v>77</v>
      </c>
      <c r="C3581" t="s">
        <v>203</v>
      </c>
      <c r="D3581">
        <v>968</v>
      </c>
      <c r="E3581" s="1">
        <v>2.69E-2</v>
      </c>
      <c r="F3581" s="1">
        <v>0.748</v>
      </c>
      <c r="G3581" s="1">
        <v>0.22509999999999999</v>
      </c>
    </row>
    <row r="3582" spans="1:13">
      <c r="A3582" t="s">
        <v>209</v>
      </c>
      <c r="B3582">
        <v>74</v>
      </c>
      <c r="C3582" t="s">
        <v>210</v>
      </c>
      <c r="D3582">
        <v>968</v>
      </c>
      <c r="E3582" s="1">
        <v>1.77E-2</v>
      </c>
      <c r="F3582" s="1">
        <v>0.62539999999999996</v>
      </c>
      <c r="G3582" s="1">
        <v>0.3569</v>
      </c>
    </row>
    <row r="3583" spans="1:13">
      <c r="A3583" t="s">
        <v>209</v>
      </c>
      <c r="B3583">
        <v>97</v>
      </c>
      <c r="C3583" t="s">
        <v>211</v>
      </c>
      <c r="D3583">
        <v>968</v>
      </c>
      <c r="F3583" s="1">
        <v>0.82850000000000001</v>
      </c>
      <c r="G3583" s="1">
        <v>0.17150000000000001</v>
      </c>
    </row>
    <row r="3584" spans="1:13">
      <c r="A3584" t="s">
        <v>209</v>
      </c>
      <c r="B3584">
        <v>85</v>
      </c>
      <c r="C3584" t="s">
        <v>212</v>
      </c>
      <c r="D3584">
        <v>968</v>
      </c>
      <c r="E3584" s="1">
        <v>1.4E-2</v>
      </c>
      <c r="F3584" s="1">
        <v>0.73170000000000002</v>
      </c>
      <c r="G3584" s="1">
        <v>0.25430000000000003</v>
      </c>
    </row>
    <row r="3586" spans="1:8">
      <c r="A3586" t="s">
        <v>902</v>
      </c>
    </row>
    <row r="3587" spans="1:8">
      <c r="A3587" t="s">
        <v>214</v>
      </c>
      <c r="B3587" t="s">
        <v>189</v>
      </c>
      <c r="C3587" t="s">
        <v>195</v>
      </c>
      <c r="D3587" t="s">
        <v>190</v>
      </c>
      <c r="E3587" t="s">
        <v>196</v>
      </c>
      <c r="F3587" t="s">
        <v>228</v>
      </c>
      <c r="G3587" t="s">
        <v>215</v>
      </c>
      <c r="H3587" t="s">
        <v>216</v>
      </c>
    </row>
    <row r="3588" spans="1:8">
      <c r="A3588" t="s">
        <v>198</v>
      </c>
      <c r="B3588" t="s">
        <v>197</v>
      </c>
      <c r="C3588">
        <v>968</v>
      </c>
      <c r="D3588" t="s">
        <v>198</v>
      </c>
      <c r="E3588">
        <v>968</v>
      </c>
      <c r="F3588" s="1">
        <v>6.6E-3</v>
      </c>
      <c r="G3588" s="1">
        <v>0.79349999999999998</v>
      </c>
      <c r="H3588" s="1">
        <v>0.19989999999999999</v>
      </c>
    </row>
    <row r="3589" spans="1:8">
      <c r="A3589" t="s">
        <v>235</v>
      </c>
      <c r="B3589" t="s">
        <v>204</v>
      </c>
      <c r="C3589">
        <v>63</v>
      </c>
      <c r="D3589" t="s">
        <v>208</v>
      </c>
      <c r="E3589">
        <v>968</v>
      </c>
      <c r="G3589" s="1">
        <v>0.84130000000000005</v>
      </c>
      <c r="H3589" s="1">
        <v>0.15870000000000001</v>
      </c>
    </row>
    <row r="3590" spans="1:8">
      <c r="A3590" t="s">
        <v>236</v>
      </c>
      <c r="B3590" t="s">
        <v>204</v>
      </c>
      <c r="C3590">
        <v>32</v>
      </c>
      <c r="D3590" t="s">
        <v>205</v>
      </c>
      <c r="E3590">
        <v>968</v>
      </c>
      <c r="G3590" s="1">
        <v>0.71150000000000002</v>
      </c>
      <c r="H3590" s="1">
        <v>0.28849999999999998</v>
      </c>
    </row>
    <row r="3591" spans="1:8">
      <c r="A3591" t="s">
        <v>235</v>
      </c>
      <c r="B3591" t="s">
        <v>204</v>
      </c>
      <c r="C3591">
        <v>58</v>
      </c>
      <c r="D3591" t="s">
        <v>205</v>
      </c>
      <c r="E3591">
        <v>968</v>
      </c>
      <c r="G3591" s="1">
        <v>0.88380000000000003</v>
      </c>
      <c r="H3591" s="1">
        <v>0.1162</v>
      </c>
    </row>
    <row r="3592" spans="1:8" s="26" customFormat="1">
      <c r="A3592" s="26" t="s">
        <v>236</v>
      </c>
      <c r="B3592" s="26" t="s">
        <v>204</v>
      </c>
      <c r="C3592" s="26">
        <v>21</v>
      </c>
      <c r="D3592" s="26" t="s">
        <v>206</v>
      </c>
      <c r="E3592" s="26">
        <v>968</v>
      </c>
      <c r="F3592" s="27">
        <v>4.2799999999999998E-2</v>
      </c>
      <c r="G3592" s="27">
        <v>0.85470000000000002</v>
      </c>
      <c r="H3592" s="27">
        <v>0.10249999999999999</v>
      </c>
    </row>
    <row r="3593" spans="1:8">
      <c r="A3593" t="s">
        <v>235</v>
      </c>
      <c r="B3593" t="s">
        <v>204</v>
      </c>
      <c r="C3593">
        <v>47</v>
      </c>
      <c r="D3593" t="s">
        <v>206</v>
      </c>
      <c r="E3593">
        <v>968</v>
      </c>
      <c r="G3593" s="1">
        <v>0.73529999999999995</v>
      </c>
      <c r="H3593" s="1">
        <v>0.26469999999999999</v>
      </c>
    </row>
    <row r="3594" spans="1:8">
      <c r="A3594" t="s">
        <v>236</v>
      </c>
      <c r="B3594" t="s">
        <v>204</v>
      </c>
      <c r="C3594">
        <v>81</v>
      </c>
      <c r="D3594" t="s">
        <v>207</v>
      </c>
      <c r="E3594">
        <v>968</v>
      </c>
      <c r="F3594" s="1">
        <v>1.4999999999999999E-2</v>
      </c>
      <c r="G3594" s="1">
        <v>0.80789999999999995</v>
      </c>
      <c r="H3594" s="1">
        <v>0.17710000000000001</v>
      </c>
    </row>
    <row r="3595" spans="1:8">
      <c r="A3595" t="s">
        <v>235</v>
      </c>
      <c r="B3595" t="s">
        <v>204</v>
      </c>
      <c r="C3595">
        <v>45</v>
      </c>
      <c r="D3595" t="s">
        <v>207</v>
      </c>
      <c r="E3595">
        <v>968</v>
      </c>
      <c r="G3595" s="1">
        <v>0.96399999999999997</v>
      </c>
      <c r="H3595" s="1">
        <v>3.5999999999999997E-2</v>
      </c>
    </row>
    <row r="3596" spans="1:8" s="26" customFormat="1">
      <c r="A3596" s="26" t="s">
        <v>236</v>
      </c>
      <c r="B3596" s="26" t="s">
        <v>204</v>
      </c>
      <c r="C3596" s="26">
        <v>11</v>
      </c>
      <c r="D3596" s="26" t="s">
        <v>208</v>
      </c>
      <c r="E3596" s="26">
        <v>968</v>
      </c>
      <c r="F3596" s="27">
        <v>9.0899999999999995E-2</v>
      </c>
      <c r="G3596" s="27">
        <v>0.72729999999999995</v>
      </c>
      <c r="H3596" s="27">
        <v>0.18179999999999999</v>
      </c>
    </row>
    <row r="3597" spans="1:8">
      <c r="A3597" t="s">
        <v>235</v>
      </c>
      <c r="B3597" t="s">
        <v>199</v>
      </c>
      <c r="C3597">
        <v>44</v>
      </c>
      <c r="D3597" t="s">
        <v>203</v>
      </c>
      <c r="E3597">
        <v>968</v>
      </c>
      <c r="F3597" s="1">
        <v>4.2799999999999998E-2</v>
      </c>
      <c r="G3597" s="1">
        <v>0.71220000000000006</v>
      </c>
      <c r="H3597" s="1">
        <v>0.245</v>
      </c>
    </row>
    <row r="3598" spans="1:8">
      <c r="A3598" t="s">
        <v>236</v>
      </c>
      <c r="B3598" t="s">
        <v>199</v>
      </c>
      <c r="C3598">
        <v>32</v>
      </c>
      <c r="D3598" t="s">
        <v>203</v>
      </c>
      <c r="E3598">
        <v>968</v>
      </c>
      <c r="G3598" s="1">
        <v>0.79330000000000001</v>
      </c>
      <c r="H3598" s="1">
        <v>0.20669999999999999</v>
      </c>
    </row>
    <row r="3599" spans="1:8">
      <c r="A3599" t="s">
        <v>235</v>
      </c>
      <c r="B3599" t="s">
        <v>199</v>
      </c>
      <c r="C3599">
        <v>60</v>
      </c>
      <c r="D3599" t="s">
        <v>202</v>
      </c>
      <c r="E3599">
        <v>968</v>
      </c>
      <c r="G3599" s="1">
        <v>0.76519999999999999</v>
      </c>
      <c r="H3599" s="1">
        <v>0.23480000000000001</v>
      </c>
    </row>
    <row r="3600" spans="1:8" s="26" customFormat="1">
      <c r="A3600" s="26" t="s">
        <v>236</v>
      </c>
      <c r="B3600" s="26" t="s">
        <v>199</v>
      </c>
      <c r="C3600" s="26">
        <v>24</v>
      </c>
      <c r="D3600" s="26" t="s">
        <v>200</v>
      </c>
      <c r="E3600" s="26">
        <v>968</v>
      </c>
      <c r="G3600" s="27">
        <v>0.9607</v>
      </c>
      <c r="H3600" s="27">
        <v>3.9300000000000002E-2</v>
      </c>
    </row>
    <row r="3601" spans="1:9">
      <c r="A3601" t="s">
        <v>235</v>
      </c>
      <c r="B3601" t="s">
        <v>199</v>
      </c>
      <c r="C3601">
        <v>46</v>
      </c>
      <c r="D3601" t="s">
        <v>200</v>
      </c>
      <c r="E3601">
        <v>968</v>
      </c>
      <c r="F3601" s="1">
        <v>3.0000000000000001E-3</v>
      </c>
      <c r="G3601" s="1">
        <v>0.89670000000000005</v>
      </c>
      <c r="H3601" s="1">
        <v>0.1003</v>
      </c>
    </row>
    <row r="3602" spans="1:9">
      <c r="A3602" t="s">
        <v>236</v>
      </c>
      <c r="B3602" t="s">
        <v>199</v>
      </c>
      <c r="C3602">
        <v>37</v>
      </c>
      <c r="D3602" t="s">
        <v>202</v>
      </c>
      <c r="E3602">
        <v>968</v>
      </c>
      <c r="G3602" s="1">
        <v>0.63009999999999999</v>
      </c>
      <c r="H3602" s="1">
        <v>0.36990000000000001</v>
      </c>
    </row>
    <row r="3603" spans="1:9">
      <c r="A3603" t="s">
        <v>235</v>
      </c>
      <c r="B3603" t="s">
        <v>199</v>
      </c>
      <c r="C3603">
        <v>96</v>
      </c>
      <c r="D3603" t="s">
        <v>201</v>
      </c>
      <c r="E3603">
        <v>968</v>
      </c>
      <c r="F3603" s="1">
        <v>1.04E-2</v>
      </c>
      <c r="G3603" s="1">
        <v>0.71879999999999999</v>
      </c>
      <c r="H3603" s="1">
        <v>0.27079999999999999</v>
      </c>
    </row>
    <row r="3604" spans="1:9">
      <c r="A3604" t="s">
        <v>236</v>
      </c>
      <c r="B3604" t="s">
        <v>209</v>
      </c>
      <c r="C3604">
        <v>39</v>
      </c>
      <c r="D3604" t="s">
        <v>211</v>
      </c>
      <c r="E3604">
        <v>968</v>
      </c>
      <c r="G3604" s="1">
        <v>0.85970000000000002</v>
      </c>
      <c r="H3604" s="1">
        <v>0.14030000000000001</v>
      </c>
    </row>
    <row r="3605" spans="1:9">
      <c r="A3605" t="s">
        <v>235</v>
      </c>
      <c r="B3605" t="s">
        <v>209</v>
      </c>
      <c r="C3605">
        <v>56</v>
      </c>
      <c r="D3605" t="s">
        <v>211</v>
      </c>
      <c r="E3605">
        <v>968</v>
      </c>
      <c r="G3605" s="1">
        <v>0.80179999999999996</v>
      </c>
      <c r="H3605" s="1">
        <v>0.19819999999999999</v>
      </c>
    </row>
    <row r="3606" spans="1:9">
      <c r="A3606" t="s">
        <v>235</v>
      </c>
      <c r="B3606" t="s">
        <v>209</v>
      </c>
      <c r="C3606">
        <v>67</v>
      </c>
      <c r="D3606" t="s">
        <v>212</v>
      </c>
      <c r="E3606">
        <v>968</v>
      </c>
      <c r="F3606" s="1">
        <v>1.6199999999999999E-2</v>
      </c>
      <c r="G3606" s="1">
        <v>0.75460000000000005</v>
      </c>
      <c r="H3606" s="1">
        <v>0.22919999999999999</v>
      </c>
    </row>
    <row r="3607" spans="1:9" s="26" customFormat="1">
      <c r="A3607" s="26" t="s">
        <v>236</v>
      </c>
      <c r="B3607" s="26" t="s">
        <v>209</v>
      </c>
      <c r="C3607" s="26">
        <v>18</v>
      </c>
      <c r="D3607" s="26" t="s">
        <v>212</v>
      </c>
      <c r="E3607" s="26">
        <v>968</v>
      </c>
      <c r="G3607" s="27">
        <v>0.58879999999999999</v>
      </c>
      <c r="H3607" s="27">
        <v>0.41120000000000001</v>
      </c>
    </row>
    <row r="3608" spans="1:9">
      <c r="A3608" t="s">
        <v>236</v>
      </c>
      <c r="B3608" t="s">
        <v>209</v>
      </c>
      <c r="C3608">
        <v>38</v>
      </c>
      <c r="D3608" t="s">
        <v>210</v>
      </c>
      <c r="E3608">
        <v>968</v>
      </c>
      <c r="G3608" s="1">
        <v>0.57899999999999996</v>
      </c>
      <c r="H3608" s="1">
        <v>0.42099999999999999</v>
      </c>
    </row>
    <row r="3609" spans="1:9">
      <c r="A3609" t="s">
        <v>235</v>
      </c>
      <c r="B3609" t="s">
        <v>209</v>
      </c>
      <c r="C3609">
        <v>32</v>
      </c>
      <c r="D3609" t="s">
        <v>210</v>
      </c>
      <c r="E3609">
        <v>968</v>
      </c>
      <c r="F3609" s="1">
        <v>3.2300000000000002E-2</v>
      </c>
      <c r="G3609" s="1">
        <v>0.66159999999999997</v>
      </c>
      <c r="H3609" s="1">
        <v>0.30609999999999998</v>
      </c>
    </row>
    <row r="3611" spans="1:9">
      <c r="A3611" t="s">
        <v>903</v>
      </c>
    </row>
    <row r="3612" spans="1:9">
      <c r="A3612" t="s">
        <v>189</v>
      </c>
      <c r="B3612" t="s">
        <v>195</v>
      </c>
      <c r="C3612" t="s">
        <v>190</v>
      </c>
      <c r="D3612" t="s">
        <v>196</v>
      </c>
      <c r="E3612" t="s">
        <v>904</v>
      </c>
      <c r="F3612" t="s">
        <v>228</v>
      </c>
      <c r="G3612" t="s">
        <v>905</v>
      </c>
      <c r="H3612" t="s">
        <v>906</v>
      </c>
      <c r="I3612" t="s">
        <v>907</v>
      </c>
    </row>
    <row r="3613" spans="1:9">
      <c r="A3613" t="s">
        <v>197</v>
      </c>
      <c r="B3613">
        <v>968</v>
      </c>
      <c r="C3613" t="s">
        <v>198</v>
      </c>
      <c r="D3613">
        <v>968</v>
      </c>
      <c r="E3613" s="1">
        <v>0.41220000000000001</v>
      </c>
      <c r="F3613" s="1">
        <v>2.18E-2</v>
      </c>
      <c r="G3613" s="1">
        <v>3.49E-2</v>
      </c>
      <c r="H3613" s="1">
        <v>0.43480000000000002</v>
      </c>
      <c r="I3613" s="1">
        <v>9.64E-2</v>
      </c>
    </row>
    <row r="3614" spans="1:9">
      <c r="A3614" t="s">
        <v>204</v>
      </c>
      <c r="B3614">
        <v>91</v>
      </c>
      <c r="C3614" t="s">
        <v>205</v>
      </c>
      <c r="D3614">
        <v>968</v>
      </c>
      <c r="E3614" s="1">
        <v>0.62009999999999998</v>
      </c>
      <c r="F3614" s="1">
        <v>3.6700000000000003E-2</v>
      </c>
      <c r="G3614" s="1">
        <v>7.9899999999999999E-2</v>
      </c>
      <c r="H3614" s="1">
        <v>0.26079999999999998</v>
      </c>
      <c r="I3614" s="1">
        <v>2.3999999999999998E-3</v>
      </c>
    </row>
    <row r="3615" spans="1:9">
      <c r="A3615" t="s">
        <v>204</v>
      </c>
      <c r="B3615">
        <v>72</v>
      </c>
      <c r="C3615" t="s">
        <v>206</v>
      </c>
      <c r="D3615">
        <v>968</v>
      </c>
      <c r="E3615" s="1">
        <v>0.44409999999999999</v>
      </c>
      <c r="F3615" s="1">
        <v>1.6299999999999999E-2</v>
      </c>
      <c r="G3615" s="1">
        <v>2.7900000000000001E-2</v>
      </c>
      <c r="H3615" s="1">
        <v>0.35599999999999998</v>
      </c>
      <c r="I3615" s="1">
        <v>0.15579999999999999</v>
      </c>
    </row>
    <row r="3616" spans="1:9">
      <c r="A3616" t="s">
        <v>204</v>
      </c>
      <c r="B3616">
        <v>131</v>
      </c>
      <c r="C3616" t="s">
        <v>207</v>
      </c>
      <c r="D3616">
        <v>968</v>
      </c>
      <c r="E3616" s="1">
        <v>0.1963</v>
      </c>
      <c r="F3616" s="1">
        <v>9.1999999999999998E-3</v>
      </c>
      <c r="G3616" s="1">
        <v>6.0499999999999998E-2</v>
      </c>
      <c r="H3616" s="1">
        <v>0.59689999999999999</v>
      </c>
      <c r="I3616" s="1">
        <v>0.1371</v>
      </c>
    </row>
    <row r="3617" spans="1:10">
      <c r="A3617" t="s">
        <v>204</v>
      </c>
      <c r="B3617">
        <v>74</v>
      </c>
      <c r="C3617" t="s">
        <v>208</v>
      </c>
      <c r="D3617">
        <v>968</v>
      </c>
      <c r="E3617" s="1">
        <v>0.51349999999999996</v>
      </c>
      <c r="F3617" s="1">
        <v>1.35E-2</v>
      </c>
      <c r="H3617" s="1">
        <v>0.35139999999999999</v>
      </c>
      <c r="I3617" s="1">
        <v>0.1216</v>
      </c>
    </row>
    <row r="3618" spans="1:10">
      <c r="A3618" t="s">
        <v>199</v>
      </c>
      <c r="B3618">
        <v>73</v>
      </c>
      <c r="C3618" t="s">
        <v>200</v>
      </c>
      <c r="D3618">
        <v>968</v>
      </c>
      <c r="E3618" s="1">
        <v>0.36170000000000002</v>
      </c>
      <c r="F3618" s="1">
        <v>6.9900000000000004E-2</v>
      </c>
      <c r="G3618" s="1">
        <v>4.48E-2</v>
      </c>
      <c r="H3618" s="1">
        <v>0.51570000000000005</v>
      </c>
      <c r="I3618" s="1">
        <v>7.9000000000000008E-3</v>
      </c>
    </row>
    <row r="3619" spans="1:10">
      <c r="A3619" t="s">
        <v>199</v>
      </c>
      <c r="B3619">
        <v>96</v>
      </c>
      <c r="C3619" t="s">
        <v>201</v>
      </c>
      <c r="D3619">
        <v>968</v>
      </c>
      <c r="E3619" s="1">
        <v>0.4375</v>
      </c>
      <c r="F3619" s="1">
        <v>3.1199999999999999E-2</v>
      </c>
      <c r="H3619" s="1">
        <v>0.45829999999999999</v>
      </c>
      <c r="I3619" s="1">
        <v>7.2900000000000006E-2</v>
      </c>
    </row>
    <row r="3620" spans="1:10">
      <c r="A3620" t="s">
        <v>199</v>
      </c>
      <c r="B3620">
        <v>98</v>
      </c>
      <c r="C3620" t="s">
        <v>202</v>
      </c>
      <c r="D3620">
        <v>968</v>
      </c>
      <c r="E3620" s="1">
        <v>0.37590000000000001</v>
      </c>
      <c r="G3620" s="1">
        <v>1.35E-2</v>
      </c>
      <c r="H3620" s="1">
        <v>0.46850000000000003</v>
      </c>
      <c r="I3620" s="1">
        <v>0.1421</v>
      </c>
    </row>
    <row r="3621" spans="1:10">
      <c r="A3621" t="s">
        <v>199</v>
      </c>
      <c r="B3621">
        <v>77</v>
      </c>
      <c r="C3621" t="s">
        <v>203</v>
      </c>
      <c r="D3621">
        <v>968</v>
      </c>
      <c r="E3621" s="1">
        <v>0.38779999999999998</v>
      </c>
      <c r="F3621" s="1">
        <v>9.4999999999999998E-3</v>
      </c>
      <c r="G3621" s="1">
        <v>4.5900000000000003E-2</v>
      </c>
      <c r="H3621" s="1">
        <v>0.4007</v>
      </c>
      <c r="I3621" s="1">
        <v>0.15609999999999999</v>
      </c>
    </row>
    <row r="3622" spans="1:10">
      <c r="A3622" t="s">
        <v>209</v>
      </c>
      <c r="B3622">
        <v>74</v>
      </c>
      <c r="C3622" t="s">
        <v>210</v>
      </c>
      <c r="D3622">
        <v>968</v>
      </c>
      <c r="E3622" s="1">
        <v>0.61899999999999999</v>
      </c>
      <c r="F3622" s="1">
        <v>8.3000000000000001E-3</v>
      </c>
      <c r="G3622" s="1">
        <v>3.44E-2</v>
      </c>
      <c r="H3622" s="1">
        <v>0.2165</v>
      </c>
      <c r="I3622" s="1">
        <v>0.1217</v>
      </c>
    </row>
    <row r="3623" spans="1:10">
      <c r="A3623" t="s">
        <v>209</v>
      </c>
      <c r="B3623">
        <v>97</v>
      </c>
      <c r="C3623" t="s">
        <v>211</v>
      </c>
      <c r="D3623">
        <v>968</v>
      </c>
      <c r="E3623" s="1">
        <v>0.31459999999999999</v>
      </c>
      <c r="F3623" s="1">
        <v>9.9000000000000008E-3</v>
      </c>
      <c r="G3623" s="1">
        <v>6.0699999999999997E-2</v>
      </c>
      <c r="H3623" s="1">
        <v>0.45040000000000002</v>
      </c>
      <c r="I3623" s="1">
        <v>0.1643</v>
      </c>
    </row>
    <row r="3624" spans="1:10">
      <c r="A3624" t="s">
        <v>209</v>
      </c>
      <c r="B3624">
        <v>85</v>
      </c>
      <c r="C3624" t="s">
        <v>212</v>
      </c>
      <c r="D3624">
        <v>968</v>
      </c>
      <c r="E3624" s="1">
        <v>0.31569999999999998</v>
      </c>
      <c r="F3624" s="1">
        <v>2.7900000000000001E-2</v>
      </c>
      <c r="G3624" s="1">
        <v>7.1999999999999998E-3</v>
      </c>
      <c r="H3624" s="1">
        <v>0.50309999999999999</v>
      </c>
      <c r="I3624" s="1">
        <v>0.14610000000000001</v>
      </c>
    </row>
    <row r="3626" spans="1:10">
      <c r="A3626" t="s">
        <v>908</v>
      </c>
    </row>
    <row r="3627" spans="1:10">
      <c r="A3627" t="s">
        <v>214</v>
      </c>
      <c r="B3627" t="s">
        <v>189</v>
      </c>
      <c r="C3627" t="s">
        <v>195</v>
      </c>
      <c r="D3627" t="s">
        <v>190</v>
      </c>
      <c r="E3627" t="s">
        <v>196</v>
      </c>
      <c r="F3627" t="s">
        <v>904</v>
      </c>
      <c r="G3627" t="s">
        <v>228</v>
      </c>
      <c r="H3627" t="s">
        <v>905</v>
      </c>
      <c r="I3627" t="s">
        <v>906</v>
      </c>
      <c r="J3627" t="s">
        <v>907</v>
      </c>
    </row>
    <row r="3628" spans="1:10">
      <c r="A3628" t="s">
        <v>198</v>
      </c>
      <c r="B3628" t="s">
        <v>197</v>
      </c>
      <c r="C3628">
        <v>968</v>
      </c>
      <c r="D3628" t="s">
        <v>198</v>
      </c>
      <c r="E3628">
        <v>968</v>
      </c>
      <c r="F3628" s="1">
        <v>0.41220000000000001</v>
      </c>
      <c r="G3628" s="1">
        <v>2.18E-2</v>
      </c>
      <c r="H3628" s="1">
        <v>3.49E-2</v>
      </c>
      <c r="I3628" s="1">
        <v>0.43480000000000002</v>
      </c>
      <c r="J3628" s="1">
        <v>9.64E-2</v>
      </c>
    </row>
    <row r="3629" spans="1:10">
      <c r="A3629" t="s">
        <v>235</v>
      </c>
      <c r="B3629" t="s">
        <v>204</v>
      </c>
      <c r="C3629">
        <v>63</v>
      </c>
      <c r="D3629" t="s">
        <v>208</v>
      </c>
      <c r="E3629">
        <v>968</v>
      </c>
      <c r="F3629" s="1">
        <v>0.53969999999999996</v>
      </c>
      <c r="I3629" s="1">
        <v>0.38100000000000001</v>
      </c>
      <c r="J3629" s="1">
        <v>7.9399999999999998E-2</v>
      </c>
    </row>
    <row r="3630" spans="1:10">
      <c r="A3630" t="s">
        <v>236</v>
      </c>
      <c r="B3630" t="s">
        <v>204</v>
      </c>
      <c r="C3630">
        <v>32</v>
      </c>
      <c r="D3630" t="s">
        <v>205</v>
      </c>
      <c r="E3630">
        <v>968</v>
      </c>
      <c r="F3630" s="1">
        <v>0.53069999999999995</v>
      </c>
      <c r="H3630" s="1">
        <v>0.1071</v>
      </c>
      <c r="I3630" s="1">
        <v>0.34860000000000002</v>
      </c>
      <c r="J3630" s="1">
        <v>1.37E-2</v>
      </c>
    </row>
    <row r="3631" spans="1:10">
      <c r="A3631" t="s">
        <v>235</v>
      </c>
      <c r="B3631" t="s">
        <v>204</v>
      </c>
      <c r="C3631">
        <v>58</v>
      </c>
      <c r="D3631" t="s">
        <v>205</v>
      </c>
      <c r="E3631">
        <v>968</v>
      </c>
      <c r="F3631" s="1">
        <v>0.63839999999999997</v>
      </c>
      <c r="G3631" s="1">
        <v>4.48E-2</v>
      </c>
      <c r="H3631" s="1">
        <v>7.4200000000000002E-2</v>
      </c>
      <c r="I3631" s="1">
        <v>0.24260000000000001</v>
      </c>
    </row>
    <row r="3632" spans="1:10" s="26" customFormat="1">
      <c r="A3632" s="26" t="s">
        <v>236</v>
      </c>
      <c r="B3632" s="26" t="s">
        <v>204</v>
      </c>
      <c r="C3632" s="26">
        <v>21</v>
      </c>
      <c r="D3632" s="26" t="s">
        <v>206</v>
      </c>
      <c r="E3632" s="26">
        <v>968</v>
      </c>
      <c r="F3632" s="27">
        <v>0.31640000000000001</v>
      </c>
      <c r="G3632" s="27">
        <v>5.9700000000000003E-2</v>
      </c>
      <c r="H3632" s="27">
        <v>0.10249999999999999</v>
      </c>
      <c r="I3632" s="27">
        <v>0.31640000000000001</v>
      </c>
      <c r="J3632" s="27">
        <v>0.20499999999999999</v>
      </c>
    </row>
    <row r="3633" spans="1:10">
      <c r="A3633" t="s">
        <v>235</v>
      </c>
      <c r="B3633" t="s">
        <v>204</v>
      </c>
      <c r="C3633">
        <v>47</v>
      </c>
      <c r="D3633" t="s">
        <v>206</v>
      </c>
      <c r="E3633">
        <v>968</v>
      </c>
      <c r="F3633" s="1">
        <v>0.48780000000000001</v>
      </c>
      <c r="I3633" s="1">
        <v>0.3644</v>
      </c>
      <c r="J3633" s="1">
        <v>0.14779999999999999</v>
      </c>
    </row>
    <row r="3634" spans="1:10">
      <c r="A3634" t="s">
        <v>236</v>
      </c>
      <c r="B3634" t="s">
        <v>204</v>
      </c>
      <c r="C3634">
        <v>81</v>
      </c>
      <c r="D3634" t="s">
        <v>207</v>
      </c>
      <c r="E3634">
        <v>968</v>
      </c>
      <c r="F3634" s="1">
        <v>0.37319999999999998</v>
      </c>
      <c r="G3634" s="1">
        <v>2.0500000000000001E-2</v>
      </c>
      <c r="H3634" s="1">
        <v>2.4199999999999999E-2</v>
      </c>
      <c r="I3634" s="1">
        <v>0.49509999999999998</v>
      </c>
      <c r="J3634" s="1">
        <v>8.6999999999999994E-2</v>
      </c>
    </row>
    <row r="3635" spans="1:10">
      <c r="A3635" t="s">
        <v>235</v>
      </c>
      <c r="B3635" t="s">
        <v>204</v>
      </c>
      <c r="C3635">
        <v>45</v>
      </c>
      <c r="D3635" t="s">
        <v>207</v>
      </c>
      <c r="E3635">
        <v>968</v>
      </c>
      <c r="F3635" s="1">
        <v>6.4399999999999999E-2</v>
      </c>
      <c r="G3635" s="1">
        <v>1.6000000000000001E-3</v>
      </c>
      <c r="H3635" s="1">
        <v>8.7300000000000003E-2</v>
      </c>
      <c r="I3635" s="1">
        <v>0.67769999999999997</v>
      </c>
      <c r="J3635" s="1">
        <v>0.1691</v>
      </c>
    </row>
    <row r="3636" spans="1:10" s="26" customFormat="1">
      <c r="A3636" s="26" t="s">
        <v>236</v>
      </c>
      <c r="B3636" s="26" t="s">
        <v>204</v>
      </c>
      <c r="C3636" s="26">
        <v>11</v>
      </c>
      <c r="D3636" s="26" t="s">
        <v>208</v>
      </c>
      <c r="E3636" s="26">
        <v>968</v>
      </c>
      <c r="F3636" s="27">
        <v>0.36359999999999998</v>
      </c>
      <c r="G3636" s="27">
        <v>9.0899999999999995E-2</v>
      </c>
      <c r="I3636" s="27">
        <v>0.18179999999999999</v>
      </c>
      <c r="J3636" s="27">
        <v>0.36359999999999998</v>
      </c>
    </row>
    <row r="3637" spans="1:10">
      <c r="A3637" t="s">
        <v>235</v>
      </c>
      <c r="B3637" t="s">
        <v>199</v>
      </c>
      <c r="C3637">
        <v>44</v>
      </c>
      <c r="D3637" t="s">
        <v>203</v>
      </c>
      <c r="E3637">
        <v>968</v>
      </c>
      <c r="F3637" s="1">
        <v>0.38440000000000002</v>
      </c>
      <c r="H3637" s="1">
        <v>3.0300000000000001E-2</v>
      </c>
      <c r="I3637" s="1">
        <v>0.47470000000000001</v>
      </c>
      <c r="J3637" s="1">
        <v>0.1106</v>
      </c>
    </row>
    <row r="3638" spans="1:10">
      <c r="A3638" t="s">
        <v>236</v>
      </c>
      <c r="B3638" t="s">
        <v>199</v>
      </c>
      <c r="C3638">
        <v>32</v>
      </c>
      <c r="D3638" t="s">
        <v>203</v>
      </c>
      <c r="E3638">
        <v>968</v>
      </c>
      <c r="F3638" s="1">
        <v>0.42399999999999999</v>
      </c>
      <c r="G3638" s="1">
        <v>2.75E-2</v>
      </c>
      <c r="H3638" s="1">
        <v>7.7700000000000005E-2</v>
      </c>
      <c r="I3638" s="1">
        <v>0.21990000000000001</v>
      </c>
      <c r="J3638" s="1">
        <v>0.25090000000000001</v>
      </c>
    </row>
    <row r="3639" spans="1:10">
      <c r="A3639" t="s">
        <v>235</v>
      </c>
      <c r="B3639" t="s">
        <v>199</v>
      </c>
      <c r="C3639">
        <v>60</v>
      </c>
      <c r="D3639" t="s">
        <v>202</v>
      </c>
      <c r="E3639">
        <v>968</v>
      </c>
      <c r="F3639" s="1">
        <v>0.4037</v>
      </c>
      <c r="I3639" s="1">
        <v>0.47310000000000002</v>
      </c>
      <c r="J3639" s="1">
        <v>0.1231</v>
      </c>
    </row>
    <row r="3640" spans="1:10" s="26" customFormat="1">
      <c r="A3640" s="26" t="s">
        <v>236</v>
      </c>
      <c r="B3640" s="26" t="s">
        <v>199</v>
      </c>
      <c r="C3640" s="26">
        <v>24</v>
      </c>
      <c r="D3640" s="26" t="s">
        <v>200</v>
      </c>
      <c r="E3640" s="26">
        <v>968</v>
      </c>
      <c r="F3640" s="27">
        <v>0.25779999999999997</v>
      </c>
      <c r="G3640" s="27">
        <v>0.14560000000000001</v>
      </c>
      <c r="H3640" s="27">
        <v>7.8600000000000003E-2</v>
      </c>
      <c r="I3640" s="27">
        <v>0.51800000000000002</v>
      </c>
    </row>
    <row r="3641" spans="1:10">
      <c r="A3641" t="s">
        <v>235</v>
      </c>
      <c r="B3641" t="s">
        <v>199</v>
      </c>
      <c r="C3641">
        <v>46</v>
      </c>
      <c r="D3641" t="s">
        <v>200</v>
      </c>
      <c r="E3641">
        <v>968</v>
      </c>
      <c r="F3641" s="1">
        <v>0.44879999999999998</v>
      </c>
      <c r="G3641" s="1">
        <v>3.0000000000000001E-3</v>
      </c>
      <c r="H3641" s="1">
        <v>1.4999999999999999E-2</v>
      </c>
      <c r="I3641" s="1">
        <v>0.51819999999999999</v>
      </c>
      <c r="J3641" s="1">
        <v>1.4999999999999999E-2</v>
      </c>
    </row>
    <row r="3642" spans="1:10">
      <c r="A3642" t="s">
        <v>236</v>
      </c>
      <c r="B3642" t="s">
        <v>199</v>
      </c>
      <c r="C3642">
        <v>37</v>
      </c>
      <c r="D3642" t="s">
        <v>202</v>
      </c>
      <c r="E3642">
        <v>968</v>
      </c>
      <c r="F3642" s="1">
        <v>0.31669999999999998</v>
      </c>
      <c r="H3642" s="1">
        <v>3.2800000000000003E-2</v>
      </c>
      <c r="I3642" s="1">
        <v>0.47739999999999999</v>
      </c>
      <c r="J3642" s="1">
        <v>0.17319999999999999</v>
      </c>
    </row>
    <row r="3643" spans="1:10">
      <c r="A3643" t="s">
        <v>235</v>
      </c>
      <c r="B3643" t="s">
        <v>199</v>
      </c>
      <c r="C3643">
        <v>96</v>
      </c>
      <c r="D3643" t="s">
        <v>201</v>
      </c>
      <c r="E3643">
        <v>968</v>
      </c>
      <c r="F3643" s="1">
        <v>0.4375</v>
      </c>
      <c r="G3643" s="1">
        <v>3.1199999999999999E-2</v>
      </c>
      <c r="I3643" s="1">
        <v>0.45829999999999999</v>
      </c>
      <c r="J3643" s="1">
        <v>7.2900000000000006E-2</v>
      </c>
    </row>
    <row r="3644" spans="1:10">
      <c r="A3644" t="s">
        <v>236</v>
      </c>
      <c r="B3644" t="s">
        <v>209</v>
      </c>
      <c r="C3644">
        <v>39</v>
      </c>
      <c r="D3644" t="s">
        <v>211</v>
      </c>
      <c r="E3644">
        <v>968</v>
      </c>
      <c r="F3644" s="1">
        <v>0.31929999999999997</v>
      </c>
      <c r="G3644" s="1">
        <v>2.76E-2</v>
      </c>
      <c r="H3644" s="1">
        <v>9.6699999999999994E-2</v>
      </c>
      <c r="I3644" s="1">
        <v>0.35870000000000002</v>
      </c>
      <c r="J3644" s="1">
        <v>0.1976</v>
      </c>
    </row>
    <row r="3645" spans="1:10">
      <c r="A3645" t="s">
        <v>235</v>
      </c>
      <c r="B3645" t="s">
        <v>209</v>
      </c>
      <c r="C3645">
        <v>56</v>
      </c>
      <c r="D3645" t="s">
        <v>211</v>
      </c>
      <c r="E3645">
        <v>968</v>
      </c>
      <c r="F3645" s="1">
        <v>0.32750000000000001</v>
      </c>
      <c r="H3645" s="1">
        <v>4.2700000000000002E-2</v>
      </c>
      <c r="I3645" s="1">
        <v>0.47670000000000001</v>
      </c>
      <c r="J3645" s="1">
        <v>0.15310000000000001</v>
      </c>
    </row>
    <row r="3646" spans="1:10">
      <c r="A3646" t="s">
        <v>235</v>
      </c>
      <c r="B3646" t="s">
        <v>209</v>
      </c>
      <c r="C3646">
        <v>67</v>
      </c>
      <c r="D3646" t="s">
        <v>212</v>
      </c>
      <c r="E3646">
        <v>968</v>
      </c>
      <c r="F3646" s="1">
        <v>0.30819999999999997</v>
      </c>
      <c r="G3646" s="1">
        <v>3.2399999999999998E-2</v>
      </c>
      <c r="H3646" s="1">
        <v>8.3999999999999995E-3</v>
      </c>
      <c r="I3646" s="1">
        <v>0.48149999999999998</v>
      </c>
      <c r="J3646" s="1">
        <v>0.1694</v>
      </c>
    </row>
    <row r="3647" spans="1:10" s="26" customFormat="1">
      <c r="A3647" s="26" t="s">
        <v>236</v>
      </c>
      <c r="B3647" s="26" t="s">
        <v>209</v>
      </c>
      <c r="C3647" s="26">
        <v>18</v>
      </c>
      <c r="D3647" s="26" t="s">
        <v>212</v>
      </c>
      <c r="E3647" s="26">
        <v>968</v>
      </c>
      <c r="F3647" s="27">
        <v>0.36209999999999998</v>
      </c>
      <c r="I3647" s="27">
        <v>0.63790000000000002</v>
      </c>
    </row>
    <row r="3648" spans="1:10">
      <c r="A3648" t="s">
        <v>236</v>
      </c>
      <c r="B3648" t="s">
        <v>209</v>
      </c>
      <c r="C3648">
        <v>38</v>
      </c>
      <c r="D3648" t="s">
        <v>210</v>
      </c>
      <c r="E3648">
        <v>968</v>
      </c>
      <c r="F3648" s="1">
        <v>0.54310000000000003</v>
      </c>
      <c r="G3648" s="1">
        <v>2.0299999999999999E-2</v>
      </c>
      <c r="H3648" s="1">
        <v>2.0299999999999999E-2</v>
      </c>
      <c r="I3648" s="1">
        <v>0.24879999999999999</v>
      </c>
      <c r="J3648" s="1">
        <v>0.16750000000000001</v>
      </c>
    </row>
    <row r="3649" spans="1:10">
      <c r="A3649" t="s">
        <v>235</v>
      </c>
      <c r="B3649" t="s">
        <v>209</v>
      </c>
      <c r="C3649">
        <v>32</v>
      </c>
      <c r="D3649" t="s">
        <v>210</v>
      </c>
      <c r="E3649">
        <v>968</v>
      </c>
      <c r="F3649" s="1">
        <v>0.66159999999999997</v>
      </c>
      <c r="H3649" s="1">
        <v>3.2300000000000002E-2</v>
      </c>
      <c r="I3649" s="1">
        <v>0.2092</v>
      </c>
      <c r="J3649" s="1">
        <v>9.69E-2</v>
      </c>
    </row>
    <row r="3651" spans="1:10">
      <c r="A3651" t="s">
        <v>909</v>
      </c>
    </row>
    <row r="3652" spans="1:10">
      <c r="A3652" t="s">
        <v>189</v>
      </c>
      <c r="B3652" t="s">
        <v>195</v>
      </c>
      <c r="C3652" t="s">
        <v>190</v>
      </c>
      <c r="D3652" t="s">
        <v>196</v>
      </c>
      <c r="E3652" t="s">
        <v>910</v>
      </c>
      <c r="F3652" t="s">
        <v>228</v>
      </c>
      <c r="G3652" t="s">
        <v>911</v>
      </c>
      <c r="H3652" t="s">
        <v>912</v>
      </c>
      <c r="I3652" t="s">
        <v>913</v>
      </c>
    </row>
    <row r="3653" spans="1:10">
      <c r="A3653" t="s">
        <v>197</v>
      </c>
      <c r="B3653">
        <v>907</v>
      </c>
      <c r="C3653" t="s">
        <v>198</v>
      </c>
      <c r="D3653">
        <v>907</v>
      </c>
      <c r="E3653" s="1">
        <v>1.1599999999999999E-2</v>
      </c>
      <c r="F3653" s="1">
        <v>1.6999999999999999E-3</v>
      </c>
      <c r="G3653" s="1">
        <v>0.78369999999999995</v>
      </c>
      <c r="H3653" s="1">
        <v>0.75609999999999999</v>
      </c>
      <c r="I3653" s="1">
        <v>5.6399999999999999E-2</v>
      </c>
    </row>
    <row r="3654" spans="1:10">
      <c r="A3654" t="s">
        <v>204</v>
      </c>
      <c r="B3654">
        <v>84</v>
      </c>
      <c r="C3654" t="s">
        <v>205</v>
      </c>
      <c r="D3654">
        <v>907</v>
      </c>
      <c r="G3654" s="1">
        <v>0.77539999999999998</v>
      </c>
      <c r="H3654" s="1">
        <v>0.93289999999999995</v>
      </c>
      <c r="I3654" s="1">
        <v>7.8799999999999995E-2</v>
      </c>
    </row>
    <row r="3655" spans="1:10">
      <c r="A3655" t="s">
        <v>204</v>
      </c>
      <c r="B3655">
        <v>69</v>
      </c>
      <c r="C3655" t="s">
        <v>206</v>
      </c>
      <c r="D3655">
        <v>907</v>
      </c>
      <c r="G3655" s="1">
        <v>0.75429999999999997</v>
      </c>
      <c r="H3655" s="1">
        <v>0.49630000000000002</v>
      </c>
      <c r="I3655" s="1">
        <v>1.7000000000000001E-2</v>
      </c>
    </row>
    <row r="3656" spans="1:10">
      <c r="A3656" t="s">
        <v>204</v>
      </c>
      <c r="B3656">
        <v>118</v>
      </c>
      <c r="C3656" t="s">
        <v>207</v>
      </c>
      <c r="D3656">
        <v>907</v>
      </c>
      <c r="E3656" s="1">
        <v>4.8899999999999999E-2</v>
      </c>
      <c r="G3656" s="1">
        <v>0.73580000000000001</v>
      </c>
      <c r="H3656" s="1">
        <v>0.83460000000000001</v>
      </c>
      <c r="I3656" s="1">
        <v>5.9900000000000002E-2</v>
      </c>
    </row>
    <row r="3657" spans="1:10">
      <c r="A3657" t="s">
        <v>204</v>
      </c>
      <c r="B3657">
        <v>73</v>
      </c>
      <c r="C3657" t="s">
        <v>208</v>
      </c>
      <c r="D3657">
        <v>907</v>
      </c>
      <c r="G3657" s="1">
        <v>0.71230000000000004</v>
      </c>
      <c r="H3657" s="1">
        <v>0.72599999999999998</v>
      </c>
    </row>
    <row r="3658" spans="1:10">
      <c r="A3658" t="s">
        <v>199</v>
      </c>
      <c r="B3658">
        <v>60</v>
      </c>
      <c r="C3658" t="s">
        <v>200</v>
      </c>
      <c r="D3658">
        <v>907</v>
      </c>
      <c r="F3658" s="1">
        <v>3.5999999999999999E-3</v>
      </c>
      <c r="G3658" s="1">
        <v>0.58609999999999995</v>
      </c>
      <c r="H3658" s="1">
        <v>0.82330000000000003</v>
      </c>
      <c r="I3658" s="1">
        <v>5.2400000000000002E-2</v>
      </c>
    </row>
    <row r="3659" spans="1:10">
      <c r="A3659" t="s">
        <v>199</v>
      </c>
      <c r="B3659">
        <v>93</v>
      </c>
      <c r="C3659" t="s">
        <v>201</v>
      </c>
      <c r="D3659">
        <v>907</v>
      </c>
      <c r="E3659" s="1">
        <v>2.1499999999999998E-2</v>
      </c>
      <c r="G3659" s="1">
        <v>0.86019999999999996</v>
      </c>
      <c r="H3659" s="1">
        <v>0.6129</v>
      </c>
      <c r="I3659" s="1">
        <v>8.5999999999999993E-2</v>
      </c>
    </row>
    <row r="3660" spans="1:10">
      <c r="A3660" t="s">
        <v>199</v>
      </c>
      <c r="B3660">
        <v>97</v>
      </c>
      <c r="C3660" t="s">
        <v>202</v>
      </c>
      <c r="D3660">
        <v>907</v>
      </c>
      <c r="G3660" s="1">
        <v>0.82640000000000002</v>
      </c>
      <c r="H3660" s="1">
        <v>0.71499999999999997</v>
      </c>
      <c r="I3660" s="1">
        <v>6.2199999999999998E-2</v>
      </c>
    </row>
    <row r="3661" spans="1:10">
      <c r="A3661" t="s">
        <v>199</v>
      </c>
      <c r="B3661">
        <v>73</v>
      </c>
      <c r="C3661" t="s">
        <v>203</v>
      </c>
      <c r="D3661">
        <v>907</v>
      </c>
      <c r="G3661" s="1">
        <v>0.80200000000000005</v>
      </c>
      <c r="H3661" s="1">
        <v>0.69740000000000002</v>
      </c>
    </row>
    <row r="3662" spans="1:10">
      <c r="A3662" t="s">
        <v>209</v>
      </c>
      <c r="B3662">
        <v>70</v>
      </c>
      <c r="C3662" t="s">
        <v>210</v>
      </c>
      <c r="D3662">
        <v>907</v>
      </c>
      <c r="G3662" s="1">
        <v>0.70409999999999995</v>
      </c>
      <c r="H3662" s="1">
        <v>0.58919999999999995</v>
      </c>
      <c r="I3662" s="1">
        <v>8.6999999999999994E-3</v>
      </c>
    </row>
    <row r="3663" spans="1:10">
      <c r="A3663" t="s">
        <v>209</v>
      </c>
      <c r="B3663">
        <v>88</v>
      </c>
      <c r="C3663" t="s">
        <v>211</v>
      </c>
      <c r="D3663">
        <v>907</v>
      </c>
      <c r="G3663" s="1">
        <v>0.70750000000000002</v>
      </c>
      <c r="H3663" s="1">
        <v>0.73709999999999998</v>
      </c>
    </row>
    <row r="3664" spans="1:10">
      <c r="A3664" t="s">
        <v>209</v>
      </c>
      <c r="B3664">
        <v>82</v>
      </c>
      <c r="C3664" t="s">
        <v>212</v>
      </c>
      <c r="D3664">
        <v>907</v>
      </c>
      <c r="F3664" s="1">
        <v>1.4500000000000001E-2</v>
      </c>
      <c r="G3664" s="1">
        <v>0.7903</v>
      </c>
      <c r="H3664" s="1">
        <v>0.71840000000000004</v>
      </c>
      <c r="I3664" s="1">
        <v>3.61E-2</v>
      </c>
    </row>
    <row r="3666" spans="1:10">
      <c r="A3666" t="s">
        <v>914</v>
      </c>
    </row>
    <row r="3667" spans="1:10">
      <c r="A3667" t="s">
        <v>214</v>
      </c>
      <c r="B3667" t="s">
        <v>189</v>
      </c>
      <c r="C3667" t="s">
        <v>195</v>
      </c>
      <c r="D3667" t="s">
        <v>190</v>
      </c>
      <c r="E3667" t="s">
        <v>196</v>
      </c>
      <c r="F3667" t="s">
        <v>910</v>
      </c>
      <c r="G3667" t="s">
        <v>228</v>
      </c>
      <c r="H3667" t="s">
        <v>911</v>
      </c>
      <c r="I3667" t="s">
        <v>912</v>
      </c>
      <c r="J3667" t="s">
        <v>913</v>
      </c>
    </row>
    <row r="3668" spans="1:10">
      <c r="A3668" t="s">
        <v>198</v>
      </c>
      <c r="B3668" t="s">
        <v>197</v>
      </c>
      <c r="C3668">
        <v>907</v>
      </c>
      <c r="D3668" t="s">
        <v>198</v>
      </c>
      <c r="E3668">
        <v>907</v>
      </c>
      <c r="F3668" s="1">
        <v>1.1599999999999999E-2</v>
      </c>
      <c r="G3668" s="1">
        <v>1.6999999999999999E-3</v>
      </c>
      <c r="H3668" s="1">
        <v>0.78369999999999995</v>
      </c>
      <c r="I3668" s="1">
        <v>0.75609999999999999</v>
      </c>
      <c r="J3668" s="1">
        <v>5.6399999999999999E-2</v>
      </c>
    </row>
    <row r="3669" spans="1:10" s="26" customFormat="1">
      <c r="A3669" s="26" t="s">
        <v>236</v>
      </c>
      <c r="B3669" s="26" t="s">
        <v>204</v>
      </c>
      <c r="C3669" s="26">
        <v>10</v>
      </c>
      <c r="D3669" s="26" t="s">
        <v>208</v>
      </c>
      <c r="E3669" s="26">
        <v>907</v>
      </c>
      <c r="H3669" s="27">
        <v>0.6</v>
      </c>
      <c r="I3669" s="27">
        <v>0.6</v>
      </c>
    </row>
    <row r="3670" spans="1:10" s="26" customFormat="1">
      <c r="A3670" s="26" t="s">
        <v>236</v>
      </c>
      <c r="B3670" s="26" t="s">
        <v>204</v>
      </c>
      <c r="C3670" s="26">
        <v>29</v>
      </c>
      <c r="D3670" s="26" t="s">
        <v>205</v>
      </c>
      <c r="E3670" s="26">
        <v>907</v>
      </c>
      <c r="H3670" s="27">
        <v>0.59430000000000005</v>
      </c>
      <c r="I3670" s="27">
        <v>0.84799999999999998</v>
      </c>
      <c r="J3670" s="27">
        <v>0.23130000000000001</v>
      </c>
    </row>
    <row r="3671" spans="1:10">
      <c r="A3671" t="s">
        <v>235</v>
      </c>
      <c r="B3671" t="s">
        <v>204</v>
      </c>
      <c r="C3671">
        <v>54</v>
      </c>
      <c r="D3671" t="s">
        <v>205</v>
      </c>
      <c r="E3671">
        <v>907</v>
      </c>
      <c r="H3671" s="1">
        <v>0.8145</v>
      </c>
      <c r="I3671" s="1">
        <v>0.95469999999999999</v>
      </c>
      <c r="J3671" s="1">
        <v>4.5499999999999999E-2</v>
      </c>
    </row>
    <row r="3672" spans="1:10" s="26" customFormat="1">
      <c r="A3672" s="26" t="s">
        <v>236</v>
      </c>
      <c r="B3672" s="26" t="s">
        <v>204</v>
      </c>
      <c r="C3672" s="26">
        <v>18</v>
      </c>
      <c r="D3672" s="26" t="s">
        <v>206</v>
      </c>
      <c r="E3672" s="26">
        <v>907</v>
      </c>
      <c r="H3672" s="27">
        <v>0.75529999999999997</v>
      </c>
      <c r="I3672" s="27">
        <v>0.46920000000000001</v>
      </c>
    </row>
    <row r="3673" spans="1:10">
      <c r="A3673" t="s">
        <v>235</v>
      </c>
      <c r="B3673" t="s">
        <v>204</v>
      </c>
      <c r="C3673">
        <v>47</v>
      </c>
      <c r="D3673" t="s">
        <v>206</v>
      </c>
      <c r="E3673">
        <v>907</v>
      </c>
      <c r="H3673" s="1">
        <v>0.75249999999999995</v>
      </c>
      <c r="I3673" s="1">
        <v>0.50180000000000002</v>
      </c>
      <c r="J3673" s="1">
        <v>2.4E-2</v>
      </c>
    </row>
    <row r="3674" spans="1:10">
      <c r="A3674" t="s">
        <v>236</v>
      </c>
      <c r="B3674" t="s">
        <v>204</v>
      </c>
      <c r="C3674">
        <v>74</v>
      </c>
      <c r="D3674" t="s">
        <v>207</v>
      </c>
      <c r="E3674">
        <v>907</v>
      </c>
      <c r="H3674" s="1">
        <v>0.65780000000000005</v>
      </c>
      <c r="I3674" s="1">
        <v>0.81140000000000001</v>
      </c>
      <c r="J3674" s="1">
        <v>7.7000000000000002E-3</v>
      </c>
    </row>
    <row r="3675" spans="1:10">
      <c r="A3675" t="s">
        <v>235</v>
      </c>
      <c r="B3675" t="s">
        <v>204</v>
      </c>
      <c r="C3675">
        <v>39</v>
      </c>
      <c r="D3675" t="s">
        <v>207</v>
      </c>
      <c r="E3675">
        <v>907</v>
      </c>
      <c r="F3675" s="1">
        <v>8.5900000000000004E-2</v>
      </c>
      <c r="H3675" s="1">
        <v>0.78620000000000001</v>
      </c>
      <c r="I3675" s="1">
        <v>0.86819999999999997</v>
      </c>
      <c r="J3675" s="1">
        <v>9.9599999999999994E-2</v>
      </c>
    </row>
    <row r="3676" spans="1:10">
      <c r="A3676" t="s">
        <v>235</v>
      </c>
      <c r="B3676" t="s">
        <v>204</v>
      </c>
      <c r="C3676">
        <v>63</v>
      </c>
      <c r="D3676" t="s">
        <v>208</v>
      </c>
      <c r="E3676">
        <v>907</v>
      </c>
      <c r="H3676" s="1">
        <v>0.73019999999999996</v>
      </c>
      <c r="I3676" s="1">
        <v>0.746</v>
      </c>
    </row>
    <row r="3677" spans="1:10">
      <c r="A3677" t="s">
        <v>236</v>
      </c>
      <c r="B3677" t="s">
        <v>199</v>
      </c>
      <c r="C3677">
        <v>30</v>
      </c>
      <c r="D3677" t="s">
        <v>203</v>
      </c>
      <c r="E3677">
        <v>907</v>
      </c>
      <c r="H3677" s="1">
        <v>0.65939999999999999</v>
      </c>
      <c r="I3677" s="1">
        <v>0.75180000000000002</v>
      </c>
    </row>
    <row r="3678" spans="1:10">
      <c r="A3678" t="s">
        <v>235</v>
      </c>
      <c r="B3678" t="s">
        <v>199</v>
      </c>
      <c r="C3678">
        <v>42</v>
      </c>
      <c r="D3678" t="s">
        <v>203</v>
      </c>
      <c r="E3678">
        <v>907</v>
      </c>
      <c r="H3678" s="1">
        <v>0.86570000000000003</v>
      </c>
      <c r="I3678" s="1">
        <v>0.7006</v>
      </c>
    </row>
    <row r="3679" spans="1:10">
      <c r="A3679" t="s">
        <v>235</v>
      </c>
      <c r="B3679" t="s">
        <v>199</v>
      </c>
      <c r="C3679">
        <v>60</v>
      </c>
      <c r="D3679" t="s">
        <v>202</v>
      </c>
      <c r="E3679">
        <v>907</v>
      </c>
      <c r="H3679" s="1">
        <v>0.87570000000000003</v>
      </c>
      <c r="I3679" s="1">
        <v>0.75939999999999996</v>
      </c>
      <c r="J3679" s="1">
        <v>5.9700000000000003E-2</v>
      </c>
    </row>
    <row r="3680" spans="1:10" s="26" customFormat="1">
      <c r="A3680" s="26" t="s">
        <v>236</v>
      </c>
      <c r="B3680" s="26" t="s">
        <v>199</v>
      </c>
      <c r="C3680" s="26">
        <v>17</v>
      </c>
      <c r="D3680" s="26" t="s">
        <v>200</v>
      </c>
      <c r="E3680" s="26">
        <v>907</v>
      </c>
      <c r="G3680" s="27">
        <v>8.6999999999999994E-3</v>
      </c>
      <c r="H3680" s="27">
        <v>0.32669999999999999</v>
      </c>
      <c r="I3680" s="27">
        <v>0.90300000000000002</v>
      </c>
    </row>
    <row r="3681" spans="1:10">
      <c r="A3681" t="s">
        <v>235</v>
      </c>
      <c r="B3681" t="s">
        <v>199</v>
      </c>
      <c r="C3681">
        <v>40</v>
      </c>
      <c r="D3681" t="s">
        <v>200</v>
      </c>
      <c r="E3681">
        <v>907</v>
      </c>
      <c r="H3681" s="1">
        <v>0.76829999999999998</v>
      </c>
      <c r="I3681" s="1">
        <v>0.76849999999999996</v>
      </c>
      <c r="J3681" s="1">
        <v>8.9899999999999994E-2</v>
      </c>
    </row>
    <row r="3682" spans="1:10">
      <c r="A3682" t="s">
        <v>236</v>
      </c>
      <c r="B3682" t="s">
        <v>199</v>
      </c>
      <c r="C3682">
        <v>36</v>
      </c>
      <c r="D3682" t="s">
        <v>202</v>
      </c>
      <c r="E3682">
        <v>907</v>
      </c>
      <c r="H3682" s="1">
        <v>0.74980000000000002</v>
      </c>
      <c r="I3682" s="1">
        <v>0.64159999999999995</v>
      </c>
      <c r="J3682" s="1">
        <v>6.7799999999999999E-2</v>
      </c>
    </row>
    <row r="3683" spans="1:10">
      <c r="A3683" t="s">
        <v>235</v>
      </c>
      <c r="B3683" t="s">
        <v>199</v>
      </c>
      <c r="C3683">
        <v>93</v>
      </c>
      <c r="D3683" t="s">
        <v>201</v>
      </c>
      <c r="E3683">
        <v>907</v>
      </c>
      <c r="F3683" s="1">
        <v>2.1499999999999998E-2</v>
      </c>
      <c r="H3683" s="1">
        <v>0.86019999999999996</v>
      </c>
      <c r="I3683" s="1">
        <v>0.6129</v>
      </c>
      <c r="J3683" s="1">
        <v>8.5999999999999993E-2</v>
      </c>
    </row>
    <row r="3684" spans="1:10">
      <c r="A3684" t="s">
        <v>236</v>
      </c>
      <c r="B3684" t="s">
        <v>209</v>
      </c>
      <c r="C3684">
        <v>33</v>
      </c>
      <c r="D3684" t="s">
        <v>211</v>
      </c>
      <c r="E3684">
        <v>907</v>
      </c>
      <c r="H3684" s="1">
        <v>0.59489999999999998</v>
      </c>
      <c r="I3684" s="1">
        <v>0.82620000000000005</v>
      </c>
    </row>
    <row r="3685" spans="1:10">
      <c r="A3685" t="s">
        <v>235</v>
      </c>
      <c r="B3685" t="s">
        <v>209</v>
      </c>
      <c r="C3685">
        <v>53</v>
      </c>
      <c r="D3685" t="s">
        <v>211</v>
      </c>
      <c r="E3685">
        <v>907</v>
      </c>
      <c r="H3685" s="1">
        <v>0.75249999999999995</v>
      </c>
      <c r="I3685" s="1">
        <v>0.70179999999999998</v>
      </c>
    </row>
    <row r="3686" spans="1:10">
      <c r="A3686" t="s">
        <v>235</v>
      </c>
      <c r="B3686" t="s">
        <v>209</v>
      </c>
      <c r="C3686">
        <v>64</v>
      </c>
      <c r="D3686" t="s">
        <v>212</v>
      </c>
      <c r="E3686">
        <v>907</v>
      </c>
      <c r="G3686" s="1">
        <v>1.6899999999999998E-2</v>
      </c>
      <c r="H3686" s="1">
        <v>0.80320000000000003</v>
      </c>
      <c r="I3686" s="1">
        <v>0.69699999999999995</v>
      </c>
      <c r="J3686" s="1">
        <v>4.2099999999999999E-2</v>
      </c>
    </row>
    <row r="3687" spans="1:10" s="26" customFormat="1">
      <c r="A3687" s="26" t="s">
        <v>236</v>
      </c>
      <c r="B3687" s="26" t="s">
        <v>209</v>
      </c>
      <c r="C3687" s="26">
        <v>18</v>
      </c>
      <c r="D3687" s="26" t="s">
        <v>212</v>
      </c>
      <c r="E3687" s="26">
        <v>907</v>
      </c>
      <c r="H3687" s="27">
        <v>0.71299999999999997</v>
      </c>
      <c r="I3687" s="27">
        <v>0.84619999999999995</v>
      </c>
    </row>
    <row r="3688" spans="1:10">
      <c r="A3688" t="s">
        <v>235</v>
      </c>
      <c r="B3688" t="s">
        <v>209</v>
      </c>
      <c r="C3688">
        <v>31</v>
      </c>
      <c r="D3688" t="s">
        <v>210</v>
      </c>
      <c r="E3688">
        <v>907</v>
      </c>
      <c r="H3688" s="1">
        <v>0.75049999999999994</v>
      </c>
      <c r="I3688" s="1">
        <v>0.65029999999999999</v>
      </c>
    </row>
    <row r="3689" spans="1:10">
      <c r="A3689" t="s">
        <v>236</v>
      </c>
      <c r="B3689" t="s">
        <v>209</v>
      </c>
      <c r="C3689">
        <v>36</v>
      </c>
      <c r="D3689" t="s">
        <v>210</v>
      </c>
      <c r="E3689">
        <v>907</v>
      </c>
      <c r="H3689" s="1">
        <v>0.63719999999999999</v>
      </c>
      <c r="I3689" s="1">
        <v>0.53739999999999999</v>
      </c>
      <c r="J3689" s="1">
        <v>2.12E-2</v>
      </c>
    </row>
    <row r="3691" spans="1:10">
      <c r="A3691" t="s">
        <v>915</v>
      </c>
    </row>
    <row r="3692" spans="1:10">
      <c r="A3692" t="s">
        <v>189</v>
      </c>
      <c r="B3692" t="s">
        <v>195</v>
      </c>
      <c r="C3692" t="s">
        <v>190</v>
      </c>
      <c r="D3692" t="s">
        <v>196</v>
      </c>
      <c r="E3692" t="s">
        <v>916</v>
      </c>
      <c r="F3692" t="s">
        <v>917</v>
      </c>
      <c r="G3692" t="s">
        <v>918</v>
      </c>
      <c r="H3692" t="s">
        <v>919</v>
      </c>
    </row>
    <row r="3693" spans="1:10">
      <c r="A3693" t="s">
        <v>197</v>
      </c>
      <c r="B3693">
        <v>968</v>
      </c>
      <c r="C3693" t="s">
        <v>198</v>
      </c>
      <c r="D3693">
        <v>968</v>
      </c>
      <c r="E3693" s="1">
        <v>0.24390000000000001</v>
      </c>
      <c r="F3693" s="1">
        <v>0.2228</v>
      </c>
      <c r="G3693" s="1">
        <v>0.40339999999999998</v>
      </c>
      <c r="H3693" s="1">
        <v>0.12989999999999999</v>
      </c>
    </row>
    <row r="3694" spans="1:10">
      <c r="A3694" t="s">
        <v>204</v>
      </c>
      <c r="B3694">
        <v>91</v>
      </c>
      <c r="C3694" t="s">
        <v>205</v>
      </c>
      <c r="D3694">
        <v>968</v>
      </c>
      <c r="E3694" s="1">
        <v>0.28620000000000001</v>
      </c>
      <c r="F3694" s="1">
        <v>4.2999999999999997E-2</v>
      </c>
      <c r="G3694" s="1">
        <v>0.52149999999999996</v>
      </c>
      <c r="H3694" s="1">
        <v>0.14929999999999999</v>
      </c>
    </row>
    <row r="3695" spans="1:10">
      <c r="A3695" t="s">
        <v>204</v>
      </c>
      <c r="B3695">
        <v>72</v>
      </c>
      <c r="C3695" t="s">
        <v>206</v>
      </c>
      <c r="D3695">
        <v>968</v>
      </c>
      <c r="E3695" s="1">
        <v>0.18149999999999999</v>
      </c>
      <c r="F3695" s="1">
        <v>0.3417</v>
      </c>
      <c r="G3695" s="1">
        <v>0.2465</v>
      </c>
      <c r="H3695" s="1">
        <v>0.2303</v>
      </c>
    </row>
    <row r="3696" spans="1:10">
      <c r="A3696" t="s">
        <v>204</v>
      </c>
      <c r="B3696">
        <v>131</v>
      </c>
      <c r="C3696" t="s">
        <v>207</v>
      </c>
      <c r="D3696">
        <v>968</v>
      </c>
      <c r="E3696" s="1">
        <v>0.26840000000000003</v>
      </c>
      <c r="F3696" s="1">
        <v>0.23480000000000001</v>
      </c>
      <c r="G3696" s="1">
        <v>0.35959999999999998</v>
      </c>
      <c r="H3696" s="1">
        <v>0.13719999999999999</v>
      </c>
    </row>
    <row r="3697" spans="1:9">
      <c r="A3697" t="s">
        <v>204</v>
      </c>
      <c r="B3697">
        <v>74</v>
      </c>
      <c r="C3697" t="s">
        <v>208</v>
      </c>
      <c r="D3697">
        <v>968</v>
      </c>
      <c r="E3697" s="1">
        <v>0.25679999999999997</v>
      </c>
      <c r="F3697" s="1">
        <v>0.22969999999999999</v>
      </c>
      <c r="G3697" s="1">
        <v>0.35139999999999999</v>
      </c>
      <c r="H3697" s="1">
        <v>0.16220000000000001</v>
      </c>
    </row>
    <row r="3698" spans="1:9">
      <c r="A3698" t="s">
        <v>199</v>
      </c>
      <c r="B3698">
        <v>73</v>
      </c>
      <c r="C3698" t="s">
        <v>200</v>
      </c>
      <c r="D3698">
        <v>968</v>
      </c>
      <c r="E3698" s="1">
        <v>0.20119999999999999</v>
      </c>
      <c r="F3698" s="1">
        <v>0.41899999999999998</v>
      </c>
      <c r="G3698" s="1">
        <v>0.107</v>
      </c>
      <c r="H3698" s="1">
        <v>0.27279999999999999</v>
      </c>
    </row>
    <row r="3699" spans="1:9">
      <c r="A3699" t="s">
        <v>199</v>
      </c>
      <c r="B3699">
        <v>96</v>
      </c>
      <c r="C3699" t="s">
        <v>201</v>
      </c>
      <c r="D3699">
        <v>968</v>
      </c>
      <c r="E3699" s="1">
        <v>0.17710000000000001</v>
      </c>
      <c r="F3699" s="1">
        <v>0.23960000000000001</v>
      </c>
      <c r="G3699" s="1">
        <v>0.54169999999999996</v>
      </c>
      <c r="H3699" s="1">
        <v>4.1700000000000001E-2</v>
      </c>
    </row>
    <row r="3700" spans="1:9">
      <c r="A3700" t="s">
        <v>199</v>
      </c>
      <c r="B3700">
        <v>98</v>
      </c>
      <c r="C3700" t="s">
        <v>202</v>
      </c>
      <c r="D3700">
        <v>968</v>
      </c>
      <c r="E3700" s="1">
        <v>0.28749999999999998</v>
      </c>
      <c r="F3700" s="1">
        <v>0.2445</v>
      </c>
      <c r="G3700" s="1">
        <v>0.3206</v>
      </c>
      <c r="H3700" s="1">
        <v>0.14749999999999999</v>
      </c>
    </row>
    <row r="3701" spans="1:9">
      <c r="A3701" t="s">
        <v>199</v>
      </c>
      <c r="B3701">
        <v>77</v>
      </c>
      <c r="C3701" t="s">
        <v>203</v>
      </c>
      <c r="D3701">
        <v>968</v>
      </c>
      <c r="E3701" s="1">
        <v>0.33339999999999997</v>
      </c>
      <c r="F3701" s="1">
        <v>0.19289999999999999</v>
      </c>
      <c r="G3701" s="1">
        <v>0.2437</v>
      </c>
      <c r="H3701" s="1">
        <v>0.23</v>
      </c>
    </row>
    <row r="3702" spans="1:9">
      <c r="A3702" t="s">
        <v>209</v>
      </c>
      <c r="B3702">
        <v>74</v>
      </c>
      <c r="C3702" t="s">
        <v>210</v>
      </c>
      <c r="D3702">
        <v>968</v>
      </c>
      <c r="E3702" s="1">
        <v>0.17280000000000001</v>
      </c>
      <c r="F3702" s="1">
        <v>0.24349999999999999</v>
      </c>
      <c r="G3702" s="1">
        <v>0.21940000000000001</v>
      </c>
      <c r="H3702" s="1">
        <v>0.36430000000000001</v>
      </c>
    </row>
    <row r="3703" spans="1:9">
      <c r="A3703" t="s">
        <v>209</v>
      </c>
      <c r="B3703">
        <v>97</v>
      </c>
      <c r="C3703" t="s">
        <v>211</v>
      </c>
      <c r="D3703">
        <v>968</v>
      </c>
      <c r="E3703" s="1">
        <v>0.23649999999999999</v>
      </c>
      <c r="F3703" s="1">
        <v>0.32279999999999998</v>
      </c>
      <c r="G3703" s="1">
        <v>0.26379999999999998</v>
      </c>
      <c r="H3703" s="1">
        <v>0.17699999999999999</v>
      </c>
    </row>
    <row r="3704" spans="1:9">
      <c r="A3704" t="s">
        <v>209</v>
      </c>
      <c r="B3704">
        <v>85</v>
      </c>
      <c r="C3704" t="s">
        <v>212</v>
      </c>
      <c r="D3704">
        <v>968</v>
      </c>
      <c r="E3704" s="1">
        <v>0.1739</v>
      </c>
      <c r="F3704" s="1">
        <v>0.38850000000000001</v>
      </c>
      <c r="G3704" s="1">
        <v>0.35709999999999997</v>
      </c>
      <c r="H3704" s="1">
        <v>8.0500000000000002E-2</v>
      </c>
    </row>
    <row r="3706" spans="1:9">
      <c r="A3706" t="s">
        <v>920</v>
      </c>
    </row>
    <row r="3707" spans="1:9">
      <c r="A3707" t="s">
        <v>214</v>
      </c>
      <c r="B3707" t="s">
        <v>189</v>
      </c>
      <c r="C3707" t="s">
        <v>195</v>
      </c>
      <c r="D3707" t="s">
        <v>190</v>
      </c>
      <c r="E3707" t="s">
        <v>196</v>
      </c>
      <c r="F3707" t="s">
        <v>916</v>
      </c>
      <c r="G3707" t="s">
        <v>917</v>
      </c>
      <c r="H3707" t="s">
        <v>918</v>
      </c>
      <c r="I3707" t="s">
        <v>919</v>
      </c>
    </row>
    <row r="3708" spans="1:9">
      <c r="A3708" t="s">
        <v>198</v>
      </c>
      <c r="B3708" t="s">
        <v>197</v>
      </c>
      <c r="C3708">
        <v>968</v>
      </c>
      <c r="D3708" t="s">
        <v>198</v>
      </c>
      <c r="E3708">
        <v>968</v>
      </c>
      <c r="F3708" s="1">
        <v>0.24390000000000001</v>
      </c>
      <c r="G3708" s="1">
        <v>0.2228</v>
      </c>
      <c r="H3708" s="1">
        <v>0.40339999999999998</v>
      </c>
      <c r="I3708" s="1">
        <v>0.12989999999999999</v>
      </c>
    </row>
    <row r="3709" spans="1:9">
      <c r="A3709" t="s">
        <v>235</v>
      </c>
      <c r="B3709" t="s">
        <v>204</v>
      </c>
      <c r="C3709">
        <v>63</v>
      </c>
      <c r="D3709" t="s">
        <v>208</v>
      </c>
      <c r="E3709">
        <v>968</v>
      </c>
      <c r="F3709" s="1">
        <v>0.254</v>
      </c>
      <c r="G3709" s="1">
        <v>0.254</v>
      </c>
      <c r="H3709" s="1">
        <v>0.38100000000000001</v>
      </c>
      <c r="I3709" s="1">
        <v>0.1111</v>
      </c>
    </row>
    <row r="3710" spans="1:9">
      <c r="A3710" t="s">
        <v>236</v>
      </c>
      <c r="B3710" t="s">
        <v>204</v>
      </c>
      <c r="C3710">
        <v>32</v>
      </c>
      <c r="D3710" t="s">
        <v>205</v>
      </c>
      <c r="E3710">
        <v>968</v>
      </c>
      <c r="F3710" s="1">
        <v>0.51829999999999998</v>
      </c>
      <c r="G3710" s="1">
        <v>9.2799999999999994E-2</v>
      </c>
      <c r="H3710" s="1">
        <v>0.1159</v>
      </c>
      <c r="I3710" s="1">
        <v>0.27300000000000002</v>
      </c>
    </row>
    <row r="3711" spans="1:9">
      <c r="A3711" t="s">
        <v>235</v>
      </c>
      <c r="B3711" t="s">
        <v>204</v>
      </c>
      <c r="C3711">
        <v>58</v>
      </c>
      <c r="D3711" t="s">
        <v>205</v>
      </c>
      <c r="E3711">
        <v>968</v>
      </c>
      <c r="F3711" s="1">
        <v>0.23669999999999999</v>
      </c>
      <c r="G3711" s="1">
        <v>3.2300000000000002E-2</v>
      </c>
      <c r="H3711" s="1">
        <v>0.60809999999999997</v>
      </c>
      <c r="I3711" s="1">
        <v>0.1229</v>
      </c>
    </row>
    <row r="3712" spans="1:9" s="26" customFormat="1">
      <c r="A3712" s="26" t="s">
        <v>236</v>
      </c>
      <c r="B3712" s="26" t="s">
        <v>204</v>
      </c>
      <c r="C3712" s="26">
        <v>21</v>
      </c>
      <c r="D3712" s="26" t="s">
        <v>206</v>
      </c>
      <c r="E3712" s="26">
        <v>968</v>
      </c>
      <c r="F3712" s="27">
        <v>0.27360000000000001</v>
      </c>
      <c r="G3712" s="27">
        <v>0.3075</v>
      </c>
      <c r="H3712" s="27">
        <v>0.1711</v>
      </c>
      <c r="I3712" s="27">
        <v>0.24779999999999999</v>
      </c>
    </row>
    <row r="3713" spans="1:9">
      <c r="A3713" t="s">
        <v>235</v>
      </c>
      <c r="B3713" t="s">
        <v>204</v>
      </c>
      <c r="C3713">
        <v>47</v>
      </c>
      <c r="D3713" t="s">
        <v>206</v>
      </c>
      <c r="E3713">
        <v>968</v>
      </c>
      <c r="F3713" s="1">
        <v>0.15820000000000001</v>
      </c>
      <c r="G3713" s="1">
        <v>0.34010000000000001</v>
      </c>
      <c r="H3713" s="1">
        <v>0.29549999999999998</v>
      </c>
      <c r="I3713" s="1">
        <v>0.20619999999999999</v>
      </c>
    </row>
    <row r="3714" spans="1:9">
      <c r="A3714" t="s">
        <v>236</v>
      </c>
      <c r="B3714" t="s">
        <v>204</v>
      </c>
      <c r="C3714">
        <v>81</v>
      </c>
      <c r="D3714" t="s">
        <v>207</v>
      </c>
      <c r="E3714">
        <v>968</v>
      </c>
      <c r="F3714" s="1">
        <v>0.36680000000000001</v>
      </c>
      <c r="G3714" s="1">
        <v>0.30170000000000002</v>
      </c>
      <c r="H3714" s="1">
        <v>2.7E-2</v>
      </c>
      <c r="I3714" s="1">
        <v>0.30449999999999999</v>
      </c>
    </row>
    <row r="3715" spans="1:9">
      <c r="A3715" t="s">
        <v>235</v>
      </c>
      <c r="B3715" t="s">
        <v>204</v>
      </c>
      <c r="C3715">
        <v>45</v>
      </c>
      <c r="D3715" t="s">
        <v>207</v>
      </c>
      <c r="E3715">
        <v>968</v>
      </c>
      <c r="F3715" s="1">
        <v>0.19550000000000001</v>
      </c>
      <c r="G3715" s="1">
        <v>0.185</v>
      </c>
      <c r="H3715" s="1">
        <v>0.59599999999999997</v>
      </c>
      <c r="I3715" s="1">
        <v>2.35E-2</v>
      </c>
    </row>
    <row r="3716" spans="1:9" s="26" customFormat="1">
      <c r="A3716" s="26" t="s">
        <v>236</v>
      </c>
      <c r="B3716" s="26" t="s">
        <v>204</v>
      </c>
      <c r="C3716" s="26">
        <v>11</v>
      </c>
      <c r="D3716" s="26" t="s">
        <v>208</v>
      </c>
      <c r="E3716" s="26">
        <v>968</v>
      </c>
      <c r="F3716" s="27">
        <v>0.2727</v>
      </c>
      <c r="G3716" s="27">
        <v>9.0899999999999995E-2</v>
      </c>
      <c r="H3716" s="27">
        <v>0.18179999999999999</v>
      </c>
      <c r="I3716" s="27">
        <v>0.45450000000000002</v>
      </c>
    </row>
    <row r="3717" spans="1:9">
      <c r="A3717" t="s">
        <v>235</v>
      </c>
      <c r="B3717" t="s">
        <v>199</v>
      </c>
      <c r="C3717">
        <v>44</v>
      </c>
      <c r="D3717" t="s">
        <v>203</v>
      </c>
      <c r="E3717">
        <v>968</v>
      </c>
      <c r="F3717" s="1">
        <v>0.35089999999999999</v>
      </c>
      <c r="G3717" s="1">
        <v>0.21920000000000001</v>
      </c>
      <c r="H3717" s="1">
        <v>0.28710000000000002</v>
      </c>
      <c r="I3717" s="1">
        <v>0.1429</v>
      </c>
    </row>
    <row r="3718" spans="1:9">
      <c r="A3718" t="s">
        <v>236</v>
      </c>
      <c r="B3718" t="s">
        <v>199</v>
      </c>
      <c r="C3718">
        <v>32</v>
      </c>
      <c r="D3718" t="s">
        <v>203</v>
      </c>
      <c r="E3718">
        <v>968</v>
      </c>
      <c r="F3718" s="1">
        <v>0.32750000000000001</v>
      </c>
      <c r="G3718" s="1">
        <v>0.16</v>
      </c>
      <c r="H3718" s="1">
        <v>0.10630000000000001</v>
      </c>
      <c r="I3718" s="1">
        <v>0.40620000000000001</v>
      </c>
    </row>
    <row r="3719" spans="1:9">
      <c r="A3719" t="s">
        <v>235</v>
      </c>
      <c r="B3719" t="s">
        <v>199</v>
      </c>
      <c r="C3719">
        <v>60</v>
      </c>
      <c r="D3719" t="s">
        <v>202</v>
      </c>
      <c r="E3719">
        <v>968</v>
      </c>
      <c r="F3719" s="1">
        <v>0.24249999999999999</v>
      </c>
      <c r="G3719" s="1">
        <v>0.27060000000000001</v>
      </c>
      <c r="H3719" s="1">
        <v>0.43280000000000002</v>
      </c>
      <c r="I3719" s="1">
        <v>5.4100000000000002E-2</v>
      </c>
    </row>
    <row r="3720" spans="1:9" s="26" customFormat="1">
      <c r="A3720" s="26" t="s">
        <v>236</v>
      </c>
      <c r="B3720" s="26" t="s">
        <v>199</v>
      </c>
      <c r="C3720" s="26">
        <v>24</v>
      </c>
      <c r="D3720" s="26" t="s">
        <v>200</v>
      </c>
      <c r="E3720" s="26">
        <v>968</v>
      </c>
      <c r="F3720" s="27">
        <v>0.19750000000000001</v>
      </c>
      <c r="G3720" s="27">
        <v>0.33379999999999999</v>
      </c>
      <c r="H3720" s="27">
        <v>3.3999999999999998E-3</v>
      </c>
      <c r="I3720" s="27">
        <v>0.46539999999999998</v>
      </c>
    </row>
    <row r="3721" spans="1:9">
      <c r="A3721" t="s">
        <v>235</v>
      </c>
      <c r="B3721" t="s">
        <v>199</v>
      </c>
      <c r="C3721">
        <v>46</v>
      </c>
      <c r="D3721" t="s">
        <v>200</v>
      </c>
      <c r="E3721">
        <v>968</v>
      </c>
      <c r="F3721" s="1">
        <v>0.2064</v>
      </c>
      <c r="G3721" s="1">
        <v>0.49590000000000001</v>
      </c>
      <c r="H3721" s="1">
        <v>0.19450000000000001</v>
      </c>
      <c r="I3721" s="1">
        <v>0.1033</v>
      </c>
    </row>
    <row r="3722" spans="1:9">
      <c r="A3722" t="s">
        <v>236</v>
      </c>
      <c r="B3722" t="s">
        <v>199</v>
      </c>
      <c r="C3722">
        <v>37</v>
      </c>
      <c r="D3722" t="s">
        <v>202</v>
      </c>
      <c r="E3722">
        <v>968</v>
      </c>
      <c r="F3722" s="1">
        <v>0.3594</v>
      </c>
      <c r="G3722" s="1">
        <v>0.18340000000000001</v>
      </c>
      <c r="H3722" s="1">
        <v>0.17510000000000001</v>
      </c>
      <c r="I3722" s="1">
        <v>0.28210000000000002</v>
      </c>
    </row>
    <row r="3723" spans="1:9">
      <c r="A3723" t="s">
        <v>235</v>
      </c>
      <c r="B3723" t="s">
        <v>199</v>
      </c>
      <c r="C3723">
        <v>96</v>
      </c>
      <c r="D3723" t="s">
        <v>201</v>
      </c>
      <c r="E3723">
        <v>968</v>
      </c>
      <c r="F3723" s="1">
        <v>0.17710000000000001</v>
      </c>
      <c r="G3723" s="1">
        <v>0.23960000000000001</v>
      </c>
      <c r="H3723" s="1">
        <v>0.54169999999999996</v>
      </c>
      <c r="I3723" s="1">
        <v>4.1700000000000001E-2</v>
      </c>
    </row>
    <row r="3724" spans="1:9">
      <c r="A3724" t="s">
        <v>236</v>
      </c>
      <c r="B3724" t="s">
        <v>209</v>
      </c>
      <c r="C3724">
        <v>39</v>
      </c>
      <c r="D3724" t="s">
        <v>211</v>
      </c>
      <c r="E3724">
        <v>968</v>
      </c>
      <c r="F3724" s="1">
        <v>0.23419999999999999</v>
      </c>
      <c r="G3724" s="1">
        <v>0.36580000000000001</v>
      </c>
      <c r="H3724" s="1">
        <v>0.1789</v>
      </c>
      <c r="I3724" s="1">
        <v>0.22109999999999999</v>
      </c>
    </row>
    <row r="3725" spans="1:9">
      <c r="A3725" t="s">
        <v>235</v>
      </c>
      <c r="B3725" t="s">
        <v>209</v>
      </c>
      <c r="C3725">
        <v>56</v>
      </c>
      <c r="D3725" t="s">
        <v>211</v>
      </c>
      <c r="E3725">
        <v>968</v>
      </c>
      <c r="F3725" s="1">
        <v>0.2495</v>
      </c>
      <c r="G3725" s="1">
        <v>0.31369999999999998</v>
      </c>
      <c r="H3725" s="1">
        <v>0.27679999999999999</v>
      </c>
      <c r="I3725" s="1">
        <v>0.16</v>
      </c>
    </row>
    <row r="3726" spans="1:9">
      <c r="A3726" t="s">
        <v>235</v>
      </c>
      <c r="B3726" t="s">
        <v>209</v>
      </c>
      <c r="C3726">
        <v>67</v>
      </c>
      <c r="D3726" t="s">
        <v>212</v>
      </c>
      <c r="E3726">
        <v>968</v>
      </c>
      <c r="F3726" s="1">
        <v>0.16259999999999999</v>
      </c>
      <c r="G3726" s="1">
        <v>0.39350000000000002</v>
      </c>
      <c r="H3726" s="1">
        <v>0.36559999999999998</v>
      </c>
      <c r="I3726" s="1">
        <v>7.8299999999999995E-2</v>
      </c>
    </row>
    <row r="3727" spans="1:9" s="26" customFormat="1">
      <c r="A3727" s="26" t="s">
        <v>236</v>
      </c>
      <c r="B3727" s="26" t="s">
        <v>209</v>
      </c>
      <c r="C3727" s="26">
        <v>18</v>
      </c>
      <c r="D3727" s="26" t="s">
        <v>212</v>
      </c>
      <c r="E3727" s="26">
        <v>968</v>
      </c>
      <c r="F3727" s="27">
        <v>0.24399999999999999</v>
      </c>
      <c r="G3727" s="27">
        <v>0.35749999999999998</v>
      </c>
      <c r="H3727" s="27">
        <v>0.30420000000000003</v>
      </c>
      <c r="I3727" s="27">
        <v>9.4299999999999995E-2</v>
      </c>
    </row>
    <row r="3728" spans="1:9">
      <c r="A3728" t="s">
        <v>236</v>
      </c>
      <c r="B3728" t="s">
        <v>209</v>
      </c>
      <c r="C3728">
        <v>38</v>
      </c>
      <c r="D3728" t="s">
        <v>210</v>
      </c>
      <c r="E3728">
        <v>968</v>
      </c>
      <c r="F3728" s="1">
        <v>0.20569999999999999</v>
      </c>
      <c r="G3728" s="1">
        <v>0.31459999999999999</v>
      </c>
      <c r="H3728" s="1">
        <v>0.19020000000000001</v>
      </c>
      <c r="I3728" s="1">
        <v>0.28949999999999998</v>
      </c>
    </row>
    <row r="3729" spans="1:13">
      <c r="A3729" t="s">
        <v>235</v>
      </c>
      <c r="B3729" t="s">
        <v>209</v>
      </c>
      <c r="C3729">
        <v>32</v>
      </c>
      <c r="D3729" t="s">
        <v>210</v>
      </c>
      <c r="E3729">
        <v>968</v>
      </c>
      <c r="F3729" s="1">
        <v>0.16159999999999999</v>
      </c>
      <c r="G3729" s="1">
        <v>0.19389999999999999</v>
      </c>
      <c r="H3729" s="1">
        <v>0.25850000000000001</v>
      </c>
      <c r="I3729" s="1">
        <v>0.38600000000000001</v>
      </c>
    </row>
    <row r="3731" spans="1:13">
      <c r="A3731" t="s">
        <v>921</v>
      </c>
    </row>
    <row r="3732" spans="1:13">
      <c r="A3732" t="s">
        <v>189</v>
      </c>
      <c r="B3732" t="s">
        <v>195</v>
      </c>
      <c r="C3732" t="s">
        <v>190</v>
      </c>
      <c r="D3732" t="s">
        <v>196</v>
      </c>
      <c r="E3732" t="s">
        <v>228</v>
      </c>
      <c r="F3732" t="s">
        <v>860</v>
      </c>
      <c r="G3732" t="s">
        <v>922</v>
      </c>
      <c r="H3732" t="s">
        <v>276</v>
      </c>
      <c r="I3732" t="s">
        <v>278</v>
      </c>
      <c r="J3732" t="s">
        <v>223</v>
      </c>
      <c r="K3732" t="s">
        <v>861</v>
      </c>
      <c r="L3732" t="s">
        <v>862</v>
      </c>
      <c r="M3732" t="s">
        <v>863</v>
      </c>
    </row>
    <row r="3733" spans="1:13">
      <c r="A3733" t="s">
        <v>197</v>
      </c>
      <c r="B3733">
        <v>967</v>
      </c>
      <c r="C3733" t="s">
        <v>198</v>
      </c>
      <c r="D3733">
        <v>967</v>
      </c>
      <c r="E3733" s="1">
        <v>9.0899999999999995E-2</v>
      </c>
      <c r="F3733" s="1">
        <v>0.36880000000000002</v>
      </c>
      <c r="G3733" s="1">
        <v>5.0999999999999997E-2</v>
      </c>
      <c r="H3733" s="1">
        <v>0.28739999999999999</v>
      </c>
      <c r="I3733" s="1">
        <v>2.1000000000000001E-2</v>
      </c>
      <c r="J3733" s="1">
        <v>3.8E-3</v>
      </c>
      <c r="K3733" s="1">
        <v>0.3947</v>
      </c>
      <c r="L3733" s="1">
        <v>0.37909999999999999</v>
      </c>
      <c r="M3733" s="1">
        <v>0.50470000000000004</v>
      </c>
    </row>
    <row r="3734" spans="1:13">
      <c r="A3734" t="s">
        <v>204</v>
      </c>
      <c r="B3734">
        <v>91</v>
      </c>
      <c r="C3734" t="s">
        <v>205</v>
      </c>
      <c r="D3734">
        <v>967</v>
      </c>
      <c r="E3734" s="1">
        <v>4.9099999999999998E-2</v>
      </c>
      <c r="F3734" s="1">
        <v>0.57509999999999994</v>
      </c>
      <c r="G3734" s="1">
        <v>3.9899999999999998E-2</v>
      </c>
      <c r="H3734" s="1">
        <v>0.14760000000000001</v>
      </c>
      <c r="I3734" s="1">
        <v>3.2000000000000002E-3</v>
      </c>
      <c r="J3734" s="1">
        <v>1.2E-2</v>
      </c>
      <c r="K3734" s="1">
        <v>0.59040000000000004</v>
      </c>
      <c r="L3734" s="1">
        <v>0.5504</v>
      </c>
      <c r="M3734" s="1">
        <v>0.68989999999999996</v>
      </c>
    </row>
    <row r="3735" spans="1:13">
      <c r="A3735" t="s">
        <v>204</v>
      </c>
      <c r="B3735">
        <v>72</v>
      </c>
      <c r="C3735" t="s">
        <v>206</v>
      </c>
      <c r="D3735">
        <v>967</v>
      </c>
      <c r="E3735" s="1">
        <v>2.3300000000000001E-2</v>
      </c>
      <c r="F3735" s="1">
        <v>0.44169999999999998</v>
      </c>
      <c r="H3735" s="1">
        <v>0.32340000000000002</v>
      </c>
      <c r="I3735" s="1">
        <v>4.4200000000000003E-2</v>
      </c>
      <c r="K3735" s="1">
        <v>0.51129999999999998</v>
      </c>
      <c r="L3735" s="1">
        <v>0.43469999999999998</v>
      </c>
      <c r="M3735" s="1">
        <v>0.60909999999999997</v>
      </c>
    </row>
    <row r="3736" spans="1:13">
      <c r="A3736" t="s">
        <v>204</v>
      </c>
      <c r="B3736">
        <v>130</v>
      </c>
      <c r="C3736" t="s">
        <v>207</v>
      </c>
      <c r="D3736">
        <v>967</v>
      </c>
      <c r="E3736" s="1">
        <v>0.1119</v>
      </c>
      <c r="F3736" s="1">
        <v>0.33090000000000003</v>
      </c>
      <c r="G3736" s="1">
        <v>9.8100000000000007E-2</v>
      </c>
      <c r="H3736" s="1">
        <v>0.31369999999999998</v>
      </c>
      <c r="I3736" s="1">
        <v>1.4800000000000001E-2</v>
      </c>
      <c r="K3736" s="1">
        <v>0.34350000000000003</v>
      </c>
      <c r="L3736" s="1">
        <v>0.36320000000000002</v>
      </c>
      <c r="M3736" s="1">
        <v>0.41470000000000001</v>
      </c>
    </row>
    <row r="3737" spans="1:13">
      <c r="A3737" t="s">
        <v>204</v>
      </c>
      <c r="B3737">
        <v>74</v>
      </c>
      <c r="C3737" t="s">
        <v>208</v>
      </c>
      <c r="D3737">
        <v>967</v>
      </c>
      <c r="E3737" s="1">
        <v>0.14860000000000001</v>
      </c>
      <c r="F3737" s="1">
        <v>0.3649</v>
      </c>
      <c r="G3737" s="1">
        <v>1.35E-2</v>
      </c>
      <c r="H3737" s="1">
        <v>0.37840000000000001</v>
      </c>
      <c r="I3737" s="1">
        <v>1.35E-2</v>
      </c>
      <c r="K3737" s="1">
        <v>0.33779999999999999</v>
      </c>
      <c r="L3737" s="1">
        <v>0.2838</v>
      </c>
      <c r="M3737" s="1">
        <v>0.44590000000000002</v>
      </c>
    </row>
    <row r="3738" spans="1:13">
      <c r="A3738" t="s">
        <v>199</v>
      </c>
      <c r="B3738">
        <v>73</v>
      </c>
      <c r="C3738" t="s">
        <v>200</v>
      </c>
      <c r="D3738">
        <v>967</v>
      </c>
      <c r="E3738" s="1">
        <v>4.7000000000000002E-3</v>
      </c>
      <c r="F3738" s="1">
        <v>0.35639999999999999</v>
      </c>
      <c r="G3738" s="1">
        <v>6.1699999999999998E-2</v>
      </c>
      <c r="H3738" s="1">
        <v>0.33810000000000001</v>
      </c>
      <c r="I3738" s="1">
        <v>4.9599999999999998E-2</v>
      </c>
      <c r="K3738" s="1">
        <v>0.38</v>
      </c>
      <c r="L3738" s="1">
        <v>0.42680000000000001</v>
      </c>
      <c r="M3738" s="1">
        <v>0.47120000000000001</v>
      </c>
    </row>
    <row r="3739" spans="1:13">
      <c r="A3739" t="s">
        <v>199</v>
      </c>
      <c r="B3739">
        <v>96</v>
      </c>
      <c r="C3739" t="s">
        <v>201</v>
      </c>
      <c r="D3739">
        <v>967</v>
      </c>
      <c r="E3739" s="1">
        <v>9.3799999999999994E-2</v>
      </c>
      <c r="F3739" s="1">
        <v>0.29170000000000001</v>
      </c>
      <c r="G3739" s="1">
        <v>2.0799999999999999E-2</v>
      </c>
      <c r="H3739" s="1">
        <v>0.33329999999999999</v>
      </c>
      <c r="I3739" s="1">
        <v>2.0799999999999999E-2</v>
      </c>
      <c r="K3739" s="1">
        <v>0.36459999999999998</v>
      </c>
      <c r="L3739" s="1">
        <v>0.33329999999999999</v>
      </c>
      <c r="M3739" s="1">
        <v>0.47920000000000001</v>
      </c>
    </row>
    <row r="3740" spans="1:13">
      <c r="A3740" t="s">
        <v>199</v>
      </c>
      <c r="B3740">
        <v>98</v>
      </c>
      <c r="C3740" t="s">
        <v>202</v>
      </c>
      <c r="D3740">
        <v>967</v>
      </c>
      <c r="E3740" s="1">
        <v>0.13850000000000001</v>
      </c>
      <c r="F3740" s="1">
        <v>0.37019999999999997</v>
      </c>
      <c r="G3740" s="1">
        <v>7.1900000000000006E-2</v>
      </c>
      <c r="H3740" s="1">
        <v>0.28360000000000002</v>
      </c>
      <c r="I3740" s="1">
        <v>4.0399999999999998E-2</v>
      </c>
      <c r="J3740" s="1">
        <v>8.9999999999999993E-3</v>
      </c>
      <c r="K3740" s="1">
        <v>0.32129999999999997</v>
      </c>
      <c r="L3740" s="1">
        <v>0.38009999999999999</v>
      </c>
      <c r="M3740" s="1">
        <v>0.44369999999999998</v>
      </c>
    </row>
    <row r="3741" spans="1:13">
      <c r="A3741" t="s">
        <v>199</v>
      </c>
      <c r="B3741">
        <v>77</v>
      </c>
      <c r="C3741" t="s">
        <v>203</v>
      </c>
      <c r="D3741">
        <v>967</v>
      </c>
      <c r="E3741" s="1">
        <v>0.04</v>
      </c>
      <c r="F3741" s="1">
        <v>0.18459999999999999</v>
      </c>
      <c r="G3741" s="1">
        <v>2.5999999999999999E-2</v>
      </c>
      <c r="H3741" s="1">
        <v>0.48420000000000002</v>
      </c>
      <c r="I3741" s="1">
        <v>3.3399999999999999E-2</v>
      </c>
      <c r="K3741" s="1">
        <v>0.27429999999999999</v>
      </c>
      <c r="L3741" s="1">
        <v>0.14580000000000001</v>
      </c>
      <c r="M3741" s="1">
        <v>0.38700000000000001</v>
      </c>
    </row>
    <row r="3742" spans="1:13">
      <c r="A3742" t="s">
        <v>209</v>
      </c>
      <c r="B3742">
        <v>74</v>
      </c>
      <c r="C3742" t="s">
        <v>210</v>
      </c>
      <c r="D3742">
        <v>967</v>
      </c>
      <c r="E3742" s="1">
        <v>7.0699999999999999E-2</v>
      </c>
      <c r="F3742" s="1">
        <v>0.49440000000000001</v>
      </c>
      <c r="H3742" s="1">
        <v>0.17380000000000001</v>
      </c>
      <c r="I3742" s="1">
        <v>6.0400000000000002E-2</v>
      </c>
      <c r="K3742" s="1">
        <v>0.61509999999999998</v>
      </c>
      <c r="L3742" s="1">
        <v>0.49530000000000002</v>
      </c>
      <c r="M3742" s="1">
        <v>0.72119999999999995</v>
      </c>
    </row>
    <row r="3743" spans="1:13">
      <c r="A3743" t="s">
        <v>209</v>
      </c>
      <c r="B3743">
        <v>97</v>
      </c>
      <c r="C3743" t="s">
        <v>211</v>
      </c>
      <c r="D3743">
        <v>967</v>
      </c>
      <c r="E3743" s="1">
        <v>7.9600000000000004E-2</v>
      </c>
      <c r="F3743" s="1">
        <v>0.33150000000000002</v>
      </c>
      <c r="G3743" s="1">
        <v>6.54E-2</v>
      </c>
      <c r="H3743" s="1">
        <v>0.28249999999999997</v>
      </c>
      <c r="I3743" s="1">
        <v>4.9099999999999998E-2</v>
      </c>
      <c r="K3743" s="1">
        <v>0.36330000000000001</v>
      </c>
      <c r="L3743" s="1">
        <v>0.37890000000000001</v>
      </c>
      <c r="M3743" s="1">
        <v>0.52910000000000001</v>
      </c>
    </row>
    <row r="3744" spans="1:13">
      <c r="A3744" t="s">
        <v>209</v>
      </c>
      <c r="B3744">
        <v>85</v>
      </c>
      <c r="C3744" t="s">
        <v>212</v>
      </c>
      <c r="D3744">
        <v>967</v>
      </c>
      <c r="E3744" s="1">
        <v>8.8200000000000001E-2</v>
      </c>
      <c r="F3744" s="1">
        <v>0.23280000000000001</v>
      </c>
      <c r="G3744" s="1">
        <v>6.0299999999999999E-2</v>
      </c>
      <c r="H3744" s="1">
        <v>0.31219999999999998</v>
      </c>
      <c r="I3744" s="1">
        <v>1.4E-2</v>
      </c>
      <c r="K3744" s="1">
        <v>0.31480000000000002</v>
      </c>
      <c r="L3744" s="1">
        <v>0.26550000000000001</v>
      </c>
      <c r="M3744" s="1">
        <v>0.4572</v>
      </c>
    </row>
    <row r="3746" spans="1:14">
      <c r="A3746" t="s">
        <v>923</v>
      </c>
    </row>
    <row r="3747" spans="1:14">
      <c r="A3747" t="s">
        <v>214</v>
      </c>
      <c r="B3747" t="s">
        <v>189</v>
      </c>
      <c r="C3747" t="s">
        <v>195</v>
      </c>
      <c r="D3747" t="s">
        <v>190</v>
      </c>
      <c r="E3747" t="s">
        <v>196</v>
      </c>
      <c r="F3747" t="s">
        <v>228</v>
      </c>
      <c r="G3747" t="s">
        <v>860</v>
      </c>
      <c r="H3747" t="s">
        <v>922</v>
      </c>
      <c r="I3747" t="s">
        <v>276</v>
      </c>
      <c r="J3747" t="s">
        <v>278</v>
      </c>
      <c r="K3747" t="s">
        <v>223</v>
      </c>
      <c r="L3747" t="s">
        <v>861</v>
      </c>
      <c r="M3747" t="s">
        <v>862</v>
      </c>
      <c r="N3747" t="s">
        <v>863</v>
      </c>
    </row>
    <row r="3748" spans="1:14">
      <c r="A3748" t="s">
        <v>198</v>
      </c>
      <c r="B3748" t="s">
        <v>197</v>
      </c>
      <c r="C3748">
        <v>967</v>
      </c>
      <c r="D3748" t="s">
        <v>198</v>
      </c>
      <c r="E3748">
        <v>967</v>
      </c>
      <c r="F3748" s="1">
        <v>9.0899999999999995E-2</v>
      </c>
      <c r="G3748" s="1">
        <v>0.36880000000000002</v>
      </c>
      <c r="H3748" s="1">
        <v>5.0999999999999997E-2</v>
      </c>
      <c r="I3748" s="1">
        <v>0.28739999999999999</v>
      </c>
      <c r="J3748" s="1">
        <v>2.1000000000000001E-2</v>
      </c>
      <c r="K3748" s="1">
        <v>3.8E-3</v>
      </c>
      <c r="L3748" s="1">
        <v>0.3947</v>
      </c>
      <c r="M3748" s="1">
        <v>0.37909999999999999</v>
      </c>
      <c r="N3748" s="1">
        <v>0.50470000000000004</v>
      </c>
    </row>
    <row r="3749" spans="1:14">
      <c r="A3749" t="s">
        <v>235</v>
      </c>
      <c r="B3749" t="s">
        <v>204</v>
      </c>
      <c r="C3749">
        <v>63</v>
      </c>
      <c r="D3749" t="s">
        <v>208</v>
      </c>
      <c r="E3749">
        <v>967</v>
      </c>
      <c r="F3749" s="1">
        <v>0.15870000000000001</v>
      </c>
      <c r="G3749" s="1">
        <v>0.34920000000000001</v>
      </c>
      <c r="H3749" s="1">
        <v>1.5900000000000001E-2</v>
      </c>
      <c r="I3749" s="1">
        <v>0.38100000000000001</v>
      </c>
      <c r="L3749" s="1">
        <v>0.34920000000000001</v>
      </c>
      <c r="M3749" s="1">
        <v>0.28570000000000001</v>
      </c>
      <c r="N3749" s="1">
        <v>0.42859999999999998</v>
      </c>
    </row>
    <row r="3750" spans="1:14">
      <c r="A3750" t="s">
        <v>236</v>
      </c>
      <c r="B3750" t="s">
        <v>204</v>
      </c>
      <c r="C3750">
        <v>32</v>
      </c>
      <c r="D3750" t="s">
        <v>205</v>
      </c>
      <c r="E3750">
        <v>967</v>
      </c>
      <c r="F3750" s="1">
        <v>8.9200000000000002E-2</v>
      </c>
      <c r="G3750" s="1">
        <v>0.53900000000000003</v>
      </c>
      <c r="I3750" s="1">
        <v>0.16300000000000001</v>
      </c>
      <c r="L3750" s="1">
        <v>0.64129999999999998</v>
      </c>
      <c r="M3750" s="1">
        <v>0.45329999999999998</v>
      </c>
      <c r="N3750" s="1">
        <v>0.72040000000000004</v>
      </c>
    </row>
    <row r="3751" spans="1:14">
      <c r="A3751" t="s">
        <v>235</v>
      </c>
      <c r="B3751" t="s">
        <v>204</v>
      </c>
      <c r="C3751">
        <v>58</v>
      </c>
      <c r="D3751" t="s">
        <v>205</v>
      </c>
      <c r="E3751">
        <v>967</v>
      </c>
      <c r="F3751" s="1">
        <v>4.0599999999999997E-2</v>
      </c>
      <c r="G3751" s="1">
        <v>0.58460000000000001</v>
      </c>
      <c r="H3751" s="1">
        <v>4.58E-2</v>
      </c>
      <c r="I3751" s="1">
        <v>0.1447</v>
      </c>
      <c r="J3751" s="1">
        <v>3.8999999999999998E-3</v>
      </c>
      <c r="K3751" s="1">
        <v>1.46E-2</v>
      </c>
      <c r="L3751" s="1">
        <v>0.58120000000000005</v>
      </c>
      <c r="M3751" s="1">
        <v>0.57299999999999995</v>
      </c>
      <c r="N3751" s="1">
        <v>0.68530000000000002</v>
      </c>
    </row>
    <row r="3752" spans="1:14" s="26" customFormat="1">
      <c r="A3752" s="26" t="s">
        <v>236</v>
      </c>
      <c r="B3752" s="26" t="s">
        <v>204</v>
      </c>
      <c r="C3752" s="26">
        <v>21</v>
      </c>
      <c r="D3752" s="26" t="s">
        <v>206</v>
      </c>
      <c r="E3752" s="26">
        <v>967</v>
      </c>
      <c r="F3752" s="27">
        <v>4.2799999999999998E-2</v>
      </c>
      <c r="G3752" s="27">
        <v>0.32450000000000001</v>
      </c>
      <c r="I3752" s="27">
        <v>0.35909999999999997</v>
      </c>
      <c r="J3752" s="27">
        <v>0.10249999999999999</v>
      </c>
      <c r="L3752" s="27">
        <v>0.38419999999999999</v>
      </c>
      <c r="M3752" s="27">
        <v>0.34150000000000003</v>
      </c>
      <c r="N3752" s="27">
        <v>0.59809999999999997</v>
      </c>
    </row>
    <row r="3753" spans="1:14">
      <c r="A3753" t="s">
        <v>235</v>
      </c>
      <c r="B3753" t="s">
        <v>204</v>
      </c>
      <c r="C3753">
        <v>47</v>
      </c>
      <c r="D3753" t="s">
        <v>206</v>
      </c>
      <c r="E3753">
        <v>967</v>
      </c>
      <c r="F3753" s="1">
        <v>1.72E-2</v>
      </c>
      <c r="G3753" s="1">
        <v>0.49819999999999998</v>
      </c>
      <c r="I3753" s="1">
        <v>0.29909999999999998</v>
      </c>
      <c r="J3753" s="1">
        <v>2.4E-2</v>
      </c>
      <c r="L3753" s="1">
        <v>0.57720000000000005</v>
      </c>
      <c r="M3753" s="1">
        <v>0.48099999999999998</v>
      </c>
      <c r="N3753" s="1">
        <v>0.61839999999999995</v>
      </c>
    </row>
    <row r="3754" spans="1:14">
      <c r="A3754" t="s">
        <v>236</v>
      </c>
      <c r="B3754" t="s">
        <v>204</v>
      </c>
      <c r="C3754">
        <v>80</v>
      </c>
      <c r="D3754" t="s">
        <v>207</v>
      </c>
      <c r="E3754">
        <v>967</v>
      </c>
      <c r="F3754" s="1">
        <v>3.9399999999999998E-2</v>
      </c>
      <c r="G3754" s="1">
        <v>0.16270000000000001</v>
      </c>
      <c r="H3754" s="1">
        <v>0.2361</v>
      </c>
      <c r="I3754" s="1">
        <v>0.35110000000000002</v>
      </c>
      <c r="J3754" s="1">
        <v>1.83E-2</v>
      </c>
      <c r="L3754" s="1">
        <v>0.2</v>
      </c>
      <c r="M3754" s="1">
        <v>0.26340000000000002</v>
      </c>
      <c r="N3754" s="1">
        <v>0.23369999999999999</v>
      </c>
    </row>
    <row r="3755" spans="1:14">
      <c r="A3755" t="s">
        <v>235</v>
      </c>
      <c r="B3755" t="s">
        <v>204</v>
      </c>
      <c r="C3755">
        <v>45</v>
      </c>
      <c r="D3755" t="s">
        <v>207</v>
      </c>
      <c r="E3755">
        <v>967</v>
      </c>
      <c r="F3755" s="1">
        <v>0.1651</v>
      </c>
      <c r="G3755" s="1">
        <v>0.45129999999999998</v>
      </c>
      <c r="I3755" s="1">
        <v>0.28029999999999999</v>
      </c>
      <c r="J3755" s="1">
        <v>1.2800000000000001E-2</v>
      </c>
      <c r="L3755" s="1">
        <v>0.44700000000000001</v>
      </c>
      <c r="M3755" s="1">
        <v>0.43690000000000001</v>
      </c>
      <c r="N3755" s="1">
        <v>0.54610000000000003</v>
      </c>
    </row>
    <row r="3756" spans="1:14" s="26" customFormat="1">
      <c r="A3756" s="26" t="s">
        <v>236</v>
      </c>
      <c r="B3756" s="26" t="s">
        <v>204</v>
      </c>
      <c r="C3756" s="26">
        <v>11</v>
      </c>
      <c r="D3756" s="26" t="s">
        <v>208</v>
      </c>
      <c r="E3756" s="26">
        <v>967</v>
      </c>
      <c r="F3756" s="27">
        <v>9.0899999999999995E-2</v>
      </c>
      <c r="G3756" s="27">
        <v>0.45450000000000002</v>
      </c>
      <c r="I3756" s="27">
        <v>0.36359999999999998</v>
      </c>
      <c r="J3756" s="27">
        <v>9.0899999999999995E-2</v>
      </c>
      <c r="L3756" s="27">
        <v>0.2727</v>
      </c>
      <c r="M3756" s="27">
        <v>0.2727</v>
      </c>
      <c r="N3756" s="27">
        <v>0.54549999999999998</v>
      </c>
    </row>
    <row r="3757" spans="1:14">
      <c r="A3757" t="s">
        <v>235</v>
      </c>
      <c r="B3757" t="s">
        <v>199</v>
      </c>
      <c r="C3757">
        <v>44</v>
      </c>
      <c r="D3757" t="s">
        <v>203</v>
      </c>
      <c r="E3757">
        <v>967</v>
      </c>
      <c r="F3757" s="1">
        <v>5.1900000000000002E-2</v>
      </c>
      <c r="G3757" s="1">
        <v>0.1988</v>
      </c>
      <c r="H3757" s="1">
        <v>1.18E-2</v>
      </c>
      <c r="I3757" s="1">
        <v>0.4773</v>
      </c>
      <c r="L3757" s="1">
        <v>0.30620000000000003</v>
      </c>
      <c r="M3757" s="1">
        <v>0.14549999999999999</v>
      </c>
      <c r="N3757" s="1">
        <v>0.38579999999999998</v>
      </c>
    </row>
    <row r="3758" spans="1:14">
      <c r="A3758" t="s">
        <v>236</v>
      </c>
      <c r="B3758" t="s">
        <v>199</v>
      </c>
      <c r="C3758">
        <v>32</v>
      </c>
      <c r="D3758" t="s">
        <v>203</v>
      </c>
      <c r="E3758">
        <v>967</v>
      </c>
      <c r="F3758" s="1">
        <v>2.1499999999999998E-2</v>
      </c>
      <c r="G3758" s="1">
        <v>0.1731</v>
      </c>
      <c r="H3758" s="1">
        <v>5.3699999999999998E-2</v>
      </c>
      <c r="I3758" s="1">
        <v>0.45660000000000001</v>
      </c>
      <c r="J3758" s="1">
        <v>9.6699999999999994E-2</v>
      </c>
      <c r="L3758" s="1">
        <v>0.23780000000000001</v>
      </c>
      <c r="M3758" s="1">
        <v>0.15770000000000001</v>
      </c>
      <c r="N3758" s="1">
        <v>0.41930000000000001</v>
      </c>
    </row>
    <row r="3759" spans="1:14">
      <c r="A3759" t="s">
        <v>235</v>
      </c>
      <c r="B3759" t="s">
        <v>199</v>
      </c>
      <c r="C3759">
        <v>60</v>
      </c>
      <c r="D3759" t="s">
        <v>202</v>
      </c>
      <c r="E3759">
        <v>967</v>
      </c>
      <c r="F3759" s="1">
        <v>0.18429999999999999</v>
      </c>
      <c r="G3759" s="1">
        <v>0.36120000000000002</v>
      </c>
      <c r="I3759" s="1">
        <v>0.30420000000000003</v>
      </c>
      <c r="J3759" s="1">
        <v>2.3199999999999998E-2</v>
      </c>
      <c r="L3759" s="1">
        <v>0.27600000000000002</v>
      </c>
      <c r="M3759" s="1">
        <v>0.36220000000000002</v>
      </c>
      <c r="N3759" s="1">
        <v>0.4657</v>
      </c>
    </row>
    <row r="3760" spans="1:14" s="26" customFormat="1">
      <c r="A3760" s="26" t="s">
        <v>236</v>
      </c>
      <c r="B3760" s="26" t="s">
        <v>199</v>
      </c>
      <c r="C3760" s="26">
        <v>24</v>
      </c>
      <c r="D3760" s="26" t="s">
        <v>200</v>
      </c>
      <c r="E3760" s="26">
        <v>967</v>
      </c>
      <c r="G3760" s="27">
        <v>0.34300000000000003</v>
      </c>
      <c r="H3760" s="27">
        <v>0.13139999999999999</v>
      </c>
      <c r="I3760" s="27">
        <v>0.16239999999999999</v>
      </c>
      <c r="J3760" s="27">
        <v>3.3999999999999998E-3</v>
      </c>
      <c r="L3760" s="27">
        <v>0.47199999999999998</v>
      </c>
      <c r="M3760" s="27">
        <v>0.58830000000000005</v>
      </c>
      <c r="N3760" s="27">
        <v>0.55730000000000002</v>
      </c>
    </row>
    <row r="3761" spans="1:14">
      <c r="A3761" t="s">
        <v>235</v>
      </c>
      <c r="B3761" t="s">
        <v>199</v>
      </c>
      <c r="C3761">
        <v>46</v>
      </c>
      <c r="D3761" t="s">
        <v>200</v>
      </c>
      <c r="E3761">
        <v>967</v>
      </c>
      <c r="F3761" s="1">
        <v>8.9999999999999993E-3</v>
      </c>
      <c r="G3761" s="1">
        <v>0.36859999999999998</v>
      </c>
      <c r="I3761" s="1">
        <v>0.49209999999999998</v>
      </c>
      <c r="J3761" s="1">
        <v>9.1300000000000006E-2</v>
      </c>
      <c r="L3761" s="1">
        <v>0.2984</v>
      </c>
      <c r="M3761" s="1">
        <v>0.28639999999999999</v>
      </c>
      <c r="N3761" s="1">
        <v>0.39560000000000001</v>
      </c>
    </row>
    <row r="3762" spans="1:14">
      <c r="A3762" t="s">
        <v>236</v>
      </c>
      <c r="B3762" t="s">
        <v>199</v>
      </c>
      <c r="C3762">
        <v>37</v>
      </c>
      <c r="D3762" t="s">
        <v>202</v>
      </c>
      <c r="E3762">
        <v>967</v>
      </c>
      <c r="F3762" s="1">
        <v>7.9399999999999998E-2</v>
      </c>
      <c r="G3762" s="1">
        <v>0.39489999999999997</v>
      </c>
      <c r="H3762" s="1">
        <v>0.17399999999999999</v>
      </c>
      <c r="I3762" s="1">
        <v>0.26419999999999999</v>
      </c>
      <c r="J3762" s="1">
        <v>6.5600000000000006E-2</v>
      </c>
      <c r="K3762" s="1">
        <v>2.1899999999999999E-2</v>
      </c>
      <c r="L3762" s="1">
        <v>0.36199999999999999</v>
      </c>
      <c r="M3762" s="1">
        <v>0.3846</v>
      </c>
      <c r="N3762" s="1">
        <v>0.39489999999999997</v>
      </c>
    </row>
    <row r="3763" spans="1:14">
      <c r="A3763" t="s">
        <v>235</v>
      </c>
      <c r="B3763" t="s">
        <v>199</v>
      </c>
      <c r="C3763">
        <v>96</v>
      </c>
      <c r="D3763" t="s">
        <v>201</v>
      </c>
      <c r="E3763">
        <v>967</v>
      </c>
      <c r="F3763" s="1">
        <v>9.3799999999999994E-2</v>
      </c>
      <c r="G3763" s="1">
        <v>0.29170000000000001</v>
      </c>
      <c r="H3763" s="1">
        <v>2.0799999999999999E-2</v>
      </c>
      <c r="I3763" s="1">
        <v>0.33329999999999999</v>
      </c>
      <c r="J3763" s="1">
        <v>2.0799999999999999E-2</v>
      </c>
      <c r="L3763" s="1">
        <v>0.36459999999999998</v>
      </c>
      <c r="M3763" s="1">
        <v>0.33329999999999999</v>
      </c>
      <c r="N3763" s="1">
        <v>0.47920000000000001</v>
      </c>
    </row>
    <row r="3764" spans="1:14">
      <c r="A3764" t="s">
        <v>236</v>
      </c>
      <c r="B3764" t="s">
        <v>209</v>
      </c>
      <c r="C3764">
        <v>39</v>
      </c>
      <c r="D3764" t="s">
        <v>211</v>
      </c>
      <c r="E3764">
        <v>967</v>
      </c>
      <c r="F3764" s="1">
        <v>4.5400000000000003E-2</v>
      </c>
      <c r="G3764" s="1">
        <v>0.21129999999999999</v>
      </c>
      <c r="H3764" s="1">
        <v>7.0199999999999999E-2</v>
      </c>
      <c r="I3764" s="1">
        <v>0.436</v>
      </c>
      <c r="J3764" s="1">
        <v>2.76E-2</v>
      </c>
      <c r="L3764" s="1">
        <v>0.2389</v>
      </c>
      <c r="M3764" s="1">
        <v>0.1817</v>
      </c>
      <c r="N3764" s="1">
        <v>0.43659999999999999</v>
      </c>
    </row>
    <row r="3765" spans="1:14">
      <c r="A3765" t="s">
        <v>235</v>
      </c>
      <c r="B3765" t="s">
        <v>209</v>
      </c>
      <c r="C3765">
        <v>56</v>
      </c>
      <c r="D3765" t="s">
        <v>211</v>
      </c>
      <c r="E3765">
        <v>967</v>
      </c>
      <c r="F3765" s="1">
        <v>0.10349999999999999</v>
      </c>
      <c r="G3765" s="1">
        <v>0.39329999999999998</v>
      </c>
      <c r="H3765" s="1">
        <v>6.59E-2</v>
      </c>
      <c r="I3765" s="1">
        <v>0.20680000000000001</v>
      </c>
      <c r="J3765" s="1">
        <v>6.4199999999999993E-2</v>
      </c>
      <c r="L3765" s="1">
        <v>0.42920000000000003</v>
      </c>
      <c r="M3765" s="1">
        <v>0.48809999999999998</v>
      </c>
      <c r="N3765" s="1">
        <v>0.55969999999999998</v>
      </c>
    </row>
    <row r="3766" spans="1:14">
      <c r="A3766" t="s">
        <v>235</v>
      </c>
      <c r="B3766" t="s">
        <v>209</v>
      </c>
      <c r="C3766">
        <v>67</v>
      </c>
      <c r="D3766" t="s">
        <v>212</v>
      </c>
      <c r="E3766">
        <v>967</v>
      </c>
      <c r="F3766" s="1">
        <v>5.7000000000000002E-2</v>
      </c>
      <c r="G3766" s="1">
        <v>0.2492</v>
      </c>
      <c r="H3766" s="1">
        <v>5.6599999999999998E-2</v>
      </c>
      <c r="I3766" s="1">
        <v>0.32250000000000001</v>
      </c>
      <c r="J3766" s="1">
        <v>1.6199999999999999E-2</v>
      </c>
      <c r="L3766" s="1">
        <v>0.31690000000000002</v>
      </c>
      <c r="M3766" s="1">
        <v>0.27100000000000002</v>
      </c>
      <c r="N3766" s="1">
        <v>0.48</v>
      </c>
    </row>
    <row r="3767" spans="1:14" s="26" customFormat="1">
      <c r="A3767" s="26" t="s">
        <v>236</v>
      </c>
      <c r="B3767" s="26" t="s">
        <v>209</v>
      </c>
      <c r="C3767" s="26">
        <v>18</v>
      </c>
      <c r="D3767" s="26" t="s">
        <v>212</v>
      </c>
      <c r="E3767" s="26">
        <v>967</v>
      </c>
      <c r="F3767" s="27">
        <v>0.28260000000000002</v>
      </c>
      <c r="G3767" s="27">
        <v>0.13</v>
      </c>
      <c r="H3767" s="27">
        <v>8.3900000000000002E-2</v>
      </c>
      <c r="I3767" s="27">
        <v>0.24809999999999999</v>
      </c>
      <c r="L3767" s="27">
        <v>0.30149999999999999</v>
      </c>
      <c r="M3767" s="27">
        <v>0.23130000000000001</v>
      </c>
      <c r="N3767" s="27">
        <v>0.31519999999999998</v>
      </c>
    </row>
    <row r="3768" spans="1:14">
      <c r="A3768" t="s">
        <v>236</v>
      </c>
      <c r="B3768" t="s">
        <v>209</v>
      </c>
      <c r="C3768">
        <v>38</v>
      </c>
      <c r="D3768" t="s">
        <v>210</v>
      </c>
      <c r="E3768">
        <v>967</v>
      </c>
      <c r="G3768" s="1">
        <v>0.51790000000000003</v>
      </c>
      <c r="I3768" s="1">
        <v>0.1041</v>
      </c>
      <c r="J3768" s="1">
        <v>0.1041</v>
      </c>
      <c r="L3768" s="1">
        <v>0.78949999999999998</v>
      </c>
      <c r="M3768" s="1">
        <v>0.54069999999999996</v>
      </c>
      <c r="N3768" s="1">
        <v>0.85529999999999995</v>
      </c>
    </row>
    <row r="3769" spans="1:14">
      <c r="A3769" t="s">
        <v>235</v>
      </c>
      <c r="B3769" t="s">
        <v>209</v>
      </c>
      <c r="C3769">
        <v>32</v>
      </c>
      <c r="D3769" t="s">
        <v>210</v>
      </c>
      <c r="E3769">
        <v>967</v>
      </c>
      <c r="F3769" s="1">
        <v>9.69E-2</v>
      </c>
      <c r="G3769" s="1">
        <v>0.5</v>
      </c>
      <c r="I3769" s="1">
        <v>0.2092</v>
      </c>
      <c r="J3769" s="1">
        <v>3.2300000000000002E-2</v>
      </c>
      <c r="L3769" s="1">
        <v>0.5323</v>
      </c>
      <c r="M3769" s="1">
        <v>0.5</v>
      </c>
      <c r="N3769" s="1">
        <v>0.66159999999999997</v>
      </c>
    </row>
    <row r="3771" spans="1:14">
      <c r="A3771" t="s">
        <v>924</v>
      </c>
    </row>
    <row r="3772" spans="1:14">
      <c r="A3772" t="s">
        <v>189</v>
      </c>
      <c r="B3772" t="s">
        <v>195</v>
      </c>
      <c r="C3772" t="s">
        <v>190</v>
      </c>
      <c r="D3772" t="s">
        <v>196</v>
      </c>
      <c r="E3772" t="s">
        <v>866</v>
      </c>
      <c r="F3772" t="s">
        <v>228</v>
      </c>
      <c r="G3772" t="s">
        <v>867</v>
      </c>
      <c r="H3772" t="s">
        <v>868</v>
      </c>
      <c r="I3772" t="s">
        <v>869</v>
      </c>
      <c r="J3772" t="s">
        <v>870</v>
      </c>
    </row>
    <row r="3773" spans="1:14">
      <c r="A3773" t="s">
        <v>197</v>
      </c>
      <c r="B3773">
        <v>569</v>
      </c>
      <c r="C3773" t="s">
        <v>198</v>
      </c>
      <c r="D3773">
        <v>569</v>
      </c>
      <c r="E3773" s="1">
        <v>0.41870000000000002</v>
      </c>
      <c r="F3773" s="1">
        <v>1.24E-2</v>
      </c>
      <c r="G3773" s="1">
        <v>2.07E-2</v>
      </c>
      <c r="H3773" s="1">
        <v>0.34510000000000002</v>
      </c>
      <c r="I3773" s="1">
        <v>9.2600000000000002E-2</v>
      </c>
      <c r="J3773" s="1">
        <v>0.1105</v>
      </c>
    </row>
    <row r="3774" spans="1:14">
      <c r="A3774" t="s">
        <v>204</v>
      </c>
      <c r="B3774">
        <v>61</v>
      </c>
      <c r="C3774" t="s">
        <v>205</v>
      </c>
      <c r="D3774">
        <v>569</v>
      </c>
      <c r="E3774" s="1">
        <v>0.4889</v>
      </c>
      <c r="H3774" s="1">
        <v>0.40289999999999998</v>
      </c>
      <c r="I3774" s="1">
        <v>2.7400000000000001E-2</v>
      </c>
      <c r="J3774" s="1">
        <v>8.0699999999999994E-2</v>
      </c>
    </row>
    <row r="3775" spans="1:14">
      <c r="A3775" t="s">
        <v>204</v>
      </c>
      <c r="B3775">
        <v>46</v>
      </c>
      <c r="C3775" t="s">
        <v>206</v>
      </c>
      <c r="D3775">
        <v>569</v>
      </c>
      <c r="E3775" s="1">
        <v>0.53139999999999998</v>
      </c>
      <c r="F3775" s="1">
        <v>1.7500000000000002E-2</v>
      </c>
      <c r="G3775" s="1">
        <v>1.7500000000000002E-2</v>
      </c>
      <c r="H3775" s="1">
        <v>0.29020000000000001</v>
      </c>
      <c r="I3775" s="1">
        <v>0.1014</v>
      </c>
      <c r="J3775" s="1">
        <v>4.2000000000000003E-2</v>
      </c>
    </row>
    <row r="3776" spans="1:14">
      <c r="A3776" t="s">
        <v>204</v>
      </c>
      <c r="B3776">
        <v>77</v>
      </c>
      <c r="C3776" t="s">
        <v>207</v>
      </c>
      <c r="D3776">
        <v>569</v>
      </c>
      <c r="E3776" s="1">
        <v>0.46200000000000002</v>
      </c>
      <c r="F3776" s="1">
        <v>1.54E-2</v>
      </c>
      <c r="H3776" s="1">
        <v>0.31850000000000001</v>
      </c>
      <c r="I3776" s="1">
        <v>0.1391</v>
      </c>
      <c r="J3776" s="1">
        <v>6.5100000000000005E-2</v>
      </c>
    </row>
    <row r="3777" spans="1:11">
      <c r="A3777" t="s">
        <v>204</v>
      </c>
      <c r="B3777">
        <v>35</v>
      </c>
      <c r="C3777" t="s">
        <v>208</v>
      </c>
      <c r="D3777">
        <v>569</v>
      </c>
      <c r="E3777" s="1">
        <v>0.4</v>
      </c>
      <c r="F3777" s="1">
        <v>2.86E-2</v>
      </c>
      <c r="H3777" s="1">
        <v>0.34289999999999998</v>
      </c>
      <c r="I3777" s="1">
        <v>0.1429</v>
      </c>
      <c r="J3777" s="1">
        <v>8.5699999999999998E-2</v>
      </c>
    </row>
    <row r="3778" spans="1:11">
      <c r="A3778" t="s">
        <v>199</v>
      </c>
      <c r="B3778">
        <v>47</v>
      </c>
      <c r="C3778" t="s">
        <v>200</v>
      </c>
      <c r="D3778">
        <v>569</v>
      </c>
      <c r="E3778" s="1">
        <v>0.22120000000000001</v>
      </c>
      <c r="F3778" s="1">
        <v>1.06E-2</v>
      </c>
      <c r="G3778" s="1">
        <v>5.3E-3</v>
      </c>
      <c r="H3778" s="1">
        <v>0.3075</v>
      </c>
      <c r="I3778" s="1">
        <v>0.12479999999999999</v>
      </c>
      <c r="J3778" s="1">
        <v>0.33069999999999999</v>
      </c>
    </row>
    <row r="3779" spans="1:11">
      <c r="A3779" t="s">
        <v>199</v>
      </c>
      <c r="B3779">
        <v>54</v>
      </c>
      <c r="C3779" t="s">
        <v>201</v>
      </c>
      <c r="D3779">
        <v>569</v>
      </c>
      <c r="E3779" s="1">
        <v>0.37040000000000001</v>
      </c>
      <c r="F3779" s="1">
        <v>3.6999999999999998E-2</v>
      </c>
      <c r="G3779" s="1">
        <v>7.4099999999999999E-2</v>
      </c>
      <c r="H3779" s="1">
        <v>0.29630000000000001</v>
      </c>
      <c r="I3779" s="1">
        <v>9.2600000000000002E-2</v>
      </c>
      <c r="J3779" s="1">
        <v>0.12959999999999999</v>
      </c>
    </row>
    <row r="3780" spans="1:11">
      <c r="A3780" t="s">
        <v>199</v>
      </c>
      <c r="B3780">
        <v>49</v>
      </c>
      <c r="C3780" t="s">
        <v>202</v>
      </c>
      <c r="D3780">
        <v>569</v>
      </c>
      <c r="E3780" s="1">
        <v>0.4854</v>
      </c>
      <c r="G3780" s="1">
        <v>2.6499999999999999E-2</v>
      </c>
      <c r="H3780" s="1">
        <v>0.3463</v>
      </c>
      <c r="I3780" s="1">
        <v>6.1600000000000002E-2</v>
      </c>
      <c r="J3780" s="1">
        <v>8.0199999999999994E-2</v>
      </c>
    </row>
    <row r="3781" spans="1:11">
      <c r="A3781" t="s">
        <v>199</v>
      </c>
      <c r="B3781">
        <v>37</v>
      </c>
      <c r="C3781" t="s">
        <v>203</v>
      </c>
      <c r="D3781">
        <v>569</v>
      </c>
      <c r="E3781" s="1">
        <v>9.9199999999999997E-2</v>
      </c>
      <c r="G3781" s="1">
        <v>2.1100000000000001E-2</v>
      </c>
      <c r="H3781" s="1">
        <v>0.49769999999999998</v>
      </c>
      <c r="I3781" s="1">
        <v>7.5300000000000006E-2</v>
      </c>
      <c r="J3781" s="1">
        <v>0.30680000000000002</v>
      </c>
    </row>
    <row r="3782" spans="1:11">
      <c r="A3782" t="s">
        <v>209</v>
      </c>
      <c r="B3782">
        <v>57</v>
      </c>
      <c r="C3782" t="s">
        <v>210</v>
      </c>
      <c r="D3782">
        <v>569</v>
      </c>
      <c r="E3782" s="1">
        <v>0.4587</v>
      </c>
      <c r="F3782" s="1">
        <v>5.7799999999999997E-2</v>
      </c>
      <c r="G3782" s="1">
        <v>1.0999999999999999E-2</v>
      </c>
      <c r="H3782" s="1">
        <v>0.30990000000000001</v>
      </c>
      <c r="I3782" s="1">
        <v>6.8900000000000003E-2</v>
      </c>
      <c r="J3782" s="1">
        <v>9.3600000000000003E-2</v>
      </c>
    </row>
    <row r="3783" spans="1:11">
      <c r="A3783" t="s">
        <v>209</v>
      </c>
      <c r="B3783">
        <v>60</v>
      </c>
      <c r="C3783" t="s">
        <v>211</v>
      </c>
      <c r="D3783">
        <v>569</v>
      </c>
      <c r="E3783" s="1">
        <v>0.29449999999999998</v>
      </c>
      <c r="F3783" s="1">
        <v>2.06E-2</v>
      </c>
      <c r="G3783" s="1">
        <v>4.6600000000000003E-2</v>
      </c>
      <c r="H3783" s="1">
        <v>0.43159999999999998</v>
      </c>
      <c r="I3783" s="1">
        <v>0.1137</v>
      </c>
      <c r="J3783" s="1">
        <v>9.3100000000000002E-2</v>
      </c>
    </row>
    <row r="3784" spans="1:11">
      <c r="A3784" t="s">
        <v>209</v>
      </c>
      <c r="B3784">
        <v>46</v>
      </c>
      <c r="C3784" t="s">
        <v>212</v>
      </c>
      <c r="D3784">
        <v>569</v>
      </c>
      <c r="E3784" s="1">
        <v>0.37519999999999998</v>
      </c>
      <c r="H3784" s="1">
        <v>0.25130000000000002</v>
      </c>
      <c r="I3784" s="1">
        <v>0.20730000000000001</v>
      </c>
      <c r="J3784" s="1">
        <v>0.1661</v>
      </c>
    </row>
    <row r="3786" spans="1:11">
      <c r="A3786" t="s">
        <v>925</v>
      </c>
    </row>
    <row r="3787" spans="1:11">
      <c r="A3787" t="s">
        <v>214</v>
      </c>
      <c r="B3787" t="s">
        <v>189</v>
      </c>
      <c r="C3787" t="s">
        <v>195</v>
      </c>
      <c r="D3787" t="s">
        <v>190</v>
      </c>
      <c r="E3787" t="s">
        <v>196</v>
      </c>
      <c r="F3787" t="s">
        <v>866</v>
      </c>
      <c r="G3787" t="s">
        <v>228</v>
      </c>
      <c r="H3787" t="s">
        <v>867</v>
      </c>
      <c r="I3787" t="s">
        <v>868</v>
      </c>
      <c r="J3787" t="s">
        <v>869</v>
      </c>
      <c r="K3787" t="s">
        <v>870</v>
      </c>
    </row>
    <row r="3788" spans="1:11">
      <c r="A3788" t="s">
        <v>198</v>
      </c>
      <c r="B3788" t="s">
        <v>197</v>
      </c>
      <c r="C3788">
        <v>569</v>
      </c>
      <c r="D3788" t="s">
        <v>198</v>
      </c>
      <c r="E3788">
        <v>569</v>
      </c>
      <c r="F3788" s="1">
        <v>0.41870000000000002</v>
      </c>
      <c r="G3788" s="1">
        <v>1.24E-2</v>
      </c>
      <c r="H3788" s="1">
        <v>2.07E-2</v>
      </c>
      <c r="I3788" s="1">
        <v>0.34510000000000002</v>
      </c>
      <c r="J3788" s="1">
        <v>9.2600000000000002E-2</v>
      </c>
      <c r="K3788" s="1">
        <v>0.1105</v>
      </c>
    </row>
    <row r="3789" spans="1:11" s="26" customFormat="1">
      <c r="A3789" s="26" t="s">
        <v>235</v>
      </c>
      <c r="B3789" s="26" t="s">
        <v>204</v>
      </c>
      <c r="C3789" s="26">
        <v>29</v>
      </c>
      <c r="D3789" s="26" t="s">
        <v>208</v>
      </c>
      <c r="E3789" s="26">
        <v>569</v>
      </c>
      <c r="F3789" s="27">
        <v>0.44829999999999998</v>
      </c>
      <c r="G3789" s="27">
        <v>3.4500000000000003E-2</v>
      </c>
      <c r="I3789" s="27">
        <v>0.31030000000000002</v>
      </c>
      <c r="J3789" s="27">
        <v>0.13789999999999999</v>
      </c>
      <c r="K3789" s="27">
        <v>6.9000000000000006E-2</v>
      </c>
    </row>
    <row r="3790" spans="1:11" s="26" customFormat="1">
      <c r="A3790" s="26" t="s">
        <v>236</v>
      </c>
      <c r="B3790" s="26" t="s">
        <v>204</v>
      </c>
      <c r="C3790" s="26">
        <v>22</v>
      </c>
      <c r="D3790" s="26" t="s">
        <v>205</v>
      </c>
      <c r="E3790" s="26">
        <v>569</v>
      </c>
      <c r="F3790" s="27">
        <v>0.5968</v>
      </c>
      <c r="I3790" s="27">
        <v>0.2243</v>
      </c>
      <c r="J3790" s="27">
        <v>0.11849999999999999</v>
      </c>
      <c r="K3790" s="27">
        <v>6.0400000000000002E-2</v>
      </c>
    </row>
    <row r="3791" spans="1:11">
      <c r="A3791" t="s">
        <v>235</v>
      </c>
      <c r="B3791" t="s">
        <v>204</v>
      </c>
      <c r="C3791">
        <v>39</v>
      </c>
      <c r="D3791" t="s">
        <v>205</v>
      </c>
      <c r="E3791">
        <v>569</v>
      </c>
      <c r="F3791" s="1">
        <v>0.4657</v>
      </c>
      <c r="I3791" s="1">
        <v>0.44130000000000003</v>
      </c>
      <c r="J3791" s="1">
        <v>7.9000000000000008E-3</v>
      </c>
      <c r="K3791" s="1">
        <v>8.5099999999999995E-2</v>
      </c>
    </row>
    <row r="3792" spans="1:11" s="26" customFormat="1">
      <c r="A3792" s="26" t="s">
        <v>236</v>
      </c>
      <c r="B3792" s="26" t="s">
        <v>204</v>
      </c>
      <c r="C3792" s="26">
        <v>13</v>
      </c>
      <c r="D3792" s="26" t="s">
        <v>206</v>
      </c>
      <c r="E3792" s="26">
        <v>569</v>
      </c>
      <c r="F3792" s="27">
        <v>0.41310000000000002</v>
      </c>
      <c r="G3792" s="27">
        <v>6.6699999999999995E-2</v>
      </c>
      <c r="I3792" s="27">
        <v>0.38669999999999999</v>
      </c>
      <c r="J3792" s="27">
        <v>6.6699999999999995E-2</v>
      </c>
      <c r="K3792" s="27">
        <v>6.6699999999999995E-2</v>
      </c>
    </row>
    <row r="3793" spans="1:11">
      <c r="A3793" t="s">
        <v>235</v>
      </c>
      <c r="B3793" t="s">
        <v>204</v>
      </c>
      <c r="C3793">
        <v>31</v>
      </c>
      <c r="D3793" t="s">
        <v>206</v>
      </c>
      <c r="E3793">
        <v>569</v>
      </c>
      <c r="F3793" s="1">
        <v>0.57289999999999996</v>
      </c>
      <c r="H3793" s="1">
        <v>2.52E-2</v>
      </c>
      <c r="I3793" s="1">
        <v>0.27129999999999999</v>
      </c>
      <c r="J3793" s="1">
        <v>9.5500000000000002E-2</v>
      </c>
      <c r="K3793" s="1">
        <v>3.5200000000000002E-2</v>
      </c>
    </row>
    <row r="3794" spans="1:11">
      <c r="A3794" t="s">
        <v>236</v>
      </c>
      <c r="B3794" t="s">
        <v>204</v>
      </c>
      <c r="C3794">
        <v>46</v>
      </c>
      <c r="D3794" t="s">
        <v>207</v>
      </c>
      <c r="E3794">
        <v>569</v>
      </c>
      <c r="F3794" s="1">
        <v>0.1845</v>
      </c>
      <c r="G3794" s="1">
        <v>1.6299999999999999E-2</v>
      </c>
      <c r="I3794" s="1">
        <v>0.27789999999999998</v>
      </c>
      <c r="J3794" s="1">
        <v>0.40699999999999997</v>
      </c>
      <c r="K3794" s="1">
        <v>0.1142</v>
      </c>
    </row>
    <row r="3795" spans="1:11">
      <c r="A3795" t="s">
        <v>235</v>
      </c>
      <c r="B3795" t="s">
        <v>204</v>
      </c>
      <c r="C3795">
        <v>30</v>
      </c>
      <c r="D3795" t="s">
        <v>207</v>
      </c>
      <c r="E3795">
        <v>569</v>
      </c>
      <c r="F3795" s="1">
        <v>0.58720000000000006</v>
      </c>
      <c r="G3795" s="1">
        <v>1.4999999999999999E-2</v>
      </c>
      <c r="I3795" s="1">
        <v>0.33989999999999998</v>
      </c>
      <c r="J3795" s="1">
        <v>1.52E-2</v>
      </c>
      <c r="K3795" s="1">
        <v>4.2700000000000002E-2</v>
      </c>
    </row>
    <row r="3796" spans="1:11" s="26" customFormat="1">
      <c r="A3796" s="26" t="s">
        <v>236</v>
      </c>
      <c r="B3796" s="26" t="s">
        <v>204</v>
      </c>
      <c r="C3796" s="26">
        <v>6</v>
      </c>
      <c r="D3796" s="26" t="s">
        <v>208</v>
      </c>
      <c r="E3796" s="26">
        <v>569</v>
      </c>
      <c r="F3796" s="27">
        <v>0.16669999999999999</v>
      </c>
      <c r="I3796" s="27">
        <v>0.5</v>
      </c>
      <c r="J3796" s="27">
        <v>0.16669999999999999</v>
      </c>
      <c r="K3796" s="27">
        <v>0.16669999999999999</v>
      </c>
    </row>
    <row r="3797" spans="1:11" s="26" customFormat="1">
      <c r="A3797" s="26" t="s">
        <v>235</v>
      </c>
      <c r="B3797" s="26" t="s">
        <v>199</v>
      </c>
      <c r="C3797" s="26">
        <v>19</v>
      </c>
      <c r="D3797" s="26" t="s">
        <v>203</v>
      </c>
      <c r="E3797" s="26">
        <v>569</v>
      </c>
      <c r="F3797" s="27">
        <v>0.1263</v>
      </c>
      <c r="I3797" s="27">
        <v>0.43330000000000002</v>
      </c>
      <c r="J3797" s="27">
        <v>6.6000000000000003E-2</v>
      </c>
      <c r="K3797" s="27">
        <v>0.3745</v>
      </c>
    </row>
    <row r="3798" spans="1:11" s="26" customFormat="1">
      <c r="A3798" s="26" t="s">
        <v>236</v>
      </c>
      <c r="B3798" s="26" t="s">
        <v>199</v>
      </c>
      <c r="C3798" s="26">
        <v>18</v>
      </c>
      <c r="D3798" s="26" t="s">
        <v>203</v>
      </c>
      <c r="E3798" s="26">
        <v>569</v>
      </c>
      <c r="F3798" s="27">
        <v>5.0999999999999997E-2</v>
      </c>
      <c r="H3798" s="27">
        <v>5.8700000000000002E-2</v>
      </c>
      <c r="I3798" s="27">
        <v>0.61229999999999996</v>
      </c>
      <c r="J3798" s="27">
        <v>9.1800000000000007E-2</v>
      </c>
      <c r="K3798" s="27">
        <v>0.1862</v>
      </c>
    </row>
    <row r="3799" spans="1:11">
      <c r="A3799" t="s">
        <v>235</v>
      </c>
      <c r="B3799" t="s">
        <v>199</v>
      </c>
      <c r="C3799">
        <v>31</v>
      </c>
      <c r="D3799" t="s">
        <v>202</v>
      </c>
      <c r="E3799">
        <v>569</v>
      </c>
      <c r="F3799" s="1">
        <v>0.42299999999999999</v>
      </c>
      <c r="I3799" s="1">
        <v>0.37640000000000001</v>
      </c>
      <c r="J3799" s="1">
        <v>0.1072</v>
      </c>
      <c r="K3799" s="1">
        <v>9.3399999999999997E-2</v>
      </c>
    </row>
    <row r="3800" spans="1:11" s="26" customFormat="1">
      <c r="A3800" s="26" t="s">
        <v>236</v>
      </c>
      <c r="B3800" s="26" t="s">
        <v>199</v>
      </c>
      <c r="C3800" s="26">
        <v>16</v>
      </c>
      <c r="D3800" s="26" t="s">
        <v>200</v>
      </c>
      <c r="E3800" s="26">
        <v>569</v>
      </c>
      <c r="F3800" s="27">
        <v>0.1825</v>
      </c>
      <c r="H3800" s="27">
        <v>4.7999999999999996E-3</v>
      </c>
      <c r="I3800" s="27">
        <v>0.30790000000000001</v>
      </c>
      <c r="J3800" s="27">
        <v>6.0400000000000002E-2</v>
      </c>
      <c r="K3800" s="27">
        <v>0.44429999999999997</v>
      </c>
    </row>
    <row r="3801" spans="1:11">
      <c r="A3801" t="s">
        <v>235</v>
      </c>
      <c r="B3801" t="s">
        <v>199</v>
      </c>
      <c r="C3801">
        <v>30</v>
      </c>
      <c r="D3801" t="s">
        <v>200</v>
      </c>
      <c r="E3801">
        <v>569</v>
      </c>
      <c r="F3801" s="1">
        <v>0.27129999999999999</v>
      </c>
      <c r="G3801" s="1">
        <v>2.41E-2</v>
      </c>
      <c r="H3801" s="1">
        <v>6.0000000000000001E-3</v>
      </c>
      <c r="I3801" s="1">
        <v>0.30270000000000002</v>
      </c>
      <c r="J3801" s="1">
        <v>0.20699999999999999</v>
      </c>
      <c r="K3801" s="1">
        <v>0.18890000000000001</v>
      </c>
    </row>
    <row r="3802" spans="1:11" s="26" customFormat="1">
      <c r="A3802" s="26" t="s">
        <v>236</v>
      </c>
      <c r="B3802" s="26" t="s">
        <v>199</v>
      </c>
      <c r="C3802" s="26">
        <v>17</v>
      </c>
      <c r="D3802" s="26" t="s">
        <v>202</v>
      </c>
      <c r="E3802" s="26">
        <v>569</v>
      </c>
      <c r="F3802" s="27">
        <v>0.54110000000000003</v>
      </c>
      <c r="H3802" s="27">
        <v>6.6500000000000004E-2</v>
      </c>
      <c r="I3802" s="27">
        <v>0.32590000000000002</v>
      </c>
      <c r="K3802" s="27">
        <v>6.6500000000000004E-2</v>
      </c>
    </row>
    <row r="3803" spans="1:11">
      <c r="A3803" t="s">
        <v>235</v>
      </c>
      <c r="B3803" t="s">
        <v>199</v>
      </c>
      <c r="C3803">
        <v>54</v>
      </c>
      <c r="D3803" t="s">
        <v>201</v>
      </c>
      <c r="E3803">
        <v>569</v>
      </c>
      <c r="F3803" s="1">
        <v>0.37040000000000001</v>
      </c>
      <c r="G3803" s="1">
        <v>3.6999999999999998E-2</v>
      </c>
      <c r="H3803" s="1">
        <v>7.4099999999999999E-2</v>
      </c>
      <c r="I3803" s="1">
        <v>0.29630000000000001</v>
      </c>
      <c r="J3803" s="1">
        <v>9.2600000000000002E-2</v>
      </c>
      <c r="K3803" s="1">
        <v>0.12959999999999999</v>
      </c>
    </row>
    <row r="3804" spans="1:11" s="26" customFormat="1">
      <c r="A3804" s="26" t="s">
        <v>236</v>
      </c>
      <c r="B3804" s="26" t="s">
        <v>209</v>
      </c>
      <c r="C3804" s="26">
        <v>21</v>
      </c>
      <c r="D3804" s="26" t="s">
        <v>211</v>
      </c>
      <c r="E3804" s="26">
        <v>569</v>
      </c>
      <c r="F3804" s="27">
        <v>0.16300000000000001</v>
      </c>
      <c r="I3804" s="27">
        <v>0.58150000000000002</v>
      </c>
      <c r="J3804" s="27">
        <v>0.12770000000000001</v>
      </c>
      <c r="K3804" s="27">
        <v>0.12770000000000001</v>
      </c>
    </row>
    <row r="3805" spans="1:11">
      <c r="A3805" t="s">
        <v>235</v>
      </c>
      <c r="B3805" t="s">
        <v>209</v>
      </c>
      <c r="C3805">
        <v>37</v>
      </c>
      <c r="D3805" t="s">
        <v>211</v>
      </c>
      <c r="E3805">
        <v>569</v>
      </c>
      <c r="F3805" s="1">
        <v>0.33210000000000001</v>
      </c>
      <c r="G3805" s="1">
        <v>3.0499999999999999E-2</v>
      </c>
      <c r="H3805" s="1">
        <v>3.0499999999999999E-2</v>
      </c>
      <c r="I3805" s="1">
        <v>0.40400000000000003</v>
      </c>
      <c r="J3805" s="1">
        <v>0.1167</v>
      </c>
      <c r="K3805" s="1">
        <v>8.6199999999999999E-2</v>
      </c>
    </row>
    <row r="3806" spans="1:11">
      <c r="A3806" t="s">
        <v>235</v>
      </c>
      <c r="B3806" t="s">
        <v>209</v>
      </c>
      <c r="C3806">
        <v>38</v>
      </c>
      <c r="D3806" t="s">
        <v>212</v>
      </c>
      <c r="E3806">
        <v>569</v>
      </c>
      <c r="F3806" s="1">
        <v>0.38440000000000002</v>
      </c>
      <c r="I3806" s="1">
        <v>0.2301</v>
      </c>
      <c r="J3806" s="1">
        <v>0.23</v>
      </c>
      <c r="K3806" s="1">
        <v>0.15540000000000001</v>
      </c>
    </row>
    <row r="3807" spans="1:11" s="26" customFormat="1">
      <c r="A3807" s="26" t="s">
        <v>236</v>
      </c>
      <c r="B3807" s="26" t="s">
        <v>209</v>
      </c>
      <c r="C3807" s="26">
        <v>8</v>
      </c>
      <c r="D3807" s="26" t="s">
        <v>212</v>
      </c>
      <c r="E3807" s="26">
        <v>569</v>
      </c>
      <c r="F3807" s="27">
        <v>0.29120000000000001</v>
      </c>
      <c r="I3807" s="27">
        <v>0.44500000000000001</v>
      </c>
      <c r="K3807" s="27">
        <v>0.26379999999999998</v>
      </c>
    </row>
    <row r="3808" spans="1:11" s="26" customFormat="1">
      <c r="A3808" s="26" t="s">
        <v>235</v>
      </c>
      <c r="B3808" s="26" t="s">
        <v>209</v>
      </c>
      <c r="C3808" s="26">
        <v>22</v>
      </c>
      <c r="D3808" s="26" t="s">
        <v>210</v>
      </c>
      <c r="E3808" s="26">
        <v>569</v>
      </c>
      <c r="F3808" s="27">
        <v>0.48770000000000002</v>
      </c>
      <c r="G3808" s="27">
        <v>9.3100000000000002E-2</v>
      </c>
      <c r="I3808" s="27">
        <v>0.27939999999999998</v>
      </c>
      <c r="J3808" s="27">
        <v>4.6600000000000003E-2</v>
      </c>
      <c r="K3808" s="27">
        <v>9.3100000000000002E-2</v>
      </c>
    </row>
    <row r="3809" spans="1:18">
      <c r="A3809" t="s">
        <v>236</v>
      </c>
      <c r="B3809" t="s">
        <v>209</v>
      </c>
      <c r="C3809">
        <v>34</v>
      </c>
      <c r="D3809" t="s">
        <v>210</v>
      </c>
      <c r="E3809">
        <v>569</v>
      </c>
      <c r="F3809" s="1">
        <v>0.43930000000000002</v>
      </c>
      <c r="G3809" s="1">
        <v>2.2700000000000001E-2</v>
      </c>
      <c r="H3809" s="1">
        <v>2.2700000000000001E-2</v>
      </c>
      <c r="I3809" s="1">
        <v>0.32579999999999998</v>
      </c>
      <c r="J3809" s="1">
        <v>9.35E-2</v>
      </c>
      <c r="K3809" s="1">
        <v>9.6100000000000005E-2</v>
      </c>
    </row>
    <row r="3811" spans="1:18">
      <c r="A3811" t="s">
        <v>926</v>
      </c>
    </row>
    <row r="3812" spans="1:18">
      <c r="A3812" t="s">
        <v>189</v>
      </c>
      <c r="B3812" t="s">
        <v>195</v>
      </c>
      <c r="C3812" t="s">
        <v>190</v>
      </c>
      <c r="D3812" t="s">
        <v>196</v>
      </c>
      <c r="E3812" t="s">
        <v>927</v>
      </c>
      <c r="F3812" t="s">
        <v>928</v>
      </c>
      <c r="G3812" t="s">
        <v>929</v>
      </c>
      <c r="H3812" t="s">
        <v>930</v>
      </c>
      <c r="I3812" t="s">
        <v>931</v>
      </c>
      <c r="J3812" t="s">
        <v>932</v>
      </c>
      <c r="K3812" t="s">
        <v>933</v>
      </c>
      <c r="L3812" t="s">
        <v>934</v>
      </c>
      <c r="M3812" t="s">
        <v>935</v>
      </c>
      <c r="N3812" t="s">
        <v>936</v>
      </c>
      <c r="O3812" t="s">
        <v>937</v>
      </c>
      <c r="P3812" t="s">
        <v>938</v>
      </c>
      <c r="Q3812" t="s">
        <v>939</v>
      </c>
      <c r="R3812" t="s">
        <v>940</v>
      </c>
    </row>
    <row r="3813" spans="1:18">
      <c r="A3813" t="s">
        <v>197</v>
      </c>
      <c r="B3813">
        <v>968</v>
      </c>
      <c r="C3813" t="s">
        <v>198</v>
      </c>
      <c r="D3813">
        <v>968</v>
      </c>
      <c r="E3813" s="1">
        <v>0.28179999999999999</v>
      </c>
      <c r="F3813" s="1">
        <v>2.8999999999999998E-3</v>
      </c>
      <c r="G3813" s="1">
        <v>1.9E-3</v>
      </c>
      <c r="H3813" s="1">
        <v>1.4E-3</v>
      </c>
      <c r="I3813" s="1">
        <v>9.9199999999999997E-2</v>
      </c>
      <c r="J3813" s="1">
        <v>4.2799999999999998E-2</v>
      </c>
      <c r="K3813" s="1">
        <v>8.6E-3</v>
      </c>
      <c r="L3813" s="1">
        <v>4.0000000000000002E-4</v>
      </c>
      <c r="M3813" s="1">
        <v>0.23680000000000001</v>
      </c>
      <c r="N3813" s="1">
        <v>4.8999999999999998E-3</v>
      </c>
      <c r="O3813" s="1">
        <v>2.0500000000000001E-2</v>
      </c>
      <c r="P3813" s="1">
        <v>4.0000000000000002E-4</v>
      </c>
      <c r="Q3813" s="1">
        <v>1.4500000000000001E-2</v>
      </c>
      <c r="R3813" s="1">
        <v>0.28399999999999997</v>
      </c>
    </row>
    <row r="3814" spans="1:18">
      <c r="A3814" t="s">
        <v>204</v>
      </c>
      <c r="B3814">
        <v>91</v>
      </c>
      <c r="C3814" t="s">
        <v>205</v>
      </c>
      <c r="D3814">
        <v>968</v>
      </c>
      <c r="E3814" s="1">
        <v>0.2056</v>
      </c>
      <c r="F3814" s="1">
        <v>8.5000000000000006E-3</v>
      </c>
      <c r="G3814" s="1">
        <v>3.2000000000000002E-3</v>
      </c>
      <c r="I3814" s="1">
        <v>9.9199999999999997E-2</v>
      </c>
      <c r="J3814" s="1">
        <v>1.2E-2</v>
      </c>
      <c r="K3814" s="1">
        <v>4.8999999999999998E-3</v>
      </c>
      <c r="M3814" s="1">
        <v>0.21729999999999999</v>
      </c>
      <c r="O3814" s="1">
        <v>4.2599999999999999E-2</v>
      </c>
      <c r="Q3814" s="1">
        <v>2.3999999999999998E-3</v>
      </c>
      <c r="R3814" s="1">
        <v>0.40439999999999998</v>
      </c>
    </row>
    <row r="3815" spans="1:18">
      <c r="A3815" t="s">
        <v>204</v>
      </c>
      <c r="B3815">
        <v>72</v>
      </c>
      <c r="C3815" t="s">
        <v>206</v>
      </c>
      <c r="D3815">
        <v>968</v>
      </c>
      <c r="E3815" s="1">
        <v>0.39989999999999998</v>
      </c>
      <c r="H3815" s="1">
        <v>2.3300000000000001E-2</v>
      </c>
      <c r="I3815" s="1">
        <v>7.9100000000000004E-2</v>
      </c>
      <c r="K3815" s="1">
        <v>6.2799999999999995E-2</v>
      </c>
      <c r="M3815" s="1">
        <v>0.13270000000000001</v>
      </c>
      <c r="O3815" s="1">
        <v>6.0400000000000002E-2</v>
      </c>
      <c r="Q3815" s="1">
        <v>1.1599999999999999E-2</v>
      </c>
      <c r="R3815" s="1">
        <v>0.2301</v>
      </c>
    </row>
    <row r="3816" spans="1:18">
      <c r="A3816" t="s">
        <v>204</v>
      </c>
      <c r="B3816">
        <v>131</v>
      </c>
      <c r="C3816" t="s">
        <v>207</v>
      </c>
      <c r="D3816">
        <v>968</v>
      </c>
      <c r="E3816" s="1">
        <v>0.22720000000000001</v>
      </c>
      <c r="F3816" s="1">
        <v>2.5000000000000001E-3</v>
      </c>
      <c r="I3816" s="1">
        <v>0.13300000000000001</v>
      </c>
      <c r="K3816" s="1">
        <v>2.3E-3</v>
      </c>
      <c r="L3816" s="1">
        <v>2.5000000000000001E-3</v>
      </c>
      <c r="M3816" s="1">
        <v>0.17080000000000001</v>
      </c>
      <c r="O3816" s="1">
        <v>1.35E-2</v>
      </c>
      <c r="P3816" s="1">
        <v>2.5000000000000001E-3</v>
      </c>
      <c r="Q3816" s="1">
        <v>1.4200000000000001E-2</v>
      </c>
      <c r="R3816" s="1">
        <v>0.43149999999999999</v>
      </c>
    </row>
    <row r="3817" spans="1:18">
      <c r="A3817" t="s">
        <v>204</v>
      </c>
      <c r="B3817">
        <v>74</v>
      </c>
      <c r="C3817" t="s">
        <v>208</v>
      </c>
      <c r="D3817">
        <v>968</v>
      </c>
      <c r="E3817" s="1">
        <v>0.5</v>
      </c>
      <c r="I3817" s="1">
        <v>4.0500000000000001E-2</v>
      </c>
      <c r="J3817" s="1">
        <v>1.35E-2</v>
      </c>
      <c r="M3817" s="1">
        <v>0.35139999999999999</v>
      </c>
      <c r="O3817" s="1">
        <v>1.35E-2</v>
      </c>
      <c r="R3817" s="1">
        <v>8.1100000000000005E-2</v>
      </c>
    </row>
    <row r="3818" spans="1:18">
      <c r="A3818" t="s">
        <v>199</v>
      </c>
      <c r="B3818">
        <v>73</v>
      </c>
      <c r="C3818" t="s">
        <v>200</v>
      </c>
      <c r="D3818">
        <v>968</v>
      </c>
      <c r="E3818" s="1">
        <v>9.2799999999999994E-2</v>
      </c>
      <c r="G3818" s="1">
        <v>4.6399999999999997E-2</v>
      </c>
      <c r="I3818" s="1">
        <v>0.31630000000000003</v>
      </c>
      <c r="J3818" s="1">
        <v>1.5299999999999999E-2</v>
      </c>
      <c r="K3818" s="1">
        <v>4.7000000000000002E-3</v>
      </c>
      <c r="M3818" s="1">
        <v>0.4345</v>
      </c>
      <c r="Q3818" s="1">
        <v>0.09</v>
      </c>
    </row>
    <row r="3819" spans="1:18">
      <c r="A3819" t="s">
        <v>199</v>
      </c>
      <c r="B3819">
        <v>96</v>
      </c>
      <c r="C3819" t="s">
        <v>201</v>
      </c>
      <c r="D3819">
        <v>968</v>
      </c>
      <c r="E3819" s="1">
        <v>0.38540000000000002</v>
      </c>
      <c r="I3819" s="1">
        <v>1.04E-2</v>
      </c>
      <c r="J3819" s="1">
        <v>6.25E-2</v>
      </c>
      <c r="K3819" s="1">
        <v>1.04E-2</v>
      </c>
      <c r="M3819" s="1">
        <v>0.17710000000000001</v>
      </c>
      <c r="N3819" s="1">
        <v>1.04E-2</v>
      </c>
      <c r="R3819" s="1">
        <v>0.34379999999999999</v>
      </c>
    </row>
    <row r="3820" spans="1:18">
      <c r="A3820" t="s">
        <v>199</v>
      </c>
      <c r="B3820">
        <v>98</v>
      </c>
      <c r="C3820" t="s">
        <v>202</v>
      </c>
      <c r="D3820">
        <v>968</v>
      </c>
      <c r="E3820" s="1">
        <v>0.28960000000000002</v>
      </c>
      <c r="I3820" s="1">
        <v>0.17599999999999999</v>
      </c>
      <c r="J3820" s="1">
        <v>1.78E-2</v>
      </c>
      <c r="K3820" s="1">
        <v>1.35E-2</v>
      </c>
      <c r="M3820" s="1">
        <v>0.25650000000000001</v>
      </c>
      <c r="N3820" s="1">
        <v>8.5000000000000006E-3</v>
      </c>
      <c r="Q3820" s="1">
        <v>2.5499999999999998E-2</v>
      </c>
      <c r="R3820" s="1">
        <v>0.21240000000000001</v>
      </c>
    </row>
    <row r="3821" spans="1:18">
      <c r="A3821" t="s">
        <v>199</v>
      </c>
      <c r="B3821">
        <v>77</v>
      </c>
      <c r="C3821" t="s">
        <v>203</v>
      </c>
      <c r="D3821">
        <v>968</v>
      </c>
      <c r="E3821" s="1">
        <v>0.25359999999999999</v>
      </c>
      <c r="I3821" s="1">
        <v>0.19120000000000001</v>
      </c>
      <c r="K3821" s="1">
        <v>7.4000000000000003E-3</v>
      </c>
      <c r="M3821" s="1">
        <v>0.4052</v>
      </c>
      <c r="O3821" s="1">
        <v>7.4000000000000003E-3</v>
      </c>
      <c r="Q3821" s="1">
        <v>8.14E-2</v>
      </c>
      <c r="R3821" s="1">
        <v>5.3699999999999998E-2</v>
      </c>
    </row>
    <row r="3822" spans="1:18">
      <c r="A3822" t="s">
        <v>209</v>
      </c>
      <c r="B3822">
        <v>74</v>
      </c>
      <c r="C3822" t="s">
        <v>210</v>
      </c>
      <c r="D3822">
        <v>968</v>
      </c>
      <c r="E3822" s="1">
        <v>0.434</v>
      </c>
      <c r="I3822" s="1">
        <v>0.1051</v>
      </c>
      <c r="J3822" s="1">
        <v>8.3000000000000001E-3</v>
      </c>
      <c r="K3822" s="1">
        <v>3.3399999999999999E-2</v>
      </c>
      <c r="M3822" s="1">
        <v>0.17480000000000001</v>
      </c>
      <c r="O3822" s="1">
        <v>0.1321</v>
      </c>
      <c r="Q3822" s="1">
        <v>1.67E-2</v>
      </c>
      <c r="R3822" s="1">
        <v>9.5699999999999993E-2</v>
      </c>
    </row>
    <row r="3823" spans="1:18">
      <c r="A3823" t="s">
        <v>209</v>
      </c>
      <c r="B3823">
        <v>97</v>
      </c>
      <c r="C3823" t="s">
        <v>211</v>
      </c>
      <c r="D3823">
        <v>968</v>
      </c>
      <c r="E3823" s="1">
        <v>0.14069999999999999</v>
      </c>
      <c r="F3823" s="1">
        <v>1.6299999999999999E-2</v>
      </c>
      <c r="H3823" s="1">
        <v>2.4E-2</v>
      </c>
      <c r="I3823" s="1">
        <v>0.1726</v>
      </c>
      <c r="J3823" s="1">
        <v>4.4499999999999998E-2</v>
      </c>
      <c r="K3823" s="1">
        <v>4.0300000000000002E-2</v>
      </c>
      <c r="M3823" s="1">
        <v>0.22900000000000001</v>
      </c>
      <c r="N3823" s="1">
        <v>4.1999999999999997E-3</v>
      </c>
      <c r="O3823" s="1">
        <v>0.1467</v>
      </c>
      <c r="Q3823" s="1">
        <v>3.2500000000000001E-2</v>
      </c>
      <c r="R3823" s="1">
        <v>0.1492</v>
      </c>
    </row>
    <row r="3824" spans="1:18">
      <c r="A3824" t="s">
        <v>209</v>
      </c>
      <c r="B3824">
        <v>85</v>
      </c>
      <c r="C3824" t="s">
        <v>212</v>
      </c>
      <c r="D3824">
        <v>968</v>
      </c>
      <c r="E3824" s="1">
        <v>0.27829999999999999</v>
      </c>
      <c r="I3824" s="1">
        <v>2.1700000000000001E-2</v>
      </c>
      <c r="J3824" s="1">
        <v>0.2072</v>
      </c>
      <c r="M3824" s="1">
        <v>0.28989999999999999</v>
      </c>
      <c r="N3824" s="1">
        <v>1.34E-2</v>
      </c>
      <c r="Q3824" s="1">
        <v>7.4000000000000003E-3</v>
      </c>
      <c r="R3824" s="1">
        <v>0.182</v>
      </c>
    </row>
    <row r="3826" spans="1:19">
      <c r="A3826" t="s">
        <v>941</v>
      </c>
    </row>
    <row r="3827" spans="1:19">
      <c r="A3827" t="s">
        <v>214</v>
      </c>
      <c r="B3827" t="s">
        <v>189</v>
      </c>
      <c r="C3827" t="s">
        <v>195</v>
      </c>
      <c r="D3827" t="s">
        <v>190</v>
      </c>
      <c r="E3827" t="s">
        <v>196</v>
      </c>
      <c r="F3827" t="s">
        <v>927</v>
      </c>
      <c r="G3827" t="s">
        <v>928</v>
      </c>
      <c r="H3827" t="s">
        <v>929</v>
      </c>
      <c r="I3827" t="s">
        <v>930</v>
      </c>
      <c r="J3827" t="s">
        <v>931</v>
      </c>
      <c r="K3827" t="s">
        <v>932</v>
      </c>
      <c r="L3827" t="s">
        <v>933</v>
      </c>
      <c r="M3827" t="s">
        <v>934</v>
      </c>
      <c r="N3827" t="s">
        <v>935</v>
      </c>
      <c r="O3827" t="s">
        <v>936</v>
      </c>
      <c r="P3827" t="s">
        <v>937</v>
      </c>
      <c r="Q3827" t="s">
        <v>938</v>
      </c>
      <c r="R3827" t="s">
        <v>939</v>
      </c>
      <c r="S3827" t="s">
        <v>940</v>
      </c>
    </row>
    <row r="3828" spans="1:19">
      <c r="A3828" t="s">
        <v>198</v>
      </c>
      <c r="B3828" t="s">
        <v>197</v>
      </c>
      <c r="C3828">
        <v>968</v>
      </c>
      <c r="D3828" t="s">
        <v>198</v>
      </c>
      <c r="E3828">
        <v>968</v>
      </c>
      <c r="F3828" s="1">
        <v>0.28179999999999999</v>
      </c>
      <c r="G3828" s="1">
        <v>2.8999999999999998E-3</v>
      </c>
      <c r="H3828" s="1">
        <v>1.9E-3</v>
      </c>
      <c r="I3828" s="1">
        <v>1.4E-3</v>
      </c>
      <c r="J3828" s="1">
        <v>9.9199999999999997E-2</v>
      </c>
      <c r="K3828" s="1">
        <v>4.2799999999999998E-2</v>
      </c>
      <c r="L3828" s="1">
        <v>8.6E-3</v>
      </c>
      <c r="M3828" s="1">
        <v>4.0000000000000002E-4</v>
      </c>
      <c r="N3828" s="1">
        <v>0.23680000000000001</v>
      </c>
      <c r="O3828" s="1">
        <v>4.8999999999999998E-3</v>
      </c>
      <c r="P3828" s="1">
        <v>2.0500000000000001E-2</v>
      </c>
      <c r="Q3828" s="1">
        <v>4.0000000000000002E-4</v>
      </c>
      <c r="R3828" s="1">
        <v>1.4500000000000001E-2</v>
      </c>
      <c r="S3828" s="1">
        <v>0.28399999999999997</v>
      </c>
    </row>
    <row r="3829" spans="1:19">
      <c r="A3829" t="s">
        <v>235</v>
      </c>
      <c r="B3829" t="s">
        <v>204</v>
      </c>
      <c r="C3829">
        <v>63</v>
      </c>
      <c r="D3829" t="s">
        <v>208</v>
      </c>
      <c r="E3829">
        <v>968</v>
      </c>
      <c r="F3829" s="1">
        <v>0.50790000000000002</v>
      </c>
      <c r="K3829" s="1">
        <v>1.5900000000000001E-2</v>
      </c>
      <c r="N3829" s="1">
        <v>0.38100000000000001</v>
      </c>
      <c r="S3829" s="1">
        <v>9.5200000000000007E-2</v>
      </c>
    </row>
    <row r="3830" spans="1:19">
      <c r="A3830" t="s">
        <v>236</v>
      </c>
      <c r="B3830" t="s">
        <v>204</v>
      </c>
      <c r="C3830">
        <v>32</v>
      </c>
      <c r="D3830" t="s">
        <v>205</v>
      </c>
      <c r="E3830">
        <v>968</v>
      </c>
      <c r="F3830" s="1">
        <v>0.25629999999999997</v>
      </c>
      <c r="G3830" s="1">
        <v>4.7600000000000003E-2</v>
      </c>
      <c r="J3830" s="1">
        <v>0.17030000000000001</v>
      </c>
      <c r="L3830" s="1">
        <v>1.37E-2</v>
      </c>
      <c r="N3830" s="1">
        <v>0.25409999999999999</v>
      </c>
      <c r="P3830" s="1">
        <v>0.154</v>
      </c>
      <c r="S3830" s="1">
        <v>0.104</v>
      </c>
    </row>
    <row r="3831" spans="1:19">
      <c r="A3831" t="s">
        <v>235</v>
      </c>
      <c r="B3831" t="s">
        <v>204</v>
      </c>
      <c r="C3831">
        <v>58</v>
      </c>
      <c r="D3831" t="s">
        <v>205</v>
      </c>
      <c r="E3831">
        <v>968</v>
      </c>
      <c r="F3831" s="1">
        <v>0.19520000000000001</v>
      </c>
      <c r="H3831" s="1">
        <v>3.8999999999999998E-3</v>
      </c>
      <c r="J3831" s="1">
        <v>8.4099999999999994E-2</v>
      </c>
      <c r="K3831" s="1">
        <v>1.46E-2</v>
      </c>
      <c r="L3831" s="1">
        <v>3.0000000000000001E-3</v>
      </c>
      <c r="N3831" s="1">
        <v>0.21</v>
      </c>
      <c r="P3831" s="1">
        <v>1.8499999999999999E-2</v>
      </c>
      <c r="S3831" s="1">
        <v>0.4708</v>
      </c>
    </row>
    <row r="3832" spans="1:19" s="26" customFormat="1">
      <c r="A3832" s="26" t="s">
        <v>236</v>
      </c>
      <c r="B3832" s="26" t="s">
        <v>204</v>
      </c>
      <c r="C3832" s="26">
        <v>21</v>
      </c>
      <c r="D3832" s="26" t="s">
        <v>206</v>
      </c>
      <c r="E3832" s="26">
        <v>968</v>
      </c>
      <c r="F3832" s="27">
        <v>0.43580000000000002</v>
      </c>
      <c r="J3832" s="27">
        <v>0.1283</v>
      </c>
      <c r="L3832" s="27">
        <v>8.5500000000000007E-2</v>
      </c>
      <c r="N3832" s="27">
        <v>8.5500000000000007E-2</v>
      </c>
      <c r="P3832" s="27">
        <v>5.9700000000000003E-2</v>
      </c>
      <c r="S3832" s="27">
        <v>0.20499999999999999</v>
      </c>
    </row>
    <row r="3833" spans="1:19">
      <c r="A3833" t="s">
        <v>235</v>
      </c>
      <c r="B3833" t="s">
        <v>204</v>
      </c>
      <c r="C3833">
        <v>47</v>
      </c>
      <c r="D3833" t="s">
        <v>206</v>
      </c>
      <c r="E3833">
        <v>968</v>
      </c>
      <c r="F3833" s="1">
        <v>0.39850000000000002</v>
      </c>
      <c r="I3833" s="1">
        <v>3.44E-2</v>
      </c>
      <c r="J3833" s="1">
        <v>6.5299999999999997E-2</v>
      </c>
      <c r="L3833" s="1">
        <v>5.8500000000000003E-2</v>
      </c>
      <c r="N3833" s="1">
        <v>0.14449999999999999</v>
      </c>
      <c r="P3833" s="1">
        <v>6.5299999999999997E-2</v>
      </c>
      <c r="S3833" s="1">
        <v>0.23350000000000001</v>
      </c>
    </row>
    <row r="3834" spans="1:19">
      <c r="A3834" t="s">
        <v>236</v>
      </c>
      <c r="B3834" t="s">
        <v>204</v>
      </c>
      <c r="C3834">
        <v>81</v>
      </c>
      <c r="D3834" t="s">
        <v>207</v>
      </c>
      <c r="E3834">
        <v>968</v>
      </c>
      <c r="F3834" s="1">
        <v>0.29870000000000002</v>
      </c>
      <c r="G3834" s="1">
        <v>6.1000000000000004E-3</v>
      </c>
      <c r="J3834" s="1">
        <v>0.2949</v>
      </c>
      <c r="L3834" s="1">
        <v>5.7000000000000002E-3</v>
      </c>
      <c r="N3834" s="1">
        <v>0.2024</v>
      </c>
      <c r="P3834" s="1">
        <v>3.3300000000000003E-2</v>
      </c>
      <c r="Q3834" s="1">
        <v>6.1000000000000004E-3</v>
      </c>
      <c r="R3834" s="1">
        <v>2.6700000000000002E-2</v>
      </c>
      <c r="S3834" s="1">
        <v>0.126</v>
      </c>
    </row>
    <row r="3835" spans="1:19">
      <c r="A3835" t="s">
        <v>235</v>
      </c>
      <c r="B3835" t="s">
        <v>204</v>
      </c>
      <c r="C3835">
        <v>45</v>
      </c>
      <c r="D3835" t="s">
        <v>207</v>
      </c>
      <c r="E3835">
        <v>968</v>
      </c>
      <c r="F3835" s="1">
        <v>0.1825</v>
      </c>
      <c r="J3835" s="1">
        <v>8.3000000000000001E-3</v>
      </c>
      <c r="M3835" s="1">
        <v>4.3E-3</v>
      </c>
      <c r="N3835" s="1">
        <v>0.1484</v>
      </c>
      <c r="R3835" s="1">
        <v>1.6000000000000001E-3</v>
      </c>
      <c r="S3835" s="1">
        <v>0.65500000000000003</v>
      </c>
    </row>
    <row r="3836" spans="1:19" s="26" customFormat="1">
      <c r="A3836" s="26" t="s">
        <v>236</v>
      </c>
      <c r="B3836" s="26" t="s">
        <v>204</v>
      </c>
      <c r="C3836" s="26">
        <v>11</v>
      </c>
      <c r="D3836" s="26" t="s">
        <v>208</v>
      </c>
      <c r="E3836" s="26">
        <v>968</v>
      </c>
      <c r="F3836" s="27">
        <v>0.45450000000000002</v>
      </c>
      <c r="J3836" s="27">
        <v>0.2727</v>
      </c>
      <c r="N3836" s="27">
        <v>0.18179999999999999</v>
      </c>
      <c r="P3836" s="27">
        <v>9.0899999999999995E-2</v>
      </c>
    </row>
    <row r="3837" spans="1:19">
      <c r="A3837" t="s">
        <v>235</v>
      </c>
      <c r="B3837" t="s">
        <v>199</v>
      </c>
      <c r="C3837">
        <v>44</v>
      </c>
      <c r="D3837" t="s">
        <v>203</v>
      </c>
      <c r="E3837">
        <v>968</v>
      </c>
      <c r="F3837" s="1">
        <v>0.28449999999999998</v>
      </c>
      <c r="J3837" s="1">
        <v>4.1399999999999999E-2</v>
      </c>
      <c r="N3837" s="1">
        <v>0.5464</v>
      </c>
      <c r="P3837" s="1">
        <v>1.18E-2</v>
      </c>
      <c r="R3837" s="1">
        <v>3.0300000000000001E-2</v>
      </c>
      <c r="S3837" s="1">
        <v>8.5599999999999996E-2</v>
      </c>
    </row>
    <row r="3838" spans="1:19">
      <c r="A3838" t="s">
        <v>236</v>
      </c>
      <c r="B3838" t="s">
        <v>199</v>
      </c>
      <c r="C3838">
        <v>32</v>
      </c>
      <c r="D3838" t="s">
        <v>203</v>
      </c>
      <c r="E3838">
        <v>968</v>
      </c>
      <c r="F3838" s="1">
        <v>0.1396</v>
      </c>
      <c r="J3838" s="1">
        <v>0.47810000000000002</v>
      </c>
      <c r="L3838" s="1">
        <v>2.1499999999999998E-2</v>
      </c>
      <c r="N3838" s="1">
        <v>0.1804</v>
      </c>
      <c r="R3838" s="1">
        <v>0.1804</v>
      </c>
    </row>
    <row r="3839" spans="1:19">
      <c r="A3839" t="s">
        <v>235</v>
      </c>
      <c r="B3839" t="s">
        <v>199</v>
      </c>
      <c r="C3839">
        <v>60</v>
      </c>
      <c r="D3839" t="s">
        <v>202</v>
      </c>
      <c r="E3839">
        <v>968</v>
      </c>
      <c r="F3839" s="1">
        <v>0.26679999999999998</v>
      </c>
      <c r="J3839" s="1">
        <v>8.6300000000000002E-2</v>
      </c>
      <c r="K3839" s="1">
        <v>3.1E-2</v>
      </c>
      <c r="N3839" s="1">
        <v>0.27339999999999998</v>
      </c>
      <c r="O3839" s="1">
        <v>1.4800000000000001E-2</v>
      </c>
      <c r="R3839" s="1">
        <v>2.1299999999999999E-2</v>
      </c>
      <c r="S3839" s="1">
        <v>0.30640000000000001</v>
      </c>
    </row>
    <row r="3840" spans="1:19" s="26" customFormat="1">
      <c r="A3840" s="26" t="s">
        <v>236</v>
      </c>
      <c r="B3840" s="26" t="s">
        <v>199</v>
      </c>
      <c r="C3840" s="26">
        <v>24</v>
      </c>
      <c r="D3840" s="26" t="s">
        <v>200</v>
      </c>
      <c r="E3840" s="26">
        <v>968</v>
      </c>
      <c r="J3840" s="27">
        <v>0.47189999999999999</v>
      </c>
      <c r="K3840" s="27">
        <v>3.2599999999999997E-2</v>
      </c>
      <c r="L3840" s="27">
        <v>3.3999999999999998E-3</v>
      </c>
      <c r="N3840" s="27">
        <v>0.3039</v>
      </c>
      <c r="R3840" s="27">
        <v>0.18820000000000001</v>
      </c>
    </row>
    <row r="3841" spans="1:19">
      <c r="A3841" t="s">
        <v>235</v>
      </c>
      <c r="B3841" t="s">
        <v>199</v>
      </c>
      <c r="C3841">
        <v>46</v>
      </c>
      <c r="D3841" t="s">
        <v>200</v>
      </c>
      <c r="E3841">
        <v>968</v>
      </c>
      <c r="F3841" s="1">
        <v>0.17649999999999999</v>
      </c>
      <c r="H3841" s="1">
        <v>8.8300000000000003E-2</v>
      </c>
      <c r="J3841" s="1">
        <v>0.17710000000000001</v>
      </c>
      <c r="L3841" s="1">
        <v>6.0000000000000001E-3</v>
      </c>
      <c r="N3841" s="1">
        <v>0.54910000000000003</v>
      </c>
      <c r="R3841" s="1">
        <v>3.0000000000000001E-3</v>
      </c>
    </row>
    <row r="3842" spans="1:19">
      <c r="A3842" t="s">
        <v>236</v>
      </c>
      <c r="B3842" t="s">
        <v>199</v>
      </c>
      <c r="C3842">
        <v>37</v>
      </c>
      <c r="D3842" t="s">
        <v>202</v>
      </c>
      <c r="E3842">
        <v>968</v>
      </c>
      <c r="F3842" s="1">
        <v>0.29809999999999998</v>
      </c>
      <c r="J3842" s="1">
        <v>0.30640000000000001</v>
      </c>
      <c r="L3842" s="1">
        <v>3.2800000000000003E-2</v>
      </c>
      <c r="N3842" s="1">
        <v>0.24149999999999999</v>
      </c>
      <c r="R3842" s="1">
        <v>3.2300000000000002E-2</v>
      </c>
      <c r="S3842" s="1">
        <v>8.8900000000000007E-2</v>
      </c>
    </row>
    <row r="3843" spans="1:19">
      <c r="A3843" t="s">
        <v>235</v>
      </c>
      <c r="B3843" t="s">
        <v>199</v>
      </c>
      <c r="C3843">
        <v>96</v>
      </c>
      <c r="D3843" t="s">
        <v>201</v>
      </c>
      <c r="E3843">
        <v>968</v>
      </c>
      <c r="F3843" s="1">
        <v>0.38540000000000002</v>
      </c>
      <c r="J3843" s="1">
        <v>1.04E-2</v>
      </c>
      <c r="K3843" s="1">
        <v>6.25E-2</v>
      </c>
      <c r="L3843" s="1">
        <v>1.04E-2</v>
      </c>
      <c r="N3843" s="1">
        <v>0.17710000000000001</v>
      </c>
      <c r="O3843" s="1">
        <v>1.04E-2</v>
      </c>
      <c r="S3843" s="1">
        <v>0.34379999999999999</v>
      </c>
    </row>
    <row r="3844" spans="1:19">
      <c r="A3844" t="s">
        <v>236</v>
      </c>
      <c r="B3844" t="s">
        <v>209</v>
      </c>
      <c r="C3844">
        <v>39</v>
      </c>
      <c r="D3844" t="s">
        <v>211</v>
      </c>
      <c r="E3844">
        <v>968</v>
      </c>
      <c r="F3844" s="1">
        <v>0.19470000000000001</v>
      </c>
      <c r="G3844" s="1">
        <v>4.5400000000000003E-2</v>
      </c>
      <c r="J3844" s="1">
        <v>0.1711</v>
      </c>
      <c r="K3844" s="1">
        <v>1.18E-2</v>
      </c>
      <c r="N3844" s="1">
        <v>0.3231</v>
      </c>
      <c r="P3844" s="1">
        <v>0.12039999999999999</v>
      </c>
      <c r="R3844" s="1">
        <v>5.7299999999999997E-2</v>
      </c>
      <c r="S3844" s="1">
        <v>7.6200000000000004E-2</v>
      </c>
    </row>
    <row r="3845" spans="1:19">
      <c r="A3845" t="s">
        <v>235</v>
      </c>
      <c r="B3845" t="s">
        <v>209</v>
      </c>
      <c r="C3845">
        <v>56</v>
      </c>
      <c r="D3845" t="s">
        <v>211</v>
      </c>
      <c r="E3845">
        <v>968</v>
      </c>
      <c r="F3845" s="1">
        <v>0.11609999999999999</v>
      </c>
      <c r="I3845" s="1">
        <v>3.9300000000000002E-2</v>
      </c>
      <c r="J3845" s="1">
        <v>0.182</v>
      </c>
      <c r="K3845" s="1">
        <v>6.59E-2</v>
      </c>
      <c r="L3845" s="1">
        <v>6.59E-2</v>
      </c>
      <c r="N3845" s="1">
        <v>0.13569999999999999</v>
      </c>
      <c r="O3845" s="1">
        <v>6.8999999999999999E-3</v>
      </c>
      <c r="P3845" s="1">
        <v>0.16930000000000001</v>
      </c>
      <c r="R3845" s="1">
        <v>1.9599999999999999E-2</v>
      </c>
      <c r="S3845" s="1">
        <v>0.1993</v>
      </c>
    </row>
    <row r="3846" spans="1:19">
      <c r="A3846" t="s">
        <v>235</v>
      </c>
      <c r="B3846" t="s">
        <v>209</v>
      </c>
      <c r="C3846">
        <v>67</v>
      </c>
      <c r="D3846" t="s">
        <v>212</v>
      </c>
      <c r="E3846">
        <v>968</v>
      </c>
      <c r="F3846" s="1">
        <v>0.28089999999999998</v>
      </c>
      <c r="J3846" s="1">
        <v>8.3999999999999995E-3</v>
      </c>
      <c r="K3846" s="1">
        <v>0.21079999999999999</v>
      </c>
      <c r="N3846" s="1">
        <v>0.29930000000000001</v>
      </c>
      <c r="O3846" s="1">
        <v>1.5599999999999999E-2</v>
      </c>
      <c r="R3846" s="1">
        <v>8.6E-3</v>
      </c>
      <c r="S3846" s="1">
        <v>0.17649999999999999</v>
      </c>
    </row>
    <row r="3847" spans="1:19" s="26" customFormat="1">
      <c r="A3847" s="26" t="s">
        <v>236</v>
      </c>
      <c r="B3847" s="26" t="s">
        <v>209</v>
      </c>
      <c r="C3847" s="26">
        <v>18</v>
      </c>
      <c r="D3847" s="26" t="s">
        <v>212</v>
      </c>
      <c r="E3847" s="26">
        <v>968</v>
      </c>
      <c r="F3847" s="27">
        <v>0.26169999999999999</v>
      </c>
      <c r="J3847" s="27">
        <v>0.105</v>
      </c>
      <c r="K3847" s="27">
        <v>0.1852</v>
      </c>
      <c r="N3847" s="27">
        <v>0.23169999999999999</v>
      </c>
      <c r="S3847" s="27">
        <v>0.21640000000000001</v>
      </c>
    </row>
    <row r="3848" spans="1:19">
      <c r="A3848" t="s">
        <v>236</v>
      </c>
      <c r="B3848" t="s">
        <v>209</v>
      </c>
      <c r="C3848">
        <v>38</v>
      </c>
      <c r="D3848" t="s">
        <v>210</v>
      </c>
      <c r="E3848">
        <v>968</v>
      </c>
      <c r="F3848" s="1">
        <v>0.39350000000000002</v>
      </c>
      <c r="J3848" s="1">
        <v>0.14949999999999999</v>
      </c>
      <c r="K3848" s="1">
        <v>2.0299999999999999E-2</v>
      </c>
      <c r="L3848" s="1">
        <v>8.1299999999999997E-2</v>
      </c>
      <c r="N3848" s="1">
        <v>0.1041</v>
      </c>
      <c r="P3848" s="1">
        <v>0.1065</v>
      </c>
      <c r="R3848" s="1">
        <v>4.07E-2</v>
      </c>
      <c r="S3848" s="1">
        <v>0.1041</v>
      </c>
    </row>
    <row r="3849" spans="1:19">
      <c r="A3849" t="s">
        <v>235</v>
      </c>
      <c r="B3849" t="s">
        <v>209</v>
      </c>
      <c r="C3849">
        <v>32</v>
      </c>
      <c r="D3849" t="s">
        <v>210</v>
      </c>
      <c r="E3849">
        <v>968</v>
      </c>
      <c r="F3849" s="1">
        <v>0.4829</v>
      </c>
      <c r="J3849" s="1">
        <v>3.2300000000000002E-2</v>
      </c>
      <c r="N3849" s="1">
        <v>0.22620000000000001</v>
      </c>
      <c r="P3849" s="1">
        <v>0.16159999999999999</v>
      </c>
      <c r="S3849" s="1">
        <v>9.69E-2</v>
      </c>
    </row>
    <row r="3851" spans="1:19">
      <c r="A3851" t="s">
        <v>942</v>
      </c>
    </row>
    <row r="3852" spans="1:19">
      <c r="A3852" t="s">
        <v>189</v>
      </c>
      <c r="B3852" t="s">
        <v>190</v>
      </c>
      <c r="C3852" t="s">
        <v>191</v>
      </c>
      <c r="D3852" t="s">
        <v>192</v>
      </c>
      <c r="E3852" t="s">
        <v>193</v>
      </c>
      <c r="F3852" t="s">
        <v>194</v>
      </c>
      <c r="G3852" t="s">
        <v>195</v>
      </c>
      <c r="H3852" t="s">
        <v>196</v>
      </c>
    </row>
    <row r="3853" spans="1:19">
      <c r="A3853" t="s">
        <v>197</v>
      </c>
      <c r="B3853" t="s">
        <v>198</v>
      </c>
      <c r="C3853">
        <v>13.839681547927579</v>
      </c>
      <c r="D3853">
        <v>10</v>
      </c>
      <c r="E3853">
        <v>1</v>
      </c>
      <c r="F3853">
        <v>200</v>
      </c>
      <c r="G3853">
        <v>569</v>
      </c>
      <c r="H3853">
        <v>569</v>
      </c>
    </row>
    <row r="3854" spans="1:19">
      <c r="A3854" t="s">
        <v>199</v>
      </c>
      <c r="B3854" t="s">
        <v>200</v>
      </c>
      <c r="C3854">
        <v>7.88555445824323</v>
      </c>
      <c r="D3854">
        <v>5</v>
      </c>
      <c r="E3854">
        <v>2</v>
      </c>
      <c r="F3854">
        <v>40</v>
      </c>
      <c r="G3854">
        <v>22</v>
      </c>
      <c r="H3854">
        <v>569</v>
      </c>
    </row>
    <row r="3855" spans="1:19">
      <c r="A3855" t="s">
        <v>199</v>
      </c>
      <c r="B3855" t="s">
        <v>201</v>
      </c>
      <c r="C3855">
        <v>11.72972972972973</v>
      </c>
      <c r="D3855">
        <v>10</v>
      </c>
      <c r="E3855">
        <v>1</v>
      </c>
      <c r="F3855">
        <v>40</v>
      </c>
      <c r="G3855">
        <v>74</v>
      </c>
      <c r="H3855">
        <v>569</v>
      </c>
    </row>
    <row r="3856" spans="1:19">
      <c r="A3856" t="s">
        <v>199</v>
      </c>
      <c r="B3856" t="s">
        <v>202</v>
      </c>
      <c r="C3856">
        <v>13.21472850888167</v>
      </c>
      <c r="D3856">
        <v>10</v>
      </c>
      <c r="E3856">
        <v>1</v>
      </c>
      <c r="F3856">
        <v>90</v>
      </c>
      <c r="G3856">
        <v>55</v>
      </c>
      <c r="H3856">
        <v>569</v>
      </c>
    </row>
    <row r="3857" spans="1:9">
      <c r="A3857" t="s">
        <v>199</v>
      </c>
      <c r="B3857" t="s">
        <v>203</v>
      </c>
      <c r="C3857">
        <v>15.99694966812072</v>
      </c>
      <c r="D3857">
        <v>10</v>
      </c>
      <c r="E3857">
        <v>1</v>
      </c>
      <c r="F3857">
        <v>120</v>
      </c>
      <c r="G3857">
        <v>30</v>
      </c>
      <c r="H3857">
        <v>569</v>
      </c>
    </row>
    <row r="3858" spans="1:9">
      <c r="A3858" t="s">
        <v>204</v>
      </c>
      <c r="B3858" t="s">
        <v>205</v>
      </c>
      <c r="C3858">
        <v>12.527843708286751</v>
      </c>
      <c r="D3858">
        <v>10</v>
      </c>
      <c r="E3858">
        <v>1</v>
      </c>
      <c r="F3858">
        <v>200</v>
      </c>
      <c r="G3858">
        <v>69</v>
      </c>
      <c r="H3858">
        <v>569</v>
      </c>
    </row>
    <row r="3859" spans="1:9">
      <c r="A3859" t="s">
        <v>204</v>
      </c>
      <c r="B3859" t="s">
        <v>206</v>
      </c>
      <c r="C3859">
        <v>27.571399074102199</v>
      </c>
      <c r="D3859">
        <v>20</v>
      </c>
      <c r="E3859">
        <v>1</v>
      </c>
      <c r="F3859">
        <v>150</v>
      </c>
      <c r="G3859">
        <v>57</v>
      </c>
      <c r="H3859">
        <v>569</v>
      </c>
    </row>
    <row r="3860" spans="1:9">
      <c r="A3860" t="s">
        <v>204</v>
      </c>
      <c r="B3860" t="s">
        <v>207</v>
      </c>
      <c r="C3860">
        <v>11.750899993412579</v>
      </c>
      <c r="D3860">
        <v>10</v>
      </c>
      <c r="E3860">
        <v>1</v>
      </c>
      <c r="F3860">
        <v>60</v>
      </c>
      <c r="G3860">
        <v>66</v>
      </c>
      <c r="H3860">
        <v>569</v>
      </c>
    </row>
    <row r="3861" spans="1:9">
      <c r="A3861" t="s">
        <v>204</v>
      </c>
      <c r="B3861" t="s">
        <v>208</v>
      </c>
      <c r="C3861">
        <v>15.878787878787881</v>
      </c>
      <c r="D3861">
        <v>10</v>
      </c>
      <c r="E3861">
        <v>1</v>
      </c>
      <c r="F3861">
        <v>180</v>
      </c>
      <c r="G3861">
        <v>33</v>
      </c>
      <c r="H3861">
        <v>569</v>
      </c>
    </row>
    <row r="3862" spans="1:9">
      <c r="A3862" t="s">
        <v>209</v>
      </c>
      <c r="B3862" t="s">
        <v>210</v>
      </c>
      <c r="C3862">
        <v>27.421519086415291</v>
      </c>
      <c r="D3862">
        <v>15</v>
      </c>
      <c r="E3862">
        <v>1</v>
      </c>
      <c r="F3862">
        <v>180</v>
      </c>
      <c r="G3862">
        <v>53</v>
      </c>
      <c r="H3862">
        <v>569</v>
      </c>
    </row>
    <row r="3863" spans="1:9">
      <c r="A3863" t="s">
        <v>209</v>
      </c>
      <c r="B3863" t="s">
        <v>211</v>
      </c>
      <c r="C3863">
        <v>18.318276345295772</v>
      </c>
      <c r="D3863">
        <v>15</v>
      </c>
      <c r="E3863">
        <v>1</v>
      </c>
      <c r="F3863">
        <v>120</v>
      </c>
      <c r="G3863">
        <v>63</v>
      </c>
      <c r="H3863">
        <v>569</v>
      </c>
    </row>
    <row r="3864" spans="1:9">
      <c r="A3864" t="s">
        <v>209</v>
      </c>
      <c r="B3864" t="s">
        <v>212</v>
      </c>
      <c r="C3864">
        <v>20.939526164083158</v>
      </c>
      <c r="D3864">
        <v>15</v>
      </c>
      <c r="E3864">
        <v>3</v>
      </c>
      <c r="F3864">
        <v>80</v>
      </c>
      <c r="G3864">
        <v>47</v>
      </c>
      <c r="H3864">
        <v>569</v>
      </c>
    </row>
    <row r="3866" spans="1:9">
      <c r="A3866" t="s">
        <v>943</v>
      </c>
    </row>
    <row r="3867" spans="1:9">
      <c r="A3867" t="s">
        <v>189</v>
      </c>
      <c r="B3867" t="s">
        <v>190</v>
      </c>
      <c r="C3867" t="s">
        <v>214</v>
      </c>
      <c r="D3867" t="s">
        <v>191</v>
      </c>
      <c r="E3867" t="s">
        <v>192</v>
      </c>
      <c r="F3867" t="s">
        <v>193</v>
      </c>
      <c r="G3867" t="s">
        <v>194</v>
      </c>
      <c r="H3867" t="s">
        <v>195</v>
      </c>
      <c r="I3867" t="s">
        <v>196</v>
      </c>
    </row>
    <row r="3868" spans="1:9">
      <c r="A3868" t="s">
        <v>197</v>
      </c>
      <c r="B3868" t="s">
        <v>198</v>
      </c>
      <c r="C3868" t="s">
        <v>198</v>
      </c>
      <c r="D3868">
        <v>13.839681547927579</v>
      </c>
      <c r="E3868">
        <v>10</v>
      </c>
      <c r="F3868">
        <v>1</v>
      </c>
      <c r="G3868">
        <v>200</v>
      </c>
      <c r="H3868">
        <v>569</v>
      </c>
      <c r="I3868">
        <v>569</v>
      </c>
    </row>
    <row r="3869" spans="1:9" s="26" customFormat="1">
      <c r="A3869" s="26" t="s">
        <v>199</v>
      </c>
      <c r="B3869" s="26" t="s">
        <v>200</v>
      </c>
      <c r="C3869" s="26" t="s">
        <v>236</v>
      </c>
      <c r="D3869" s="26">
        <v>5.0998898755974507</v>
      </c>
      <c r="E3869" s="26">
        <v>5</v>
      </c>
      <c r="F3869" s="26">
        <v>2</v>
      </c>
      <c r="G3869" s="26">
        <v>40</v>
      </c>
      <c r="H3869" s="26">
        <v>12</v>
      </c>
      <c r="I3869" s="26">
        <v>569</v>
      </c>
    </row>
    <row r="3870" spans="1:9" s="26" customFormat="1">
      <c r="A3870" s="26" t="s">
        <v>199</v>
      </c>
      <c r="B3870" s="26" t="s">
        <v>200</v>
      </c>
      <c r="C3870" s="26" t="s">
        <v>235</v>
      </c>
      <c r="D3870" s="26">
        <v>11.965578930244829</v>
      </c>
      <c r="E3870" s="26">
        <v>20</v>
      </c>
      <c r="F3870" s="26">
        <v>2</v>
      </c>
      <c r="G3870" s="26">
        <v>20</v>
      </c>
      <c r="H3870" s="26">
        <v>10</v>
      </c>
      <c r="I3870" s="26">
        <v>569</v>
      </c>
    </row>
    <row r="3871" spans="1:9">
      <c r="A3871" t="s">
        <v>199</v>
      </c>
      <c r="B3871" t="s">
        <v>201</v>
      </c>
      <c r="C3871" t="s">
        <v>235</v>
      </c>
      <c r="D3871">
        <v>11.72972972972973</v>
      </c>
      <c r="E3871">
        <v>10</v>
      </c>
      <c r="F3871">
        <v>1</v>
      </c>
      <c r="G3871">
        <v>40</v>
      </c>
      <c r="H3871">
        <v>74</v>
      </c>
      <c r="I3871">
        <v>569</v>
      </c>
    </row>
    <row r="3872" spans="1:9" s="26" customFormat="1">
      <c r="A3872" s="26" t="s">
        <v>199</v>
      </c>
      <c r="B3872" s="26" t="s">
        <v>202</v>
      </c>
      <c r="C3872" s="26" t="s">
        <v>236</v>
      </c>
      <c r="D3872" s="26">
        <v>18.16475889639732</v>
      </c>
      <c r="E3872" s="26">
        <v>10</v>
      </c>
      <c r="F3872" s="26">
        <v>1</v>
      </c>
      <c r="G3872" s="26">
        <v>90</v>
      </c>
      <c r="H3872" s="26">
        <v>19</v>
      </c>
      <c r="I3872" s="26">
        <v>569</v>
      </c>
    </row>
    <row r="3873" spans="1:9">
      <c r="A3873" t="s">
        <v>199</v>
      </c>
      <c r="B3873" t="s">
        <v>202</v>
      </c>
      <c r="C3873" t="s">
        <v>235</v>
      </c>
      <c r="D3873">
        <v>9.850317745176481</v>
      </c>
      <c r="E3873">
        <v>10</v>
      </c>
      <c r="F3873">
        <v>1</v>
      </c>
      <c r="G3873">
        <v>30</v>
      </c>
      <c r="H3873">
        <v>35</v>
      </c>
      <c r="I3873">
        <v>569</v>
      </c>
    </row>
    <row r="3874" spans="1:9" s="26" customFormat="1">
      <c r="A3874" s="26" t="s">
        <v>199</v>
      </c>
      <c r="B3874" s="26" t="s">
        <v>203</v>
      </c>
      <c r="C3874" s="26" t="s">
        <v>236</v>
      </c>
      <c r="D3874" s="26">
        <v>15.827956179068719</v>
      </c>
      <c r="E3874" s="26">
        <v>10</v>
      </c>
      <c r="F3874" s="26">
        <v>1</v>
      </c>
      <c r="G3874" s="26">
        <v>120</v>
      </c>
      <c r="H3874" s="26">
        <v>16</v>
      </c>
      <c r="I3874" s="26">
        <v>569</v>
      </c>
    </row>
    <row r="3875" spans="1:9" s="26" customFormat="1">
      <c r="A3875" s="26" t="s">
        <v>199</v>
      </c>
      <c r="B3875" s="26" t="s">
        <v>203</v>
      </c>
      <c r="C3875" s="26" t="s">
        <v>235</v>
      </c>
      <c r="D3875" s="26">
        <v>16.260814416421979</v>
      </c>
      <c r="E3875" s="26">
        <v>15</v>
      </c>
      <c r="F3875" s="26">
        <v>3</v>
      </c>
      <c r="G3875" s="26">
        <v>40</v>
      </c>
      <c r="H3875" s="26">
        <v>13</v>
      </c>
      <c r="I3875" s="26">
        <v>569</v>
      </c>
    </row>
    <row r="3876" spans="1:9" s="26" customFormat="1">
      <c r="A3876" s="26" t="s">
        <v>204</v>
      </c>
      <c r="B3876" s="26" t="s">
        <v>205</v>
      </c>
      <c r="C3876" s="26" t="s">
        <v>236</v>
      </c>
      <c r="D3876" s="26">
        <v>16.4454124548467</v>
      </c>
      <c r="E3876" s="26">
        <v>15</v>
      </c>
      <c r="F3876" s="26">
        <v>2</v>
      </c>
      <c r="G3876" s="26">
        <v>60</v>
      </c>
      <c r="H3876" s="26">
        <v>25</v>
      </c>
      <c r="I3876" s="26">
        <v>569</v>
      </c>
    </row>
    <row r="3877" spans="1:9">
      <c r="A3877" t="s">
        <v>204</v>
      </c>
      <c r="B3877" t="s">
        <v>205</v>
      </c>
      <c r="C3877" t="s">
        <v>235</v>
      </c>
      <c r="D3877">
        <v>11.75627017184104</v>
      </c>
      <c r="E3877">
        <v>10</v>
      </c>
      <c r="F3877">
        <v>1</v>
      </c>
      <c r="G3877">
        <v>200</v>
      </c>
      <c r="H3877">
        <v>43</v>
      </c>
      <c r="I3877">
        <v>569</v>
      </c>
    </row>
    <row r="3878" spans="1:9" s="26" customFormat="1">
      <c r="A3878" s="26" t="s">
        <v>204</v>
      </c>
      <c r="B3878" s="26" t="s">
        <v>206</v>
      </c>
      <c r="C3878" s="26" t="s">
        <v>236</v>
      </c>
      <c r="D3878" s="26">
        <v>28.965527940650968</v>
      </c>
      <c r="E3878" s="26">
        <v>30</v>
      </c>
      <c r="F3878" s="26">
        <v>1</v>
      </c>
      <c r="G3878" s="26">
        <v>120</v>
      </c>
      <c r="H3878" s="26">
        <v>17</v>
      </c>
      <c r="I3878" s="26">
        <v>569</v>
      </c>
    </row>
    <row r="3879" spans="1:9">
      <c r="A3879" t="s">
        <v>204</v>
      </c>
      <c r="B3879" t="s">
        <v>206</v>
      </c>
      <c r="C3879" t="s">
        <v>235</v>
      </c>
      <c r="D3879">
        <v>27.251722990862039</v>
      </c>
      <c r="E3879">
        <v>15</v>
      </c>
      <c r="F3879">
        <v>2</v>
      </c>
      <c r="G3879">
        <v>150</v>
      </c>
      <c r="H3879">
        <v>39</v>
      </c>
      <c r="I3879">
        <v>569</v>
      </c>
    </row>
    <row r="3880" spans="1:9">
      <c r="A3880" t="s">
        <v>204</v>
      </c>
      <c r="B3880" t="s">
        <v>207</v>
      </c>
      <c r="C3880" t="s">
        <v>236</v>
      </c>
      <c r="D3880">
        <v>11.73398497872536</v>
      </c>
      <c r="E3880">
        <v>10</v>
      </c>
      <c r="F3880">
        <v>1</v>
      </c>
      <c r="G3880">
        <v>60</v>
      </c>
      <c r="H3880">
        <v>39</v>
      </c>
      <c r="I3880">
        <v>569</v>
      </c>
    </row>
    <row r="3881" spans="1:9" s="26" customFormat="1">
      <c r="A3881" s="26" t="s">
        <v>204</v>
      </c>
      <c r="B3881" s="26" t="s">
        <v>207</v>
      </c>
      <c r="C3881" s="26" t="s">
        <v>235</v>
      </c>
      <c r="D3881" s="26">
        <v>11.809497326416389</v>
      </c>
      <c r="E3881" s="26">
        <v>10</v>
      </c>
      <c r="F3881" s="26">
        <v>2</v>
      </c>
      <c r="G3881" s="26">
        <v>25</v>
      </c>
      <c r="H3881" s="26">
        <v>26</v>
      </c>
      <c r="I3881" s="26">
        <v>569</v>
      </c>
    </row>
    <row r="3882" spans="1:9" s="26" customFormat="1">
      <c r="A3882" s="26" t="s">
        <v>204</v>
      </c>
      <c r="B3882" s="26" t="s">
        <v>208</v>
      </c>
      <c r="C3882" s="26" t="s">
        <v>236</v>
      </c>
      <c r="D3882" s="26">
        <v>39.375</v>
      </c>
      <c r="E3882" s="26">
        <v>10</v>
      </c>
      <c r="F3882" s="26">
        <v>5</v>
      </c>
      <c r="G3882" s="26">
        <v>180</v>
      </c>
      <c r="H3882" s="26">
        <v>8</v>
      </c>
      <c r="I3882" s="26">
        <v>569</v>
      </c>
    </row>
    <row r="3883" spans="1:9" s="26" customFormat="1">
      <c r="A3883" s="26" t="s">
        <v>204</v>
      </c>
      <c r="B3883" s="26" t="s">
        <v>208</v>
      </c>
      <c r="C3883" s="26" t="s">
        <v>235</v>
      </c>
      <c r="D3883" s="26">
        <v>8.3600000000000012</v>
      </c>
      <c r="E3883" s="26">
        <v>10</v>
      </c>
      <c r="F3883" s="26">
        <v>1</v>
      </c>
      <c r="G3883" s="26">
        <v>20</v>
      </c>
      <c r="H3883" s="26">
        <v>25</v>
      </c>
      <c r="I3883" s="26">
        <v>569</v>
      </c>
    </row>
    <row r="3884" spans="1:9" s="26" customFormat="1">
      <c r="A3884" s="26" t="s">
        <v>209</v>
      </c>
      <c r="B3884" s="26" t="s">
        <v>210</v>
      </c>
      <c r="C3884" s="26" t="s">
        <v>236</v>
      </c>
      <c r="D3884" s="26">
        <v>26.042401631303971</v>
      </c>
      <c r="E3884" s="26">
        <v>20</v>
      </c>
      <c r="F3884" s="26">
        <v>1</v>
      </c>
      <c r="G3884" s="26">
        <v>120</v>
      </c>
      <c r="H3884" s="26">
        <v>28</v>
      </c>
      <c r="I3884" s="26">
        <v>569</v>
      </c>
    </row>
    <row r="3885" spans="1:9" s="26" customFormat="1">
      <c r="A3885" s="26" t="s">
        <v>209</v>
      </c>
      <c r="B3885" s="26" t="s">
        <v>210</v>
      </c>
      <c r="C3885" s="26" t="s">
        <v>235</v>
      </c>
      <c r="D3885" s="26">
        <v>27.478260869565201</v>
      </c>
      <c r="E3885" s="26">
        <v>15</v>
      </c>
      <c r="F3885" s="26">
        <v>3</v>
      </c>
      <c r="G3885" s="26">
        <v>180</v>
      </c>
      <c r="H3885" s="26">
        <v>23</v>
      </c>
      <c r="I3885" s="26">
        <v>569</v>
      </c>
    </row>
    <row r="3886" spans="1:9" s="26" customFormat="1">
      <c r="A3886" s="26" t="s">
        <v>209</v>
      </c>
      <c r="B3886" s="26" t="s">
        <v>211</v>
      </c>
      <c r="C3886" s="26" t="s">
        <v>236</v>
      </c>
      <c r="D3886" s="26">
        <v>14.42978414625164</v>
      </c>
      <c r="E3886" s="26">
        <v>10</v>
      </c>
      <c r="F3886" s="26">
        <v>1</v>
      </c>
      <c r="G3886" s="26">
        <v>60</v>
      </c>
      <c r="H3886" s="26">
        <v>18</v>
      </c>
      <c r="I3886" s="26">
        <v>569</v>
      </c>
    </row>
    <row r="3887" spans="1:9">
      <c r="A3887" t="s">
        <v>209</v>
      </c>
      <c r="B3887" t="s">
        <v>211</v>
      </c>
      <c r="C3887" t="s">
        <v>235</v>
      </c>
      <c r="D3887">
        <v>19.591857075113062</v>
      </c>
      <c r="E3887">
        <v>15</v>
      </c>
      <c r="F3887">
        <v>2</v>
      </c>
      <c r="G3887">
        <v>120</v>
      </c>
      <c r="H3887">
        <v>45</v>
      </c>
      <c r="I3887">
        <v>569</v>
      </c>
    </row>
    <row r="3888" spans="1:9" s="26" customFormat="1">
      <c r="A3888" s="26" t="s">
        <v>209</v>
      </c>
      <c r="B3888" s="26" t="s">
        <v>212</v>
      </c>
      <c r="C3888" s="26" t="s">
        <v>236</v>
      </c>
      <c r="D3888" s="26">
        <v>24.379302298623411</v>
      </c>
      <c r="E3888" s="26">
        <v>15</v>
      </c>
      <c r="F3888" s="26">
        <v>3</v>
      </c>
      <c r="G3888" s="26">
        <v>60</v>
      </c>
      <c r="H3888" s="26">
        <v>10</v>
      </c>
      <c r="I3888" s="26">
        <v>569</v>
      </c>
    </row>
    <row r="3889" spans="1:10">
      <c r="A3889" t="s">
        <v>209</v>
      </c>
      <c r="B3889" t="s">
        <v>212</v>
      </c>
      <c r="C3889" t="s">
        <v>235</v>
      </c>
      <c r="D3889">
        <v>20.33020277054111</v>
      </c>
      <c r="E3889">
        <v>15</v>
      </c>
      <c r="F3889">
        <v>5</v>
      </c>
      <c r="G3889">
        <v>80</v>
      </c>
      <c r="H3889">
        <v>37</v>
      </c>
      <c r="I3889">
        <v>569</v>
      </c>
    </row>
    <row r="3891" spans="1:10">
      <c r="A3891" t="s">
        <v>944</v>
      </c>
    </row>
    <row r="3892" spans="1:10">
      <c r="A3892" t="s">
        <v>189</v>
      </c>
      <c r="B3892" t="s">
        <v>195</v>
      </c>
      <c r="C3892" t="s">
        <v>190</v>
      </c>
      <c r="D3892" t="s">
        <v>196</v>
      </c>
      <c r="E3892" t="s">
        <v>945</v>
      </c>
      <c r="F3892" t="s">
        <v>228</v>
      </c>
      <c r="G3892" t="s">
        <v>946</v>
      </c>
      <c r="H3892" t="s">
        <v>947</v>
      </c>
      <c r="I3892" t="s">
        <v>948</v>
      </c>
      <c r="J3892" t="s">
        <v>949</v>
      </c>
    </row>
    <row r="3893" spans="1:10">
      <c r="A3893" t="s">
        <v>197</v>
      </c>
      <c r="B3893">
        <v>968</v>
      </c>
      <c r="C3893" t="s">
        <v>198</v>
      </c>
      <c r="D3893">
        <v>968</v>
      </c>
      <c r="E3893" s="1">
        <v>2.9499999999999998E-2</v>
      </c>
      <c r="F3893" s="1">
        <v>7.3000000000000001E-3</v>
      </c>
      <c r="G3893" s="1">
        <v>0.62480000000000002</v>
      </c>
      <c r="H3893" s="1">
        <v>0.19969999999999999</v>
      </c>
      <c r="I3893" s="1">
        <v>1.06E-2</v>
      </c>
      <c r="J3893" s="1">
        <v>0.128</v>
      </c>
    </row>
    <row r="3894" spans="1:10">
      <c r="A3894" t="s">
        <v>204</v>
      </c>
      <c r="B3894">
        <v>91</v>
      </c>
      <c r="C3894" t="s">
        <v>205</v>
      </c>
      <c r="D3894">
        <v>968</v>
      </c>
      <c r="E3894" s="1">
        <v>2.6800000000000001E-2</v>
      </c>
      <c r="G3894" s="1">
        <v>0.59540000000000004</v>
      </c>
      <c r="H3894" s="1">
        <v>0.1963</v>
      </c>
      <c r="J3894" s="1">
        <v>0.18149999999999999</v>
      </c>
    </row>
    <row r="3895" spans="1:10">
      <c r="A3895" t="s">
        <v>204</v>
      </c>
      <c r="B3895">
        <v>72</v>
      </c>
      <c r="C3895" t="s">
        <v>206</v>
      </c>
      <c r="D3895">
        <v>968</v>
      </c>
      <c r="E3895" s="1">
        <v>2.7900000000000001E-2</v>
      </c>
      <c r="G3895" s="1">
        <v>0.57899999999999996</v>
      </c>
      <c r="H3895" s="1">
        <v>0.26979999999999998</v>
      </c>
      <c r="I3895" s="1">
        <v>1.1599999999999999E-2</v>
      </c>
      <c r="J3895" s="1">
        <v>0.1116</v>
      </c>
    </row>
    <row r="3896" spans="1:10">
      <c r="A3896" t="s">
        <v>204</v>
      </c>
      <c r="B3896">
        <v>131</v>
      </c>
      <c r="C3896" t="s">
        <v>207</v>
      </c>
      <c r="D3896">
        <v>968</v>
      </c>
      <c r="E3896" s="1">
        <v>5.1000000000000004E-3</v>
      </c>
      <c r="F3896" s="1">
        <v>3.3999999999999998E-3</v>
      </c>
      <c r="G3896" s="1">
        <v>0.66449999999999998</v>
      </c>
      <c r="H3896" s="1">
        <v>0.1837</v>
      </c>
      <c r="I3896" s="1">
        <v>3.3999999999999998E-3</v>
      </c>
      <c r="J3896" s="1">
        <v>0.1399</v>
      </c>
    </row>
    <row r="3897" spans="1:10">
      <c r="A3897" t="s">
        <v>204</v>
      </c>
      <c r="B3897">
        <v>74</v>
      </c>
      <c r="C3897" t="s">
        <v>208</v>
      </c>
      <c r="D3897">
        <v>968</v>
      </c>
      <c r="E3897" s="1">
        <v>9.4600000000000004E-2</v>
      </c>
      <c r="F3897" s="1">
        <v>1.35E-2</v>
      </c>
      <c r="G3897" s="1">
        <v>0.51349999999999996</v>
      </c>
      <c r="H3897" s="1">
        <v>0.33779999999999999</v>
      </c>
      <c r="J3897" s="1">
        <v>4.0500000000000001E-2</v>
      </c>
    </row>
    <row r="3898" spans="1:10">
      <c r="A3898" t="s">
        <v>199</v>
      </c>
      <c r="B3898">
        <v>73</v>
      </c>
      <c r="C3898" t="s">
        <v>200</v>
      </c>
      <c r="D3898">
        <v>968</v>
      </c>
      <c r="E3898" s="1">
        <v>4.6399999999999997E-2</v>
      </c>
      <c r="F3898" s="1">
        <v>3.2000000000000002E-3</v>
      </c>
      <c r="G3898" s="1">
        <v>0.75700000000000001</v>
      </c>
      <c r="H3898" s="1">
        <v>9.2799999999999994E-2</v>
      </c>
      <c r="J3898" s="1">
        <v>0.1007</v>
      </c>
    </row>
    <row r="3899" spans="1:10">
      <c r="A3899" t="s">
        <v>199</v>
      </c>
      <c r="B3899">
        <v>96</v>
      </c>
      <c r="C3899" t="s">
        <v>201</v>
      </c>
      <c r="D3899">
        <v>968</v>
      </c>
      <c r="E3899" s="1">
        <v>1.04E-2</v>
      </c>
      <c r="F3899" s="1">
        <v>1.04E-2</v>
      </c>
      <c r="G3899" s="1">
        <v>0.6875</v>
      </c>
      <c r="H3899" s="1">
        <v>0.16669999999999999</v>
      </c>
      <c r="J3899" s="1">
        <v>0.125</v>
      </c>
    </row>
    <row r="3900" spans="1:10">
      <c r="A3900" t="s">
        <v>199</v>
      </c>
      <c r="B3900">
        <v>98</v>
      </c>
      <c r="C3900" t="s">
        <v>202</v>
      </c>
      <c r="D3900">
        <v>968</v>
      </c>
      <c r="E3900" s="1">
        <v>4.6800000000000001E-2</v>
      </c>
      <c r="F3900" s="1">
        <v>8.9999999999999993E-3</v>
      </c>
      <c r="G3900" s="1">
        <v>0.56730000000000003</v>
      </c>
      <c r="H3900" s="1">
        <v>0.17829999999999999</v>
      </c>
      <c r="I3900" s="1">
        <v>4.4600000000000001E-2</v>
      </c>
      <c r="J3900" s="1">
        <v>0.154</v>
      </c>
    </row>
    <row r="3901" spans="1:10">
      <c r="A3901" t="s">
        <v>199</v>
      </c>
      <c r="B3901">
        <v>77</v>
      </c>
      <c r="C3901" t="s">
        <v>203</v>
      </c>
      <c r="D3901">
        <v>968</v>
      </c>
      <c r="E3901" s="1">
        <v>2.52E-2</v>
      </c>
      <c r="F3901" s="1">
        <v>9.4999999999999998E-3</v>
      </c>
      <c r="G3901" s="1">
        <v>0.58150000000000002</v>
      </c>
      <c r="H3901" s="1">
        <v>0.28460000000000002</v>
      </c>
      <c r="J3901" s="1">
        <v>9.9199999999999997E-2</v>
      </c>
    </row>
    <row r="3902" spans="1:10">
      <c r="A3902" t="s">
        <v>209</v>
      </c>
      <c r="B3902">
        <v>74</v>
      </c>
      <c r="C3902" t="s">
        <v>210</v>
      </c>
      <c r="D3902">
        <v>968</v>
      </c>
      <c r="E3902" s="1">
        <v>1.77E-2</v>
      </c>
      <c r="F3902" s="1">
        <v>8.3000000000000001E-3</v>
      </c>
      <c r="G3902" s="1">
        <v>0.6431</v>
      </c>
      <c r="H3902" s="1">
        <v>0.18310000000000001</v>
      </c>
      <c r="I3902" s="1">
        <v>1.77E-2</v>
      </c>
      <c r="J3902" s="1">
        <v>0.13009999999999999</v>
      </c>
    </row>
    <row r="3903" spans="1:10">
      <c r="A3903" t="s">
        <v>209</v>
      </c>
      <c r="B3903">
        <v>97</v>
      </c>
      <c r="C3903" t="s">
        <v>211</v>
      </c>
      <c r="D3903">
        <v>968</v>
      </c>
      <c r="E3903" s="1">
        <v>8.5000000000000006E-3</v>
      </c>
      <c r="G3903" s="1">
        <v>0.58399999999999996</v>
      </c>
      <c r="H3903" s="1">
        <v>0.33889999999999998</v>
      </c>
      <c r="I3903" s="1">
        <v>4.2500000000000003E-2</v>
      </c>
      <c r="J3903" s="1">
        <v>2.6100000000000002E-2</v>
      </c>
    </row>
    <row r="3904" spans="1:10">
      <c r="A3904" t="s">
        <v>209</v>
      </c>
      <c r="B3904">
        <v>85</v>
      </c>
      <c r="C3904" t="s">
        <v>212</v>
      </c>
      <c r="D3904">
        <v>968</v>
      </c>
      <c r="E3904" s="1">
        <v>4.8599999999999997E-2</v>
      </c>
      <c r="F3904" s="1">
        <v>1.9599999999999999E-2</v>
      </c>
      <c r="G3904" s="1">
        <v>0.66159999999999997</v>
      </c>
      <c r="H3904" s="1">
        <v>0.16500000000000001</v>
      </c>
      <c r="I3904" s="1">
        <v>1.1599999999999999E-2</v>
      </c>
      <c r="J3904" s="1">
        <v>9.35E-2</v>
      </c>
    </row>
    <row r="3906" spans="1:11">
      <c r="A3906" t="s">
        <v>950</v>
      </c>
    </row>
    <row r="3907" spans="1:11">
      <c r="A3907" t="s">
        <v>214</v>
      </c>
      <c r="B3907" t="s">
        <v>189</v>
      </c>
      <c r="C3907" t="s">
        <v>195</v>
      </c>
      <c r="D3907" t="s">
        <v>190</v>
      </c>
      <c r="E3907" t="s">
        <v>196</v>
      </c>
      <c r="F3907" t="s">
        <v>945</v>
      </c>
      <c r="G3907" t="s">
        <v>228</v>
      </c>
      <c r="H3907" t="s">
        <v>946</v>
      </c>
      <c r="I3907" t="s">
        <v>947</v>
      </c>
      <c r="J3907" t="s">
        <v>948</v>
      </c>
      <c r="K3907" t="s">
        <v>949</v>
      </c>
    </row>
    <row r="3908" spans="1:11">
      <c r="A3908" t="s">
        <v>198</v>
      </c>
      <c r="B3908" t="s">
        <v>197</v>
      </c>
      <c r="C3908">
        <v>968</v>
      </c>
      <c r="D3908" t="s">
        <v>198</v>
      </c>
      <c r="E3908">
        <v>968</v>
      </c>
      <c r="F3908" s="1">
        <v>2.9499999999999998E-2</v>
      </c>
      <c r="G3908" s="1">
        <v>7.3000000000000001E-3</v>
      </c>
      <c r="H3908" s="1">
        <v>0.62480000000000002</v>
      </c>
      <c r="I3908" s="1">
        <v>0.19969999999999999</v>
      </c>
      <c r="J3908" s="1">
        <v>1.06E-2</v>
      </c>
      <c r="K3908" s="1">
        <v>0.128</v>
      </c>
    </row>
    <row r="3909" spans="1:11">
      <c r="A3909" t="s">
        <v>235</v>
      </c>
      <c r="B3909" t="s">
        <v>204</v>
      </c>
      <c r="C3909">
        <v>63</v>
      </c>
      <c r="D3909" t="s">
        <v>208</v>
      </c>
      <c r="E3909">
        <v>968</v>
      </c>
      <c r="F3909" s="1">
        <v>9.5200000000000007E-2</v>
      </c>
      <c r="G3909" s="1">
        <v>1.5900000000000001E-2</v>
      </c>
      <c r="H3909" s="1">
        <v>0.50790000000000002</v>
      </c>
      <c r="I3909" s="1">
        <v>0.33329999999999999</v>
      </c>
      <c r="K3909" s="1">
        <v>4.7600000000000003E-2</v>
      </c>
    </row>
    <row r="3910" spans="1:11">
      <c r="A3910" t="s">
        <v>236</v>
      </c>
      <c r="B3910" t="s">
        <v>204</v>
      </c>
      <c r="C3910">
        <v>32</v>
      </c>
      <c r="D3910" t="s">
        <v>205</v>
      </c>
      <c r="E3910">
        <v>968</v>
      </c>
      <c r="F3910" s="1">
        <v>7.4899999999999994E-2</v>
      </c>
      <c r="H3910" s="1">
        <v>0.49130000000000001</v>
      </c>
      <c r="I3910" s="1">
        <v>0.35460000000000003</v>
      </c>
      <c r="K3910" s="1">
        <v>7.9100000000000004E-2</v>
      </c>
    </row>
    <row r="3911" spans="1:11">
      <c r="A3911" t="s">
        <v>235</v>
      </c>
      <c r="B3911" t="s">
        <v>204</v>
      </c>
      <c r="C3911">
        <v>58</v>
      </c>
      <c r="D3911" t="s">
        <v>205</v>
      </c>
      <c r="E3911">
        <v>968</v>
      </c>
      <c r="F3911" s="1">
        <v>1.6400000000000001E-2</v>
      </c>
      <c r="H3911" s="1">
        <v>0.61980000000000002</v>
      </c>
      <c r="I3911" s="1">
        <v>0.16259999999999999</v>
      </c>
      <c r="K3911" s="1">
        <v>0.20119999999999999</v>
      </c>
    </row>
    <row r="3912" spans="1:11" s="26" customFormat="1">
      <c r="A3912" s="26" t="s">
        <v>236</v>
      </c>
      <c r="B3912" s="26" t="s">
        <v>204</v>
      </c>
      <c r="C3912" s="26">
        <v>21</v>
      </c>
      <c r="D3912" s="26" t="s">
        <v>206</v>
      </c>
      <c r="E3912" s="26">
        <v>968</v>
      </c>
      <c r="F3912" s="27">
        <v>0.10249999999999999</v>
      </c>
      <c r="H3912" s="27">
        <v>0.47860000000000003</v>
      </c>
      <c r="I3912" s="27">
        <v>0.29060000000000002</v>
      </c>
      <c r="J3912" s="27">
        <v>4.2799999999999998E-2</v>
      </c>
      <c r="K3912" s="27">
        <v>8.5500000000000007E-2</v>
      </c>
    </row>
    <row r="3913" spans="1:11">
      <c r="A3913" t="s">
        <v>235</v>
      </c>
      <c r="B3913" t="s">
        <v>204</v>
      </c>
      <c r="C3913">
        <v>47</v>
      </c>
      <c r="D3913" t="s">
        <v>206</v>
      </c>
      <c r="E3913">
        <v>968</v>
      </c>
      <c r="H3913" s="1">
        <v>0.58750000000000002</v>
      </c>
      <c r="I3913" s="1">
        <v>0.28189999999999998</v>
      </c>
      <c r="K3913" s="1">
        <v>0.13059999999999999</v>
      </c>
    </row>
    <row r="3914" spans="1:11">
      <c r="A3914" t="s">
        <v>236</v>
      </c>
      <c r="B3914" t="s">
        <v>204</v>
      </c>
      <c r="C3914">
        <v>81</v>
      </c>
      <c r="D3914" t="s">
        <v>207</v>
      </c>
      <c r="E3914">
        <v>968</v>
      </c>
      <c r="F3914" s="1">
        <v>1.2500000000000001E-2</v>
      </c>
      <c r="G3914" s="1">
        <v>8.3999999999999995E-3</v>
      </c>
      <c r="H3914" s="1">
        <v>0.61229999999999996</v>
      </c>
      <c r="I3914" s="1">
        <v>0.2087</v>
      </c>
      <c r="K3914" s="1">
        <v>0.15809999999999999</v>
      </c>
    </row>
    <row r="3915" spans="1:11">
      <c r="A3915" t="s">
        <v>235</v>
      </c>
      <c r="B3915" t="s">
        <v>204</v>
      </c>
      <c r="C3915">
        <v>45</v>
      </c>
      <c r="D3915" t="s">
        <v>207</v>
      </c>
      <c r="E3915">
        <v>968</v>
      </c>
      <c r="H3915" s="1">
        <v>0.70179999999999998</v>
      </c>
      <c r="I3915" s="1">
        <v>0.17050000000000001</v>
      </c>
      <c r="J3915" s="1">
        <v>5.8999999999999999E-3</v>
      </c>
      <c r="K3915" s="1">
        <v>0.12189999999999999</v>
      </c>
    </row>
    <row r="3916" spans="1:11" s="26" customFormat="1">
      <c r="A3916" s="26" t="s">
        <v>236</v>
      </c>
      <c r="B3916" s="26" t="s">
        <v>204</v>
      </c>
      <c r="C3916" s="26">
        <v>11</v>
      </c>
      <c r="D3916" s="26" t="s">
        <v>208</v>
      </c>
      <c r="E3916" s="26">
        <v>968</v>
      </c>
      <c r="F3916" s="27">
        <v>9.0899999999999995E-2</v>
      </c>
      <c r="H3916" s="27">
        <v>0.54549999999999998</v>
      </c>
      <c r="I3916" s="27">
        <v>0.36359999999999998</v>
      </c>
    </row>
    <row r="3917" spans="1:11">
      <c r="A3917" t="s">
        <v>235</v>
      </c>
      <c r="B3917" t="s">
        <v>199</v>
      </c>
      <c r="C3917">
        <v>44</v>
      </c>
      <c r="D3917" t="s">
        <v>203</v>
      </c>
      <c r="E3917">
        <v>968</v>
      </c>
      <c r="F3917" s="1">
        <v>4.5999999999999999E-3</v>
      </c>
      <c r="H3917" s="1">
        <v>0.61419999999999997</v>
      </c>
      <c r="I3917" s="1">
        <v>0.29299999999999998</v>
      </c>
      <c r="K3917" s="1">
        <v>8.8200000000000001E-2</v>
      </c>
    </row>
    <row r="3918" spans="1:11">
      <c r="A3918" t="s">
        <v>236</v>
      </c>
      <c r="B3918" t="s">
        <v>199</v>
      </c>
      <c r="C3918">
        <v>32</v>
      </c>
      <c r="D3918" t="s">
        <v>203</v>
      </c>
      <c r="E3918">
        <v>968</v>
      </c>
      <c r="F3918" s="1">
        <v>6.4399999999999999E-2</v>
      </c>
      <c r="G3918" s="1">
        <v>2.75E-2</v>
      </c>
      <c r="H3918" s="1">
        <v>0.48980000000000001</v>
      </c>
      <c r="I3918" s="1">
        <v>0.29160000000000003</v>
      </c>
      <c r="K3918" s="1">
        <v>0.12670000000000001</v>
      </c>
    </row>
    <row r="3919" spans="1:11">
      <c r="A3919" t="s">
        <v>235</v>
      </c>
      <c r="B3919" t="s">
        <v>199</v>
      </c>
      <c r="C3919">
        <v>60</v>
      </c>
      <c r="D3919" t="s">
        <v>202</v>
      </c>
      <c r="E3919">
        <v>968</v>
      </c>
      <c r="F3919" s="1">
        <v>6.0299999999999999E-2</v>
      </c>
      <c r="H3919" s="1">
        <v>0.58650000000000002</v>
      </c>
      <c r="I3919" s="1">
        <v>0.13159999999999999</v>
      </c>
      <c r="J3919" s="1">
        <v>2.3599999999999999E-2</v>
      </c>
      <c r="K3919" s="1">
        <v>0.1981</v>
      </c>
    </row>
    <row r="3920" spans="1:11" s="26" customFormat="1">
      <c r="A3920" s="26" t="s">
        <v>236</v>
      </c>
      <c r="B3920" s="26" t="s">
        <v>199</v>
      </c>
      <c r="C3920" s="26">
        <v>24</v>
      </c>
      <c r="D3920" s="26" t="s">
        <v>200</v>
      </c>
      <c r="E3920" s="26">
        <v>968</v>
      </c>
      <c r="G3920" s="27">
        <v>3.3999999999999998E-3</v>
      </c>
      <c r="H3920" s="27">
        <v>0.9214</v>
      </c>
      <c r="I3920" s="27">
        <v>7.1900000000000006E-2</v>
      </c>
      <c r="K3920" s="27">
        <v>3.3999999999999998E-3</v>
      </c>
    </row>
    <row r="3921" spans="1:11">
      <c r="A3921" t="s">
        <v>235</v>
      </c>
      <c r="B3921" t="s">
        <v>199</v>
      </c>
      <c r="C3921">
        <v>46</v>
      </c>
      <c r="D3921" t="s">
        <v>200</v>
      </c>
      <c r="E3921">
        <v>968</v>
      </c>
      <c r="F3921" s="1">
        <v>8.8300000000000003E-2</v>
      </c>
      <c r="G3921" s="1">
        <v>3.0000000000000001E-3</v>
      </c>
      <c r="H3921" s="1">
        <v>0.61099999999999999</v>
      </c>
      <c r="I3921" s="1">
        <v>0.1123</v>
      </c>
      <c r="K3921" s="1">
        <v>0.1855</v>
      </c>
    </row>
    <row r="3922" spans="1:11">
      <c r="A3922" t="s">
        <v>236</v>
      </c>
      <c r="B3922" t="s">
        <v>199</v>
      </c>
      <c r="C3922">
        <v>37</v>
      </c>
      <c r="D3922" t="s">
        <v>202</v>
      </c>
      <c r="E3922">
        <v>968</v>
      </c>
      <c r="F3922" s="1">
        <v>2.9600000000000001E-2</v>
      </c>
      <c r="G3922" s="1">
        <v>2.1899999999999999E-2</v>
      </c>
      <c r="H3922" s="1">
        <v>0.52639999999999998</v>
      </c>
      <c r="I3922" s="1">
        <v>0.249</v>
      </c>
      <c r="J3922" s="1">
        <v>7.5300000000000006E-2</v>
      </c>
      <c r="K3922" s="1">
        <v>9.7900000000000001E-2</v>
      </c>
    </row>
    <row r="3923" spans="1:11">
      <c r="A3923" t="s">
        <v>235</v>
      </c>
      <c r="B3923" t="s">
        <v>199</v>
      </c>
      <c r="C3923">
        <v>96</v>
      </c>
      <c r="D3923" t="s">
        <v>201</v>
      </c>
      <c r="E3923">
        <v>968</v>
      </c>
      <c r="F3923" s="1">
        <v>1.04E-2</v>
      </c>
      <c r="G3923" s="1">
        <v>1.04E-2</v>
      </c>
      <c r="H3923" s="1">
        <v>0.6875</v>
      </c>
      <c r="I3923" s="1">
        <v>0.16669999999999999</v>
      </c>
      <c r="K3923" s="1">
        <v>0.125</v>
      </c>
    </row>
    <row r="3924" spans="1:11">
      <c r="A3924" t="s">
        <v>236</v>
      </c>
      <c r="B3924" t="s">
        <v>209</v>
      </c>
      <c r="C3924">
        <v>39</v>
      </c>
      <c r="D3924" t="s">
        <v>211</v>
      </c>
      <c r="E3924">
        <v>968</v>
      </c>
      <c r="F3924" s="1">
        <v>1.18E-2</v>
      </c>
      <c r="H3924" s="1">
        <v>0.54759999999999998</v>
      </c>
      <c r="I3924" s="1">
        <v>0.36749999999999999</v>
      </c>
      <c r="K3924" s="1">
        <v>7.3099999999999998E-2</v>
      </c>
    </row>
    <row r="3925" spans="1:11">
      <c r="A3925" t="s">
        <v>235</v>
      </c>
      <c r="B3925" t="s">
        <v>209</v>
      </c>
      <c r="C3925">
        <v>56</v>
      </c>
      <c r="D3925" t="s">
        <v>211</v>
      </c>
      <c r="E3925">
        <v>968</v>
      </c>
      <c r="F3925" s="1">
        <v>6.8999999999999999E-3</v>
      </c>
      <c r="H3925" s="1">
        <v>0.60940000000000005</v>
      </c>
      <c r="I3925" s="1">
        <v>0.31430000000000002</v>
      </c>
      <c r="J3925" s="1">
        <v>6.9400000000000003E-2</v>
      </c>
    </row>
    <row r="3926" spans="1:11">
      <c r="A3926" t="s">
        <v>235</v>
      </c>
      <c r="B3926" t="s">
        <v>209</v>
      </c>
      <c r="C3926">
        <v>67</v>
      </c>
      <c r="D3926" t="s">
        <v>212</v>
      </c>
      <c r="E3926">
        <v>968</v>
      </c>
      <c r="F3926" s="1">
        <v>4.8000000000000001E-2</v>
      </c>
      <c r="G3926" s="1">
        <v>1.6199999999999999E-2</v>
      </c>
      <c r="H3926" s="1">
        <v>0.66639999999999999</v>
      </c>
      <c r="I3926" s="1">
        <v>0.15029999999999999</v>
      </c>
      <c r="J3926" s="1">
        <v>1.34E-2</v>
      </c>
      <c r="K3926" s="1">
        <v>0.1057</v>
      </c>
    </row>
    <row r="3927" spans="1:11" s="26" customFormat="1">
      <c r="A3927" s="26" t="s">
        <v>236</v>
      </c>
      <c r="B3927" s="26" t="s">
        <v>209</v>
      </c>
      <c r="C3927" s="26">
        <v>18</v>
      </c>
      <c r="D3927" s="26" t="s">
        <v>212</v>
      </c>
      <c r="E3927" s="26">
        <v>968</v>
      </c>
      <c r="F3927" s="27">
        <v>5.2499999999999998E-2</v>
      </c>
      <c r="G3927" s="27">
        <v>4.1099999999999998E-2</v>
      </c>
      <c r="H3927" s="27">
        <v>0.63190000000000002</v>
      </c>
      <c r="I3927" s="27">
        <v>0.25679999999999997</v>
      </c>
      <c r="K3927" s="27">
        <v>1.77E-2</v>
      </c>
    </row>
    <row r="3928" spans="1:11">
      <c r="A3928" t="s">
        <v>236</v>
      </c>
      <c r="B3928" t="s">
        <v>209</v>
      </c>
      <c r="C3928">
        <v>38</v>
      </c>
      <c r="D3928" t="s">
        <v>210</v>
      </c>
      <c r="E3928">
        <v>968</v>
      </c>
      <c r="G3928" s="1">
        <v>2.0299999999999999E-2</v>
      </c>
      <c r="H3928" s="1">
        <v>0.68779999999999997</v>
      </c>
      <c r="I3928" s="1">
        <v>0.18779999999999999</v>
      </c>
      <c r="K3928" s="1">
        <v>0.1041</v>
      </c>
    </row>
    <row r="3929" spans="1:11">
      <c r="A3929" t="s">
        <v>235</v>
      </c>
      <c r="B3929" t="s">
        <v>209</v>
      </c>
      <c r="C3929">
        <v>32</v>
      </c>
      <c r="D3929" t="s">
        <v>210</v>
      </c>
      <c r="E3929">
        <v>968</v>
      </c>
      <c r="F3929" s="1">
        <v>3.2300000000000002E-2</v>
      </c>
      <c r="H3929" s="1">
        <v>0.61399999999999999</v>
      </c>
      <c r="I3929" s="1">
        <v>0.19389999999999999</v>
      </c>
      <c r="J3929" s="1">
        <v>3.2300000000000002E-2</v>
      </c>
      <c r="K3929" s="1">
        <v>0.1275</v>
      </c>
    </row>
    <row r="3931" spans="1:11">
      <c r="A3931" t="s">
        <v>951</v>
      </c>
    </row>
    <row r="3932" spans="1:11">
      <c r="A3932" t="s">
        <v>189</v>
      </c>
      <c r="B3932" t="s">
        <v>195</v>
      </c>
      <c r="C3932" t="s">
        <v>190</v>
      </c>
      <c r="D3932" t="s">
        <v>196</v>
      </c>
      <c r="E3932" t="s">
        <v>228</v>
      </c>
      <c r="F3932" t="s">
        <v>952</v>
      </c>
      <c r="G3932" t="s">
        <v>953</v>
      </c>
      <c r="H3932" t="s">
        <v>223</v>
      </c>
      <c r="I3932" t="s">
        <v>216</v>
      </c>
    </row>
    <row r="3933" spans="1:11">
      <c r="A3933" t="s">
        <v>197</v>
      </c>
      <c r="B3933">
        <v>968</v>
      </c>
      <c r="C3933" t="s">
        <v>198</v>
      </c>
      <c r="D3933">
        <v>968</v>
      </c>
      <c r="E3933" s="1">
        <v>6.1000000000000004E-3</v>
      </c>
      <c r="F3933" s="1">
        <v>8.3000000000000004E-2</v>
      </c>
      <c r="G3933" s="1">
        <v>0.69499999999999995</v>
      </c>
      <c r="H3933" s="1">
        <v>2.9999999999999997E-4</v>
      </c>
      <c r="I3933" s="1">
        <v>0.21560000000000001</v>
      </c>
    </row>
    <row r="3934" spans="1:11">
      <c r="A3934" t="s">
        <v>204</v>
      </c>
      <c r="B3934">
        <v>91</v>
      </c>
      <c r="C3934" t="s">
        <v>205</v>
      </c>
      <c r="D3934">
        <v>968</v>
      </c>
      <c r="F3934" s="1">
        <v>4.9799999999999997E-2</v>
      </c>
      <c r="G3934" s="1">
        <v>0.68369999999999997</v>
      </c>
      <c r="I3934" s="1">
        <v>0.2666</v>
      </c>
    </row>
    <row r="3935" spans="1:11">
      <c r="A3935" t="s">
        <v>204</v>
      </c>
      <c r="B3935">
        <v>72</v>
      </c>
      <c r="C3935" t="s">
        <v>206</v>
      </c>
      <c r="D3935">
        <v>968</v>
      </c>
      <c r="E3935" s="1">
        <v>1.1599999999999999E-2</v>
      </c>
      <c r="F3935" s="1">
        <v>0.1024</v>
      </c>
      <c r="G3935" s="1">
        <v>0.58599999999999997</v>
      </c>
      <c r="I3935" s="1">
        <v>0.2999</v>
      </c>
    </row>
    <row r="3936" spans="1:11">
      <c r="A3936" t="s">
        <v>204</v>
      </c>
      <c r="B3936">
        <v>131</v>
      </c>
      <c r="C3936" t="s">
        <v>207</v>
      </c>
      <c r="D3936">
        <v>968</v>
      </c>
      <c r="E3936" s="1">
        <v>3.5999999999999999E-3</v>
      </c>
      <c r="F3936" s="1">
        <v>2.5999999999999999E-2</v>
      </c>
      <c r="G3936" s="1">
        <v>0.81499999999999995</v>
      </c>
      <c r="I3936" s="1">
        <v>0.15529999999999999</v>
      </c>
    </row>
    <row r="3937" spans="1:10">
      <c r="A3937" t="s">
        <v>204</v>
      </c>
      <c r="B3937">
        <v>74</v>
      </c>
      <c r="C3937" t="s">
        <v>208</v>
      </c>
      <c r="D3937">
        <v>968</v>
      </c>
      <c r="F3937" s="1">
        <v>0.2162</v>
      </c>
      <c r="G3937" s="1">
        <v>0.56759999999999999</v>
      </c>
      <c r="I3937" s="1">
        <v>0.2162</v>
      </c>
    </row>
    <row r="3938" spans="1:10">
      <c r="A3938" t="s">
        <v>199</v>
      </c>
      <c r="B3938">
        <v>73</v>
      </c>
      <c r="C3938" t="s">
        <v>200</v>
      </c>
      <c r="D3938">
        <v>968</v>
      </c>
      <c r="E3938" s="1">
        <v>1.6000000000000001E-3</v>
      </c>
      <c r="F3938" s="1">
        <v>0.1411</v>
      </c>
      <c r="G3938" s="1">
        <v>0.78300000000000003</v>
      </c>
      <c r="I3938" s="1">
        <v>7.4300000000000005E-2</v>
      </c>
    </row>
    <row r="3939" spans="1:10">
      <c r="A3939" t="s">
        <v>199</v>
      </c>
      <c r="B3939">
        <v>96</v>
      </c>
      <c r="C3939" t="s">
        <v>201</v>
      </c>
      <c r="D3939">
        <v>968</v>
      </c>
      <c r="E3939" s="1">
        <v>1.04E-2</v>
      </c>
      <c r="F3939" s="1">
        <v>7.2900000000000006E-2</v>
      </c>
      <c r="G3939" s="1">
        <v>0.71879999999999999</v>
      </c>
      <c r="I3939" s="1">
        <v>0.19789999999999999</v>
      </c>
    </row>
    <row r="3940" spans="1:10">
      <c r="A3940" t="s">
        <v>199</v>
      </c>
      <c r="B3940">
        <v>98</v>
      </c>
      <c r="C3940" t="s">
        <v>202</v>
      </c>
      <c r="D3940">
        <v>968</v>
      </c>
      <c r="F3940" s="1">
        <v>0.1019</v>
      </c>
      <c r="G3940" s="1">
        <v>0.67620000000000002</v>
      </c>
      <c r="I3940" s="1">
        <v>0.22189999999999999</v>
      </c>
    </row>
    <row r="3941" spans="1:10">
      <c r="A3941" t="s">
        <v>199</v>
      </c>
      <c r="B3941">
        <v>77</v>
      </c>
      <c r="C3941" t="s">
        <v>203</v>
      </c>
      <c r="D3941">
        <v>968</v>
      </c>
      <c r="E3941" s="1">
        <v>9.4999999999999998E-3</v>
      </c>
      <c r="F3941" s="1">
        <v>0.11070000000000001</v>
      </c>
      <c r="G3941" s="1">
        <v>0.5212</v>
      </c>
      <c r="H3941" s="1">
        <v>9.4999999999999998E-3</v>
      </c>
      <c r="I3941" s="1">
        <v>0.34910000000000002</v>
      </c>
    </row>
    <row r="3942" spans="1:10">
      <c r="A3942" t="s">
        <v>209</v>
      </c>
      <c r="B3942">
        <v>74</v>
      </c>
      <c r="C3942" t="s">
        <v>210</v>
      </c>
      <c r="D3942">
        <v>968</v>
      </c>
      <c r="F3942" s="1">
        <v>7.8100000000000003E-2</v>
      </c>
      <c r="G3942" s="1">
        <v>0.66810000000000003</v>
      </c>
      <c r="I3942" s="1">
        <v>0.25380000000000003</v>
      </c>
    </row>
    <row r="3943" spans="1:10">
      <c r="A3943" t="s">
        <v>209</v>
      </c>
      <c r="B3943">
        <v>97</v>
      </c>
      <c r="C3943" t="s">
        <v>211</v>
      </c>
      <c r="D3943">
        <v>968</v>
      </c>
      <c r="E3943" s="1">
        <v>1.6299999999999999E-2</v>
      </c>
      <c r="F3943" s="1">
        <v>0.18590000000000001</v>
      </c>
      <c r="G3943" s="1">
        <v>0.55349999999999999</v>
      </c>
      <c r="I3943" s="1">
        <v>0.24429999999999999</v>
      </c>
    </row>
    <row r="3944" spans="1:10">
      <c r="A3944" t="s">
        <v>209</v>
      </c>
      <c r="B3944">
        <v>85</v>
      </c>
      <c r="C3944" t="s">
        <v>212</v>
      </c>
      <c r="D3944">
        <v>968</v>
      </c>
      <c r="E3944" s="1">
        <v>2.07E-2</v>
      </c>
      <c r="F3944" s="1">
        <v>6.9099999999999995E-2</v>
      </c>
      <c r="G3944" s="1">
        <v>0.71750000000000003</v>
      </c>
      <c r="I3944" s="1">
        <v>0.19270000000000001</v>
      </c>
    </row>
    <row r="3946" spans="1:10">
      <c r="A3946" t="s">
        <v>954</v>
      </c>
    </row>
    <row r="3947" spans="1:10">
      <c r="A3947" t="s">
        <v>214</v>
      </c>
      <c r="B3947" t="s">
        <v>189</v>
      </c>
      <c r="C3947" t="s">
        <v>195</v>
      </c>
      <c r="D3947" t="s">
        <v>190</v>
      </c>
      <c r="E3947" t="s">
        <v>196</v>
      </c>
      <c r="F3947" t="s">
        <v>228</v>
      </c>
      <c r="G3947" t="s">
        <v>952</v>
      </c>
      <c r="H3947" t="s">
        <v>953</v>
      </c>
      <c r="I3947" t="s">
        <v>223</v>
      </c>
      <c r="J3947" t="s">
        <v>216</v>
      </c>
    </row>
    <row r="3948" spans="1:10">
      <c r="A3948" t="s">
        <v>198</v>
      </c>
      <c r="B3948" t="s">
        <v>197</v>
      </c>
      <c r="C3948">
        <v>968</v>
      </c>
      <c r="D3948" t="s">
        <v>198</v>
      </c>
      <c r="E3948">
        <v>968</v>
      </c>
      <c r="F3948" s="1">
        <v>6.1000000000000004E-3</v>
      </c>
      <c r="G3948" s="1">
        <v>8.3000000000000004E-2</v>
      </c>
      <c r="H3948" s="1">
        <v>0.69499999999999995</v>
      </c>
      <c r="I3948" s="1">
        <v>2.9999999999999997E-4</v>
      </c>
      <c r="J3948" s="1">
        <v>0.21560000000000001</v>
      </c>
    </row>
    <row r="3949" spans="1:10">
      <c r="A3949" t="s">
        <v>235</v>
      </c>
      <c r="B3949" t="s">
        <v>204</v>
      </c>
      <c r="C3949">
        <v>63</v>
      </c>
      <c r="D3949" t="s">
        <v>208</v>
      </c>
      <c r="E3949">
        <v>968</v>
      </c>
      <c r="G3949" s="1">
        <v>0.20630000000000001</v>
      </c>
      <c r="H3949" s="1">
        <v>0.58730000000000004</v>
      </c>
      <c r="J3949" s="1">
        <v>0.20630000000000001</v>
      </c>
    </row>
    <row r="3950" spans="1:10">
      <c r="A3950" t="s">
        <v>236</v>
      </c>
      <c r="B3950" t="s">
        <v>204</v>
      </c>
      <c r="C3950">
        <v>32</v>
      </c>
      <c r="D3950" t="s">
        <v>205</v>
      </c>
      <c r="E3950">
        <v>968</v>
      </c>
      <c r="G3950" s="1">
        <v>0.1547</v>
      </c>
      <c r="H3950" s="1">
        <v>0.50919999999999999</v>
      </c>
      <c r="J3950" s="1">
        <v>0.33610000000000001</v>
      </c>
    </row>
    <row r="3951" spans="1:10">
      <c r="A3951" t="s">
        <v>235</v>
      </c>
      <c r="B3951" t="s">
        <v>204</v>
      </c>
      <c r="C3951">
        <v>58</v>
      </c>
      <c r="D3951" t="s">
        <v>205</v>
      </c>
      <c r="E3951">
        <v>968</v>
      </c>
      <c r="G3951" s="1">
        <v>2.7099999999999999E-2</v>
      </c>
      <c r="H3951" s="1">
        <v>0.72060000000000002</v>
      </c>
      <c r="J3951" s="1">
        <v>0.25230000000000002</v>
      </c>
    </row>
    <row r="3952" spans="1:10" s="26" customFormat="1">
      <c r="A3952" s="26" t="s">
        <v>236</v>
      </c>
      <c r="B3952" s="26" t="s">
        <v>204</v>
      </c>
      <c r="C3952" s="26">
        <v>21</v>
      </c>
      <c r="D3952" s="26" t="s">
        <v>206</v>
      </c>
      <c r="E3952" s="26">
        <v>968</v>
      </c>
      <c r="F3952" s="27">
        <v>4.2799999999999998E-2</v>
      </c>
      <c r="G3952" s="27">
        <v>0.29060000000000002</v>
      </c>
      <c r="H3952" s="27">
        <v>0.47860000000000003</v>
      </c>
      <c r="J3952" s="27">
        <v>0.18809999999999999</v>
      </c>
    </row>
    <row r="3953" spans="1:10">
      <c r="A3953" t="s">
        <v>235</v>
      </c>
      <c r="B3953" t="s">
        <v>204</v>
      </c>
      <c r="C3953">
        <v>47</v>
      </c>
      <c r="D3953" t="s">
        <v>206</v>
      </c>
      <c r="E3953">
        <v>968</v>
      </c>
      <c r="G3953" s="1">
        <v>3.44E-2</v>
      </c>
      <c r="H3953" s="1">
        <v>0.63919999999999999</v>
      </c>
      <c r="J3953" s="1">
        <v>0.32640000000000002</v>
      </c>
    </row>
    <row r="3954" spans="1:10">
      <c r="A3954" t="s">
        <v>236</v>
      </c>
      <c r="B3954" t="s">
        <v>204</v>
      </c>
      <c r="C3954">
        <v>81</v>
      </c>
      <c r="D3954" t="s">
        <v>207</v>
      </c>
      <c r="E3954">
        <v>968</v>
      </c>
      <c r="F3954" s="1">
        <v>8.8000000000000005E-3</v>
      </c>
      <c r="G3954" s="1">
        <v>5.1900000000000002E-2</v>
      </c>
      <c r="H3954" s="1">
        <v>0.71819999999999995</v>
      </c>
      <c r="J3954" s="1">
        <v>0.22109999999999999</v>
      </c>
    </row>
    <row r="3955" spans="1:10">
      <c r="A3955" t="s">
        <v>235</v>
      </c>
      <c r="B3955" t="s">
        <v>204</v>
      </c>
      <c r="C3955">
        <v>45</v>
      </c>
      <c r="D3955" t="s">
        <v>207</v>
      </c>
      <c r="E3955">
        <v>968</v>
      </c>
      <c r="G3955" s="1">
        <v>8.6E-3</v>
      </c>
      <c r="H3955" s="1">
        <v>0.88690000000000002</v>
      </c>
      <c r="J3955" s="1">
        <v>0.1045</v>
      </c>
    </row>
    <row r="3956" spans="1:10" s="26" customFormat="1">
      <c r="A3956" s="26" t="s">
        <v>236</v>
      </c>
      <c r="B3956" s="26" t="s">
        <v>204</v>
      </c>
      <c r="C3956" s="26">
        <v>11</v>
      </c>
      <c r="D3956" s="26" t="s">
        <v>208</v>
      </c>
      <c r="E3956" s="26">
        <v>968</v>
      </c>
      <c r="G3956" s="27">
        <v>0.2727</v>
      </c>
      <c r="H3956" s="27">
        <v>0.45450000000000002</v>
      </c>
      <c r="J3956" s="27">
        <v>0.2727</v>
      </c>
    </row>
    <row r="3957" spans="1:10">
      <c r="A3957" t="s">
        <v>235</v>
      </c>
      <c r="B3957" t="s">
        <v>199</v>
      </c>
      <c r="C3957">
        <v>44</v>
      </c>
      <c r="D3957" t="s">
        <v>203</v>
      </c>
      <c r="E3957">
        <v>968</v>
      </c>
      <c r="F3957" s="1">
        <v>1.5100000000000001E-2</v>
      </c>
      <c r="G3957" s="1">
        <v>9.01E-2</v>
      </c>
      <c r="H3957" s="1">
        <v>0.59379999999999999</v>
      </c>
      <c r="I3957" s="1">
        <v>1.5100000000000001E-2</v>
      </c>
      <c r="J3957" s="1">
        <v>0.2858</v>
      </c>
    </row>
    <row r="3958" spans="1:10">
      <c r="A3958" t="s">
        <v>236</v>
      </c>
      <c r="B3958" t="s">
        <v>199</v>
      </c>
      <c r="C3958">
        <v>32</v>
      </c>
      <c r="D3958" t="s">
        <v>203</v>
      </c>
      <c r="E3958">
        <v>968</v>
      </c>
      <c r="G3958" s="1">
        <v>0.1565</v>
      </c>
      <c r="H3958" s="1">
        <v>0.43</v>
      </c>
      <c r="J3958" s="1">
        <v>0.41339999999999999</v>
      </c>
    </row>
    <row r="3959" spans="1:10">
      <c r="A3959" t="s">
        <v>235</v>
      </c>
      <c r="B3959" t="s">
        <v>199</v>
      </c>
      <c r="C3959">
        <v>60</v>
      </c>
      <c r="D3959" t="s">
        <v>202</v>
      </c>
      <c r="E3959">
        <v>968</v>
      </c>
      <c r="G3959" s="1">
        <v>8.5400000000000004E-2</v>
      </c>
      <c r="H3959" s="1">
        <v>0.69669999999999999</v>
      </c>
      <c r="J3959" s="1">
        <v>0.21790000000000001</v>
      </c>
    </row>
    <row r="3960" spans="1:10" s="26" customFormat="1">
      <c r="A3960" s="26" t="s">
        <v>236</v>
      </c>
      <c r="B3960" s="26" t="s">
        <v>199</v>
      </c>
      <c r="C3960" s="26">
        <v>24</v>
      </c>
      <c r="D3960" s="26" t="s">
        <v>200</v>
      </c>
      <c r="E3960" s="26">
        <v>968</v>
      </c>
      <c r="G3960" s="27">
        <v>0.1782</v>
      </c>
      <c r="H3960" s="27">
        <v>0.76910000000000001</v>
      </c>
      <c r="J3960" s="27">
        <v>5.2699999999999997E-2</v>
      </c>
    </row>
    <row r="3961" spans="1:10">
      <c r="A3961" t="s">
        <v>235</v>
      </c>
      <c r="B3961" t="s">
        <v>199</v>
      </c>
      <c r="C3961">
        <v>46</v>
      </c>
      <c r="D3961" t="s">
        <v>200</v>
      </c>
      <c r="E3961">
        <v>968</v>
      </c>
      <c r="F3961" s="1">
        <v>3.0000000000000001E-3</v>
      </c>
      <c r="G3961" s="1">
        <v>0.10929999999999999</v>
      </c>
      <c r="H3961" s="1">
        <v>0.79349999999999998</v>
      </c>
      <c r="J3961" s="1">
        <v>9.4299999999999995E-2</v>
      </c>
    </row>
    <row r="3962" spans="1:10">
      <c r="A3962" t="s">
        <v>236</v>
      </c>
      <c r="B3962" t="s">
        <v>199</v>
      </c>
      <c r="C3962">
        <v>37</v>
      </c>
      <c r="D3962" t="s">
        <v>202</v>
      </c>
      <c r="E3962">
        <v>968</v>
      </c>
      <c r="G3962" s="1">
        <v>0.12809999999999999</v>
      </c>
      <c r="H3962" s="1">
        <v>0.63700000000000001</v>
      </c>
      <c r="J3962" s="1">
        <v>0.23480000000000001</v>
      </c>
    </row>
    <row r="3963" spans="1:10">
      <c r="A3963" t="s">
        <v>235</v>
      </c>
      <c r="B3963" t="s">
        <v>199</v>
      </c>
      <c r="C3963">
        <v>96</v>
      </c>
      <c r="D3963" t="s">
        <v>201</v>
      </c>
      <c r="E3963">
        <v>968</v>
      </c>
      <c r="F3963" s="1">
        <v>1.04E-2</v>
      </c>
      <c r="G3963" s="1">
        <v>7.2900000000000006E-2</v>
      </c>
      <c r="H3963" s="1">
        <v>0.71879999999999999</v>
      </c>
      <c r="J3963" s="1">
        <v>0.19789999999999999</v>
      </c>
    </row>
    <row r="3964" spans="1:10">
      <c r="A3964" t="s">
        <v>236</v>
      </c>
      <c r="B3964" t="s">
        <v>209</v>
      </c>
      <c r="C3964">
        <v>39</v>
      </c>
      <c r="D3964" t="s">
        <v>211</v>
      </c>
      <c r="E3964">
        <v>968</v>
      </c>
      <c r="F3964" s="1">
        <v>1.18E-2</v>
      </c>
      <c r="G3964" s="1">
        <v>0.23019999999999999</v>
      </c>
      <c r="H3964" s="1">
        <v>0.56040000000000001</v>
      </c>
      <c r="J3964" s="1">
        <v>0.1976</v>
      </c>
    </row>
    <row r="3965" spans="1:10">
      <c r="A3965" t="s">
        <v>235</v>
      </c>
      <c r="B3965" t="s">
        <v>209</v>
      </c>
      <c r="C3965">
        <v>56</v>
      </c>
      <c r="D3965" t="s">
        <v>211</v>
      </c>
      <c r="E3965">
        <v>968</v>
      </c>
      <c r="F3965" s="1">
        <v>1.9599999999999999E-2</v>
      </c>
      <c r="G3965" s="1">
        <v>0.1444</v>
      </c>
      <c r="H3965" s="1">
        <v>0.57699999999999996</v>
      </c>
      <c r="J3965" s="1">
        <v>0.25890000000000002</v>
      </c>
    </row>
    <row r="3966" spans="1:10">
      <c r="A3966" t="s">
        <v>235</v>
      </c>
      <c r="B3966" t="s">
        <v>209</v>
      </c>
      <c r="C3966">
        <v>67</v>
      </c>
      <c r="D3966" t="s">
        <v>212</v>
      </c>
      <c r="E3966">
        <v>968</v>
      </c>
      <c r="F3966" s="1">
        <v>2.4E-2</v>
      </c>
      <c r="G3966" s="1">
        <v>4.5900000000000003E-2</v>
      </c>
      <c r="H3966" s="1">
        <v>0.71779999999999999</v>
      </c>
      <c r="J3966" s="1">
        <v>0.21240000000000001</v>
      </c>
    </row>
    <row r="3967" spans="1:10" s="26" customFormat="1">
      <c r="A3967" s="26" t="s">
        <v>236</v>
      </c>
      <c r="B3967" s="26" t="s">
        <v>209</v>
      </c>
      <c r="C3967" s="26">
        <v>18</v>
      </c>
      <c r="D3967" s="26" t="s">
        <v>212</v>
      </c>
      <c r="E3967" s="26">
        <v>968</v>
      </c>
      <c r="G3967" s="27">
        <v>0.21390000000000001</v>
      </c>
      <c r="H3967" s="27">
        <v>0.71579999999999999</v>
      </c>
      <c r="J3967" s="27">
        <v>7.0300000000000001E-2</v>
      </c>
    </row>
    <row r="3968" spans="1:10">
      <c r="A3968" t="s">
        <v>236</v>
      </c>
      <c r="B3968" t="s">
        <v>209</v>
      </c>
      <c r="C3968">
        <v>38</v>
      </c>
      <c r="D3968" t="s">
        <v>210</v>
      </c>
      <c r="E3968">
        <v>968</v>
      </c>
      <c r="G3968" s="1">
        <v>6.0999999999999999E-2</v>
      </c>
      <c r="H3968" s="1">
        <v>0.81459999999999999</v>
      </c>
      <c r="J3968" s="1">
        <v>0.1244</v>
      </c>
    </row>
    <row r="3969" spans="1:10">
      <c r="A3969" t="s">
        <v>235</v>
      </c>
      <c r="B3969" t="s">
        <v>209</v>
      </c>
      <c r="C3969">
        <v>32</v>
      </c>
      <c r="D3969" t="s">
        <v>210</v>
      </c>
      <c r="E3969">
        <v>968</v>
      </c>
      <c r="G3969" s="1">
        <v>9.69E-2</v>
      </c>
      <c r="H3969" s="1">
        <v>0.56459999999999999</v>
      </c>
      <c r="J3969" s="1">
        <v>0.33839999999999998</v>
      </c>
    </row>
    <row r="3971" spans="1:10">
      <c r="A3971" t="s">
        <v>955</v>
      </c>
    </row>
    <row r="3972" spans="1:10">
      <c r="A3972" t="s">
        <v>189</v>
      </c>
      <c r="B3972" t="s">
        <v>190</v>
      </c>
      <c r="C3972" t="s">
        <v>191</v>
      </c>
      <c r="D3972" t="s">
        <v>192</v>
      </c>
      <c r="E3972" t="s">
        <v>193</v>
      </c>
      <c r="F3972" t="s">
        <v>194</v>
      </c>
      <c r="G3972" t="s">
        <v>195</v>
      </c>
      <c r="H3972" t="s">
        <v>196</v>
      </c>
    </row>
    <row r="3973" spans="1:10">
      <c r="A3973" t="s">
        <v>197</v>
      </c>
      <c r="B3973" t="s">
        <v>198</v>
      </c>
      <c r="C3973">
        <v>0.16762289185717991</v>
      </c>
      <c r="D3973">
        <v>0</v>
      </c>
      <c r="E3973">
        <v>0</v>
      </c>
      <c r="F3973">
        <v>15</v>
      </c>
      <c r="G3973">
        <v>861</v>
      </c>
      <c r="H3973">
        <v>861</v>
      </c>
    </row>
    <row r="3974" spans="1:10">
      <c r="A3974" t="s">
        <v>199</v>
      </c>
      <c r="B3974" t="s">
        <v>200</v>
      </c>
      <c r="C3974">
        <v>0.1002110702337549</v>
      </c>
      <c r="D3974">
        <v>0</v>
      </c>
      <c r="E3974">
        <v>0</v>
      </c>
      <c r="F3974">
        <v>4</v>
      </c>
      <c r="G3974">
        <v>66</v>
      </c>
      <c r="H3974">
        <v>861</v>
      </c>
    </row>
    <row r="3975" spans="1:10">
      <c r="A3975" t="s">
        <v>199</v>
      </c>
      <c r="B3975" t="s">
        <v>201</v>
      </c>
      <c r="C3975">
        <v>0.19767441860465121</v>
      </c>
      <c r="D3975">
        <v>0</v>
      </c>
      <c r="E3975">
        <v>0</v>
      </c>
      <c r="F3975">
        <v>14</v>
      </c>
      <c r="G3975">
        <v>86</v>
      </c>
      <c r="H3975">
        <v>861</v>
      </c>
    </row>
    <row r="3976" spans="1:10">
      <c r="A3976" t="s">
        <v>199</v>
      </c>
      <c r="B3976" t="s">
        <v>202</v>
      </c>
      <c r="C3976">
        <v>7.7518958404714705E-2</v>
      </c>
      <c r="D3976">
        <v>0</v>
      </c>
      <c r="E3976">
        <v>0</v>
      </c>
      <c r="F3976">
        <v>3</v>
      </c>
      <c r="G3976">
        <v>91</v>
      </c>
      <c r="H3976">
        <v>861</v>
      </c>
    </row>
    <row r="3977" spans="1:10">
      <c r="A3977" t="s">
        <v>199</v>
      </c>
      <c r="B3977" t="s">
        <v>203</v>
      </c>
      <c r="C3977">
        <v>0.44205513550116671</v>
      </c>
      <c r="D3977">
        <v>0</v>
      </c>
      <c r="E3977">
        <v>0</v>
      </c>
      <c r="F3977">
        <v>7</v>
      </c>
      <c r="G3977">
        <v>65</v>
      </c>
      <c r="H3977">
        <v>861</v>
      </c>
    </row>
    <row r="3978" spans="1:10">
      <c r="A3978" t="s">
        <v>204</v>
      </c>
      <c r="B3978" t="s">
        <v>205</v>
      </c>
      <c r="C3978">
        <v>5.1650364400190156E-3</v>
      </c>
      <c r="D3978">
        <v>0</v>
      </c>
      <c r="E3978">
        <v>0</v>
      </c>
      <c r="F3978">
        <v>2</v>
      </c>
      <c r="G3978">
        <v>81</v>
      </c>
      <c r="H3978">
        <v>861</v>
      </c>
    </row>
    <row r="3979" spans="1:10">
      <c r="A3979" t="s">
        <v>204</v>
      </c>
      <c r="B3979" t="s">
        <v>206</v>
      </c>
      <c r="C3979">
        <v>0.32143420247251692</v>
      </c>
      <c r="D3979">
        <v>0</v>
      </c>
      <c r="E3979">
        <v>0</v>
      </c>
      <c r="F3979">
        <v>5</v>
      </c>
      <c r="G3979">
        <v>60</v>
      </c>
      <c r="H3979">
        <v>861</v>
      </c>
    </row>
    <row r="3980" spans="1:10">
      <c r="A3980" t="s">
        <v>204</v>
      </c>
      <c r="B3980" t="s">
        <v>207</v>
      </c>
      <c r="C3980">
        <v>8.4312269608883758E-2</v>
      </c>
      <c r="D3980">
        <v>0</v>
      </c>
      <c r="E3980">
        <v>0</v>
      </c>
      <c r="F3980">
        <v>7</v>
      </c>
      <c r="G3980">
        <v>116</v>
      </c>
      <c r="H3980">
        <v>861</v>
      </c>
    </row>
    <row r="3981" spans="1:10">
      <c r="A3981" t="s">
        <v>204</v>
      </c>
      <c r="B3981" t="s">
        <v>208</v>
      </c>
      <c r="C3981">
        <v>7.6923076923076927E-2</v>
      </c>
      <c r="D3981">
        <v>0</v>
      </c>
      <c r="E3981">
        <v>0</v>
      </c>
      <c r="F3981">
        <v>4</v>
      </c>
      <c r="G3981">
        <v>65</v>
      </c>
      <c r="H3981">
        <v>861</v>
      </c>
    </row>
    <row r="3982" spans="1:10">
      <c r="A3982" t="s">
        <v>209</v>
      </c>
      <c r="B3982" t="s">
        <v>210</v>
      </c>
      <c r="C3982">
        <v>0.40244589081017429</v>
      </c>
      <c r="D3982">
        <v>0</v>
      </c>
      <c r="E3982">
        <v>0</v>
      </c>
      <c r="F3982">
        <v>14</v>
      </c>
      <c r="G3982">
        <v>63</v>
      </c>
      <c r="H3982">
        <v>861</v>
      </c>
    </row>
    <row r="3983" spans="1:10">
      <c r="A3983" t="s">
        <v>209</v>
      </c>
      <c r="B3983" t="s">
        <v>211</v>
      </c>
      <c r="C3983">
        <v>0.40608100942687309</v>
      </c>
      <c r="D3983">
        <v>0</v>
      </c>
      <c r="E3983">
        <v>0</v>
      </c>
      <c r="F3983">
        <v>14</v>
      </c>
      <c r="G3983">
        <v>89</v>
      </c>
      <c r="H3983">
        <v>861</v>
      </c>
    </row>
    <row r="3984" spans="1:10">
      <c r="A3984" t="s">
        <v>209</v>
      </c>
      <c r="B3984" t="s">
        <v>212</v>
      </c>
      <c r="C3984">
        <v>0.53662088089763138</v>
      </c>
      <c r="D3984">
        <v>0</v>
      </c>
      <c r="E3984">
        <v>0</v>
      </c>
      <c r="F3984">
        <v>15</v>
      </c>
      <c r="G3984">
        <v>79</v>
      </c>
      <c r="H3984">
        <v>861</v>
      </c>
    </row>
    <row r="3986" spans="1:9">
      <c r="A3986" t="s">
        <v>956</v>
      </c>
    </row>
    <row r="3987" spans="1:9">
      <c r="A3987" t="s">
        <v>189</v>
      </c>
      <c r="B3987" t="s">
        <v>190</v>
      </c>
      <c r="C3987" t="s">
        <v>214</v>
      </c>
      <c r="D3987" t="s">
        <v>191</v>
      </c>
      <c r="E3987" t="s">
        <v>192</v>
      </c>
      <c r="F3987" t="s">
        <v>193</v>
      </c>
      <c r="G3987" t="s">
        <v>194</v>
      </c>
      <c r="H3987" t="s">
        <v>195</v>
      </c>
      <c r="I3987" t="s">
        <v>196</v>
      </c>
    </row>
    <row r="3988" spans="1:9">
      <c r="A3988" t="s">
        <v>197</v>
      </c>
      <c r="B3988" t="s">
        <v>198</v>
      </c>
      <c r="C3988" t="s">
        <v>198</v>
      </c>
      <c r="D3988">
        <v>0.16762289185717991</v>
      </c>
      <c r="E3988">
        <v>0</v>
      </c>
      <c r="F3988">
        <v>0</v>
      </c>
      <c r="G3988">
        <v>15</v>
      </c>
      <c r="H3988">
        <v>861</v>
      </c>
      <c r="I3988">
        <v>861</v>
      </c>
    </row>
    <row r="3989" spans="1:9" s="26" customFormat="1">
      <c r="A3989" s="26" t="s">
        <v>199</v>
      </c>
      <c r="B3989" s="26" t="s">
        <v>200</v>
      </c>
      <c r="C3989" s="26" t="s">
        <v>236</v>
      </c>
      <c r="D3989" s="26">
        <v>0</v>
      </c>
      <c r="E3989" s="26">
        <v>0</v>
      </c>
      <c r="F3989" s="26">
        <v>0</v>
      </c>
      <c r="G3989" s="26">
        <v>0</v>
      </c>
      <c r="H3989" s="26">
        <v>23</v>
      </c>
      <c r="I3989" s="26">
        <v>861</v>
      </c>
    </row>
    <row r="3990" spans="1:9">
      <c r="A3990" t="s">
        <v>199</v>
      </c>
      <c r="B3990" t="s">
        <v>200</v>
      </c>
      <c r="C3990" t="s">
        <v>235</v>
      </c>
      <c r="D3990">
        <v>0.19137354805618989</v>
      </c>
      <c r="E3990">
        <v>0</v>
      </c>
      <c r="F3990">
        <v>0</v>
      </c>
      <c r="G3990">
        <v>4</v>
      </c>
      <c r="H3990">
        <v>41</v>
      </c>
      <c r="I3990">
        <v>861</v>
      </c>
    </row>
    <row r="3991" spans="1:9">
      <c r="A3991" t="s">
        <v>199</v>
      </c>
      <c r="B3991" t="s">
        <v>201</v>
      </c>
      <c r="C3991" t="s">
        <v>235</v>
      </c>
      <c r="D3991">
        <v>0.19767441860465121</v>
      </c>
      <c r="E3991">
        <v>0</v>
      </c>
      <c r="F3991">
        <v>0</v>
      </c>
      <c r="G3991">
        <v>14</v>
      </c>
      <c r="H3991">
        <v>86</v>
      </c>
      <c r="I3991">
        <v>861</v>
      </c>
    </row>
    <row r="3992" spans="1:9">
      <c r="A3992" t="s">
        <v>199</v>
      </c>
      <c r="B3992" t="s">
        <v>202</v>
      </c>
      <c r="C3992" t="s">
        <v>236</v>
      </c>
      <c r="D3992">
        <v>0</v>
      </c>
      <c r="E3992">
        <v>0</v>
      </c>
      <c r="F3992">
        <v>0</v>
      </c>
      <c r="G3992">
        <v>0</v>
      </c>
      <c r="H3992">
        <v>35</v>
      </c>
      <c r="I3992">
        <v>861</v>
      </c>
    </row>
    <row r="3993" spans="1:9">
      <c r="A3993" t="s">
        <v>199</v>
      </c>
      <c r="B3993" t="s">
        <v>202</v>
      </c>
      <c r="C3993" t="s">
        <v>235</v>
      </c>
      <c r="D3993">
        <v>0.13770350712689289</v>
      </c>
      <c r="E3993">
        <v>0</v>
      </c>
      <c r="F3993">
        <v>0</v>
      </c>
      <c r="G3993">
        <v>3</v>
      </c>
      <c r="H3993">
        <v>55</v>
      </c>
      <c r="I3993">
        <v>861</v>
      </c>
    </row>
    <row r="3994" spans="1:9" s="26" customFormat="1">
      <c r="A3994" s="26" t="s">
        <v>199</v>
      </c>
      <c r="B3994" s="26" t="s">
        <v>203</v>
      </c>
      <c r="C3994" s="26" t="s">
        <v>236</v>
      </c>
      <c r="D3994" s="26">
        <v>0.90652774065153141</v>
      </c>
      <c r="E3994" s="26">
        <v>0</v>
      </c>
      <c r="F3994" s="26">
        <v>0</v>
      </c>
      <c r="G3994" s="26">
        <v>7</v>
      </c>
      <c r="H3994" s="26">
        <v>27</v>
      </c>
      <c r="I3994" s="26">
        <v>861</v>
      </c>
    </row>
    <row r="3995" spans="1:9">
      <c r="A3995" t="s">
        <v>199</v>
      </c>
      <c r="B3995" t="s">
        <v>203</v>
      </c>
      <c r="C3995" t="s">
        <v>235</v>
      </c>
      <c r="D3995">
        <v>0.23296117798445631</v>
      </c>
      <c r="E3995">
        <v>0</v>
      </c>
      <c r="F3995">
        <v>0</v>
      </c>
      <c r="G3995">
        <v>4</v>
      </c>
      <c r="H3995">
        <v>37</v>
      </c>
      <c r="I3995">
        <v>861</v>
      </c>
    </row>
    <row r="3996" spans="1:9" s="26" customFormat="1">
      <c r="A3996" s="26" t="s">
        <v>204</v>
      </c>
      <c r="B3996" s="26" t="s">
        <v>205</v>
      </c>
      <c r="C3996" s="26" t="s">
        <v>236</v>
      </c>
      <c r="D3996" s="26">
        <v>0</v>
      </c>
      <c r="E3996" s="26">
        <v>0</v>
      </c>
      <c r="F3996" s="26">
        <v>0</v>
      </c>
      <c r="G3996" s="26">
        <v>0</v>
      </c>
      <c r="H3996" s="26">
        <v>25</v>
      </c>
      <c r="I3996" s="26">
        <v>861</v>
      </c>
    </row>
    <row r="3997" spans="1:9">
      <c r="A3997" t="s">
        <v>204</v>
      </c>
      <c r="B3997" t="s">
        <v>205</v>
      </c>
      <c r="C3997" t="s">
        <v>235</v>
      </c>
      <c r="D3997">
        <v>6.2493970961848954E-3</v>
      </c>
      <c r="E3997">
        <v>0</v>
      </c>
      <c r="F3997">
        <v>0</v>
      </c>
      <c r="G3997">
        <v>2</v>
      </c>
      <c r="H3997">
        <v>55</v>
      </c>
      <c r="I3997">
        <v>861</v>
      </c>
    </row>
    <row r="3998" spans="1:9" s="26" customFormat="1">
      <c r="A3998" s="26" t="s">
        <v>204</v>
      </c>
      <c r="B3998" s="26" t="s">
        <v>206</v>
      </c>
      <c r="C3998" s="26" t="s">
        <v>236</v>
      </c>
      <c r="D3998" s="26">
        <v>0.26901384214825819</v>
      </c>
      <c r="E3998" s="26">
        <v>0</v>
      </c>
      <c r="F3998" s="26">
        <v>0</v>
      </c>
      <c r="G3998" s="26">
        <v>3</v>
      </c>
      <c r="H3998" s="26">
        <v>17</v>
      </c>
      <c r="I3998" s="26">
        <v>861</v>
      </c>
    </row>
    <row r="3999" spans="1:9">
      <c r="A3999" t="s">
        <v>204</v>
      </c>
      <c r="B3999" t="s">
        <v>206</v>
      </c>
      <c r="C3999" t="s">
        <v>235</v>
      </c>
      <c r="D3999">
        <v>0.36315785884903851</v>
      </c>
      <c r="E3999">
        <v>0</v>
      </c>
      <c r="F3999">
        <v>0</v>
      </c>
      <c r="G3999">
        <v>5</v>
      </c>
      <c r="H3999">
        <v>40</v>
      </c>
      <c r="I3999">
        <v>861</v>
      </c>
    </row>
    <row r="4000" spans="1:9">
      <c r="A4000" t="s">
        <v>204</v>
      </c>
      <c r="B4000" t="s">
        <v>207</v>
      </c>
      <c r="C4000" t="s">
        <v>236</v>
      </c>
      <c r="D4000">
        <v>0.19192157502587689</v>
      </c>
      <c r="E4000">
        <v>0</v>
      </c>
      <c r="F4000">
        <v>0</v>
      </c>
      <c r="G4000">
        <v>7</v>
      </c>
      <c r="H4000">
        <v>74</v>
      </c>
      <c r="I4000">
        <v>861</v>
      </c>
    </row>
    <row r="4001" spans="1:21">
      <c r="A4001" t="s">
        <v>204</v>
      </c>
      <c r="B4001" t="s">
        <v>207</v>
      </c>
      <c r="C4001" t="s">
        <v>235</v>
      </c>
      <c r="D4001">
        <v>1.2888222725702151E-2</v>
      </c>
      <c r="E4001">
        <v>0</v>
      </c>
      <c r="F4001">
        <v>0</v>
      </c>
      <c r="G4001">
        <v>1</v>
      </c>
      <c r="H4001">
        <v>37</v>
      </c>
      <c r="I4001">
        <v>861</v>
      </c>
    </row>
    <row r="4002" spans="1:21" s="26" customFormat="1">
      <c r="A4002" s="26" t="s">
        <v>204</v>
      </c>
      <c r="B4002" s="26" t="s">
        <v>208</v>
      </c>
      <c r="C4002" s="26" t="s">
        <v>236</v>
      </c>
      <c r="D4002" s="26">
        <v>0</v>
      </c>
      <c r="E4002" s="26">
        <v>0</v>
      </c>
      <c r="F4002" s="26">
        <v>0</v>
      </c>
      <c r="G4002" s="26">
        <v>0</v>
      </c>
      <c r="H4002" s="26">
        <v>11</v>
      </c>
      <c r="I4002" s="26">
        <v>861</v>
      </c>
    </row>
    <row r="4003" spans="1:21">
      <c r="A4003" t="s">
        <v>204</v>
      </c>
      <c r="B4003" t="s">
        <v>208</v>
      </c>
      <c r="C4003" t="s">
        <v>235</v>
      </c>
      <c r="D4003">
        <v>9.2592592592592574E-2</v>
      </c>
      <c r="E4003">
        <v>0</v>
      </c>
      <c r="F4003">
        <v>0</v>
      </c>
      <c r="G4003">
        <v>4</v>
      </c>
      <c r="H4003">
        <v>54</v>
      </c>
      <c r="I4003">
        <v>861</v>
      </c>
    </row>
    <row r="4004" spans="1:21">
      <c r="A4004" t="s">
        <v>209</v>
      </c>
      <c r="B4004" t="s">
        <v>210</v>
      </c>
      <c r="C4004" t="s">
        <v>236</v>
      </c>
      <c r="D4004">
        <v>0.9691332474347103</v>
      </c>
      <c r="E4004">
        <v>0</v>
      </c>
      <c r="F4004">
        <v>0</v>
      </c>
      <c r="G4004">
        <v>14</v>
      </c>
      <c r="H4004">
        <v>33</v>
      </c>
      <c r="I4004">
        <v>861</v>
      </c>
    </row>
    <row r="4005" spans="1:21" s="26" customFormat="1">
      <c r="A4005" s="26" t="s">
        <v>209</v>
      </c>
      <c r="B4005" s="26" t="s">
        <v>210</v>
      </c>
      <c r="C4005" s="26" t="s">
        <v>235</v>
      </c>
      <c r="D4005" s="26">
        <v>0</v>
      </c>
      <c r="E4005" s="26">
        <v>0</v>
      </c>
      <c r="F4005" s="26">
        <v>0</v>
      </c>
      <c r="G4005" s="26">
        <v>0</v>
      </c>
      <c r="H4005" s="26">
        <v>27</v>
      </c>
      <c r="I4005" s="26">
        <v>861</v>
      </c>
    </row>
    <row r="4006" spans="1:21">
      <c r="A4006" t="s">
        <v>209</v>
      </c>
      <c r="B4006" t="s">
        <v>211</v>
      </c>
      <c r="C4006" t="s">
        <v>236</v>
      </c>
      <c r="D4006">
        <v>0.1033166760507389</v>
      </c>
      <c r="E4006">
        <v>0</v>
      </c>
      <c r="F4006">
        <v>0</v>
      </c>
      <c r="G4006">
        <v>7</v>
      </c>
      <c r="H4006">
        <v>33</v>
      </c>
      <c r="I4006">
        <v>861</v>
      </c>
    </row>
    <row r="4007" spans="1:21">
      <c r="A4007" t="s">
        <v>209</v>
      </c>
      <c r="B4007" t="s">
        <v>211</v>
      </c>
      <c r="C4007" t="s">
        <v>235</v>
      </c>
      <c r="D4007">
        <v>0.5755905339223375</v>
      </c>
      <c r="E4007">
        <v>0</v>
      </c>
      <c r="F4007">
        <v>0</v>
      </c>
      <c r="G4007">
        <v>14</v>
      </c>
      <c r="H4007">
        <v>54</v>
      </c>
      <c r="I4007">
        <v>861</v>
      </c>
    </row>
    <row r="4008" spans="1:21" s="26" customFormat="1">
      <c r="A4008" s="26" t="s">
        <v>209</v>
      </c>
      <c r="B4008" s="26" t="s">
        <v>212</v>
      </c>
      <c r="C4008" s="26" t="s">
        <v>236</v>
      </c>
      <c r="D4008" s="26">
        <v>0.24489721457528171</v>
      </c>
      <c r="E4008" s="26">
        <v>0</v>
      </c>
      <c r="F4008" s="26">
        <v>0</v>
      </c>
      <c r="G4008" s="26">
        <v>4</v>
      </c>
      <c r="H4008" s="26">
        <v>16</v>
      </c>
      <c r="I4008" s="26">
        <v>861</v>
      </c>
    </row>
    <row r="4009" spans="1:21">
      <c r="A4009" t="s">
        <v>209</v>
      </c>
      <c r="B4009" t="s">
        <v>212</v>
      </c>
      <c r="C4009" t="s">
        <v>235</v>
      </c>
      <c r="D4009">
        <v>0.57945684522192309</v>
      </c>
      <c r="E4009">
        <v>0</v>
      </c>
      <c r="F4009">
        <v>0</v>
      </c>
      <c r="G4009">
        <v>15</v>
      </c>
      <c r="H4009">
        <v>63</v>
      </c>
      <c r="I4009">
        <v>861</v>
      </c>
    </row>
    <row r="4011" spans="1:21">
      <c r="A4011" t="s">
        <v>957</v>
      </c>
    </row>
    <row r="4012" spans="1:21">
      <c r="A4012" t="s">
        <v>189</v>
      </c>
      <c r="B4012" t="s">
        <v>195</v>
      </c>
      <c r="C4012" t="s">
        <v>190</v>
      </c>
      <c r="D4012" t="s">
        <v>196</v>
      </c>
      <c r="E4012" t="s">
        <v>958</v>
      </c>
      <c r="F4012" t="s">
        <v>959</v>
      </c>
      <c r="G4012" t="s">
        <v>228</v>
      </c>
      <c r="H4012" t="s">
        <v>928</v>
      </c>
      <c r="I4012" t="s">
        <v>929</v>
      </c>
      <c r="J4012" t="s">
        <v>930</v>
      </c>
      <c r="K4012" t="s">
        <v>960</v>
      </c>
      <c r="L4012" t="s">
        <v>932</v>
      </c>
      <c r="M4012" t="s">
        <v>961</v>
      </c>
      <c r="N4012" t="s">
        <v>962</v>
      </c>
      <c r="O4012" t="s">
        <v>963</v>
      </c>
      <c r="P4012" t="s">
        <v>935</v>
      </c>
      <c r="Q4012" t="s">
        <v>936</v>
      </c>
      <c r="R4012" t="s">
        <v>964</v>
      </c>
      <c r="S4012" t="s">
        <v>965</v>
      </c>
      <c r="T4012" t="s">
        <v>939</v>
      </c>
      <c r="U4012" t="s">
        <v>940</v>
      </c>
    </row>
    <row r="4013" spans="1:21">
      <c r="A4013" t="s">
        <v>197</v>
      </c>
      <c r="B4013">
        <v>968</v>
      </c>
      <c r="C4013" t="s">
        <v>198</v>
      </c>
      <c r="D4013">
        <v>968</v>
      </c>
      <c r="E4013" s="1">
        <v>0.01</v>
      </c>
      <c r="F4013" s="1">
        <v>2.0000000000000001E-4</v>
      </c>
      <c r="G4013" s="1">
        <v>2.0000000000000001E-4</v>
      </c>
      <c r="H4013" s="1">
        <v>4.7000000000000002E-3</v>
      </c>
      <c r="I4013" s="1">
        <v>6.9999999999999999E-4</v>
      </c>
      <c r="J4013" s="1">
        <v>2.6100000000000002E-2</v>
      </c>
      <c r="K4013" s="1">
        <v>0.1016</v>
      </c>
      <c r="L4013" s="1">
        <v>1.5E-3</v>
      </c>
      <c r="M4013" s="1">
        <v>1.7899999999999999E-2</v>
      </c>
      <c r="N4013" s="1">
        <v>1.6000000000000001E-3</v>
      </c>
      <c r="O4013" s="1">
        <v>6.9999999999999999E-4</v>
      </c>
      <c r="P4013" s="1">
        <v>0.72740000000000005</v>
      </c>
      <c r="Q4013" s="1">
        <v>0.1336</v>
      </c>
      <c r="R4013" s="1">
        <v>4.7000000000000002E-3</v>
      </c>
      <c r="S4013" s="1">
        <v>4.0000000000000002E-4</v>
      </c>
      <c r="T4013" s="1">
        <v>5.1999999999999998E-3</v>
      </c>
      <c r="U4013" s="1">
        <v>1.4E-3</v>
      </c>
    </row>
    <row r="4014" spans="1:21">
      <c r="A4014" t="s">
        <v>204</v>
      </c>
      <c r="B4014">
        <v>91</v>
      </c>
      <c r="C4014" t="s">
        <v>205</v>
      </c>
      <c r="D4014">
        <v>968</v>
      </c>
      <c r="E4014" s="1">
        <v>3.6700000000000003E-2</v>
      </c>
      <c r="H4014" s="1">
        <v>8.5000000000000006E-3</v>
      </c>
      <c r="I4014" s="1">
        <v>3.2000000000000002E-3</v>
      </c>
      <c r="J4014" s="1">
        <v>2.41E-2</v>
      </c>
      <c r="K4014" s="1">
        <v>0.10829999999999999</v>
      </c>
      <c r="M4014" s="1">
        <v>1.09E-2</v>
      </c>
      <c r="N4014" s="1">
        <v>5.5999999999999999E-3</v>
      </c>
      <c r="O4014" s="1">
        <v>2.3999999999999998E-3</v>
      </c>
      <c r="P4014" s="1">
        <v>0.70409999999999995</v>
      </c>
      <c r="Q4014" s="1">
        <v>0.13450000000000001</v>
      </c>
      <c r="R4014" s="1">
        <v>7.3000000000000001E-3</v>
      </c>
    </row>
    <row r="4015" spans="1:21">
      <c r="A4015" t="s">
        <v>204</v>
      </c>
      <c r="B4015">
        <v>72</v>
      </c>
      <c r="C4015" t="s">
        <v>206</v>
      </c>
      <c r="D4015">
        <v>968</v>
      </c>
      <c r="F4015" s="1">
        <v>1.6299999999999999E-2</v>
      </c>
      <c r="J4015" s="1">
        <v>3.2500000000000001E-2</v>
      </c>
      <c r="K4015" s="1">
        <v>0.1953</v>
      </c>
      <c r="L4015" s="1">
        <v>1.6299999999999999E-2</v>
      </c>
      <c r="M4015" s="1">
        <v>5.1200000000000002E-2</v>
      </c>
      <c r="N4015" s="1">
        <v>1.6299999999999999E-2</v>
      </c>
      <c r="O4015" s="1">
        <v>1.6299999999999999E-2</v>
      </c>
      <c r="P4015" s="1">
        <v>0.50009999999999999</v>
      </c>
      <c r="Q4015" s="1">
        <v>0.14410000000000001</v>
      </c>
      <c r="R4015" s="1">
        <v>2.7900000000000001E-2</v>
      </c>
      <c r="T4015" s="1">
        <v>3.2500000000000001E-2</v>
      </c>
    </row>
    <row r="4016" spans="1:21">
      <c r="A4016" t="s">
        <v>204</v>
      </c>
      <c r="B4016">
        <v>131</v>
      </c>
      <c r="C4016" t="s">
        <v>207</v>
      </c>
      <c r="D4016">
        <v>968</v>
      </c>
      <c r="E4016" s="1">
        <v>1.5E-3</v>
      </c>
      <c r="H4016" s="1">
        <v>5.0000000000000001E-3</v>
      </c>
      <c r="J4016" s="1">
        <v>8.5300000000000001E-2</v>
      </c>
      <c r="K4016" s="1">
        <v>0.16819999999999999</v>
      </c>
      <c r="M4016" s="1">
        <v>5.6399999999999999E-2</v>
      </c>
      <c r="P4016" s="1">
        <v>0.49220000000000003</v>
      </c>
      <c r="Q4016" s="1">
        <v>0.29049999999999998</v>
      </c>
      <c r="T4016" s="1">
        <v>6.3E-3</v>
      </c>
    </row>
    <row r="4017" spans="1:22">
      <c r="A4017" t="s">
        <v>204</v>
      </c>
      <c r="B4017">
        <v>74</v>
      </c>
      <c r="C4017" t="s">
        <v>208</v>
      </c>
      <c r="D4017">
        <v>968</v>
      </c>
      <c r="H4017" s="1">
        <v>1.35E-2</v>
      </c>
      <c r="J4017" s="1">
        <v>1.35E-2</v>
      </c>
      <c r="L4017" s="1">
        <v>1.35E-2</v>
      </c>
      <c r="P4017" s="1">
        <v>0.90539999999999998</v>
      </c>
      <c r="Q4017" s="1">
        <v>1.35E-2</v>
      </c>
      <c r="R4017" s="1">
        <v>1.35E-2</v>
      </c>
      <c r="T4017" s="1">
        <v>1.35E-2</v>
      </c>
      <c r="U4017" s="1">
        <v>1.35E-2</v>
      </c>
    </row>
    <row r="4018" spans="1:22">
      <c r="A4018" t="s">
        <v>199</v>
      </c>
      <c r="B4018">
        <v>73</v>
      </c>
      <c r="C4018" t="s">
        <v>200</v>
      </c>
      <c r="D4018">
        <v>968</v>
      </c>
      <c r="J4018" s="1">
        <v>4.7000000000000002E-3</v>
      </c>
      <c r="K4018" s="1">
        <v>0.35949999999999999</v>
      </c>
      <c r="L4018" s="1">
        <v>1.5299999999999999E-2</v>
      </c>
      <c r="M4018" s="1">
        <v>6.2100000000000002E-2</v>
      </c>
      <c r="N4018" s="1">
        <v>1.6000000000000001E-3</v>
      </c>
      <c r="P4018" s="1">
        <v>0.46989999999999998</v>
      </c>
      <c r="S4018" s="1">
        <v>1.6000000000000001E-3</v>
      </c>
      <c r="T4018" s="1">
        <v>8.6800000000000002E-2</v>
      </c>
    </row>
    <row r="4019" spans="1:22">
      <c r="A4019" t="s">
        <v>199</v>
      </c>
      <c r="B4019">
        <v>96</v>
      </c>
      <c r="C4019" t="s">
        <v>201</v>
      </c>
      <c r="D4019">
        <v>968</v>
      </c>
      <c r="J4019" s="1">
        <v>1.04E-2</v>
      </c>
      <c r="P4019" s="1">
        <v>0.91669999999999996</v>
      </c>
      <c r="Q4019" s="1">
        <v>7.2900000000000006E-2</v>
      </c>
    </row>
    <row r="4020" spans="1:22">
      <c r="A4020" t="s">
        <v>199</v>
      </c>
      <c r="B4020">
        <v>98</v>
      </c>
      <c r="C4020" t="s">
        <v>202</v>
      </c>
      <c r="D4020">
        <v>968</v>
      </c>
      <c r="J4020" s="1">
        <v>1.3299999999999999E-2</v>
      </c>
      <c r="K4020" s="1">
        <v>0.16239999999999999</v>
      </c>
      <c r="M4020" s="1">
        <v>1.35E-2</v>
      </c>
      <c r="P4020" s="1">
        <v>0.62880000000000003</v>
      </c>
      <c r="Q4020" s="1">
        <v>0.20449999999999999</v>
      </c>
    </row>
    <row r="4021" spans="1:22">
      <c r="A4021" t="s">
        <v>199</v>
      </c>
      <c r="B4021">
        <v>77</v>
      </c>
      <c r="C4021" t="s">
        <v>203</v>
      </c>
      <c r="D4021">
        <v>968</v>
      </c>
      <c r="E4021" s="1">
        <v>9.4999999999999998E-3</v>
      </c>
      <c r="J4021" s="1">
        <v>2.8999999999999998E-3</v>
      </c>
      <c r="K4021" s="1">
        <v>0.27089999999999997</v>
      </c>
      <c r="M4021" s="1">
        <v>1.49E-2</v>
      </c>
      <c r="P4021" s="1">
        <v>0.65849999999999997</v>
      </c>
      <c r="Q4021" s="1">
        <v>3.6400000000000002E-2</v>
      </c>
      <c r="S4021" s="1">
        <v>9.4999999999999998E-3</v>
      </c>
      <c r="T4021" s="1">
        <v>1.6500000000000001E-2</v>
      </c>
    </row>
    <row r="4022" spans="1:22">
      <c r="A4022" t="s">
        <v>209</v>
      </c>
      <c r="B4022">
        <v>74</v>
      </c>
      <c r="C4022" t="s">
        <v>210</v>
      </c>
      <c r="D4022">
        <v>968</v>
      </c>
      <c r="E4022" s="1">
        <v>1.77E-2</v>
      </c>
      <c r="J4022" s="1">
        <v>5.1999999999999998E-2</v>
      </c>
      <c r="K4022" s="1">
        <v>0.1031</v>
      </c>
      <c r="M4022" s="1">
        <v>8.3000000000000001E-3</v>
      </c>
      <c r="P4022" s="1">
        <v>0.74280000000000002</v>
      </c>
      <c r="Q4022" s="1">
        <v>6.0400000000000002E-2</v>
      </c>
      <c r="R4022" s="1">
        <v>3.3399999999999999E-2</v>
      </c>
      <c r="T4022" s="1">
        <v>8.3000000000000001E-3</v>
      </c>
    </row>
    <row r="4023" spans="1:22">
      <c r="A4023" t="s">
        <v>209</v>
      </c>
      <c r="B4023">
        <v>97</v>
      </c>
      <c r="C4023" t="s">
        <v>211</v>
      </c>
      <c r="D4023">
        <v>968</v>
      </c>
      <c r="G4023" s="1">
        <v>4.1999999999999997E-3</v>
      </c>
      <c r="H4023" s="1">
        <v>2.8299999999999999E-2</v>
      </c>
      <c r="J4023" s="1">
        <v>4.8099999999999997E-2</v>
      </c>
      <c r="K4023" s="1">
        <v>6.4000000000000001E-2</v>
      </c>
      <c r="M4023" s="1">
        <v>1.2E-2</v>
      </c>
      <c r="N4023" s="1">
        <v>4.1999999999999997E-3</v>
      </c>
      <c r="P4023" s="1">
        <v>0.7</v>
      </c>
      <c r="Q4023" s="1">
        <v>0.1449</v>
      </c>
      <c r="R4023" s="1">
        <v>3.8800000000000001E-2</v>
      </c>
      <c r="U4023" s="1">
        <v>1.2E-2</v>
      </c>
    </row>
    <row r="4024" spans="1:22">
      <c r="A4024" t="s">
        <v>209</v>
      </c>
      <c r="B4024">
        <v>85</v>
      </c>
      <c r="C4024" t="s">
        <v>212</v>
      </c>
      <c r="D4024">
        <v>968</v>
      </c>
      <c r="E4024" s="1">
        <v>1.6400000000000001E-2</v>
      </c>
      <c r="K4024" s="1">
        <v>3.5200000000000002E-2</v>
      </c>
      <c r="M4024" s="1">
        <v>1.4E-2</v>
      </c>
      <c r="P4024" s="1">
        <v>0.9244</v>
      </c>
      <c r="Q4024" s="1">
        <v>5.4399999999999997E-2</v>
      </c>
    </row>
    <row r="4026" spans="1:22">
      <c r="A4026" t="s">
        <v>966</v>
      </c>
    </row>
    <row r="4027" spans="1:22">
      <c r="A4027" t="s">
        <v>214</v>
      </c>
      <c r="B4027" t="s">
        <v>189</v>
      </c>
      <c r="C4027" t="s">
        <v>195</v>
      </c>
      <c r="D4027" t="s">
        <v>190</v>
      </c>
      <c r="E4027" t="s">
        <v>196</v>
      </c>
      <c r="F4027" t="s">
        <v>958</v>
      </c>
      <c r="G4027" t="s">
        <v>959</v>
      </c>
      <c r="H4027" t="s">
        <v>228</v>
      </c>
      <c r="I4027" t="s">
        <v>928</v>
      </c>
      <c r="J4027" t="s">
        <v>929</v>
      </c>
      <c r="K4027" t="s">
        <v>930</v>
      </c>
      <c r="L4027" t="s">
        <v>960</v>
      </c>
      <c r="M4027" t="s">
        <v>932</v>
      </c>
      <c r="N4027" t="s">
        <v>961</v>
      </c>
      <c r="O4027" t="s">
        <v>962</v>
      </c>
      <c r="P4027" t="s">
        <v>963</v>
      </c>
      <c r="Q4027" t="s">
        <v>935</v>
      </c>
      <c r="R4027" t="s">
        <v>936</v>
      </c>
      <c r="S4027" t="s">
        <v>964</v>
      </c>
      <c r="T4027" t="s">
        <v>965</v>
      </c>
      <c r="U4027" t="s">
        <v>939</v>
      </c>
      <c r="V4027" t="s">
        <v>940</v>
      </c>
    </row>
    <row r="4028" spans="1:22">
      <c r="A4028" t="s">
        <v>198</v>
      </c>
      <c r="B4028" t="s">
        <v>197</v>
      </c>
      <c r="C4028">
        <v>968</v>
      </c>
      <c r="D4028" t="s">
        <v>198</v>
      </c>
      <c r="E4028">
        <v>968</v>
      </c>
      <c r="F4028" s="1">
        <v>0.01</v>
      </c>
      <c r="G4028" s="1">
        <v>2.0000000000000001E-4</v>
      </c>
      <c r="H4028" s="1">
        <v>2.0000000000000001E-4</v>
      </c>
      <c r="I4028" s="1">
        <v>4.7000000000000002E-3</v>
      </c>
      <c r="J4028" s="1">
        <v>6.9999999999999999E-4</v>
      </c>
      <c r="K4028" s="1">
        <v>2.6100000000000002E-2</v>
      </c>
      <c r="L4028" s="1">
        <v>0.1016</v>
      </c>
      <c r="M4028" s="1">
        <v>1.5E-3</v>
      </c>
      <c r="N4028" s="1">
        <v>1.7899999999999999E-2</v>
      </c>
      <c r="O4028" s="1">
        <v>1.6000000000000001E-3</v>
      </c>
      <c r="P4028" s="1">
        <v>6.9999999999999999E-4</v>
      </c>
      <c r="Q4028" s="1">
        <v>0.72740000000000005</v>
      </c>
      <c r="R4028" s="1">
        <v>0.1336</v>
      </c>
      <c r="S4028" s="1">
        <v>4.7000000000000002E-3</v>
      </c>
      <c r="T4028" s="1">
        <v>4.0000000000000002E-4</v>
      </c>
      <c r="U4028" s="1">
        <v>5.1999999999999998E-3</v>
      </c>
      <c r="V4028" s="1">
        <v>1.4E-3</v>
      </c>
    </row>
    <row r="4029" spans="1:22">
      <c r="A4029" t="s">
        <v>235</v>
      </c>
      <c r="B4029" t="s">
        <v>204</v>
      </c>
      <c r="C4029">
        <v>63</v>
      </c>
      <c r="D4029" t="s">
        <v>208</v>
      </c>
      <c r="E4029">
        <v>968</v>
      </c>
      <c r="M4029" s="1">
        <v>1.5900000000000001E-2</v>
      </c>
      <c r="Q4029" s="1">
        <v>0.96830000000000005</v>
      </c>
      <c r="V4029" s="1">
        <v>1.5900000000000001E-2</v>
      </c>
    </row>
    <row r="4030" spans="1:22">
      <c r="A4030" t="s">
        <v>236</v>
      </c>
      <c r="B4030" t="s">
        <v>204</v>
      </c>
      <c r="C4030">
        <v>32</v>
      </c>
      <c r="D4030" t="s">
        <v>205</v>
      </c>
      <c r="E4030">
        <v>968</v>
      </c>
      <c r="I4030" s="1">
        <v>4.7600000000000003E-2</v>
      </c>
      <c r="L4030" s="1">
        <v>0.31290000000000001</v>
      </c>
      <c r="N4030" s="1">
        <v>6.13E-2</v>
      </c>
      <c r="O4030" s="1">
        <v>1.37E-2</v>
      </c>
      <c r="P4030" s="1">
        <v>1.37E-2</v>
      </c>
      <c r="Q4030" s="1">
        <v>0.5141</v>
      </c>
      <c r="R4030" s="1">
        <v>2.7300000000000001E-2</v>
      </c>
      <c r="S4030" s="1">
        <v>4.1000000000000002E-2</v>
      </c>
    </row>
    <row r="4031" spans="1:22">
      <c r="A4031" t="s">
        <v>235</v>
      </c>
      <c r="B4031" t="s">
        <v>204</v>
      </c>
      <c r="C4031">
        <v>58</v>
      </c>
      <c r="D4031" t="s">
        <v>205</v>
      </c>
      <c r="E4031">
        <v>968</v>
      </c>
      <c r="F4031" s="1">
        <v>4.48E-2</v>
      </c>
      <c r="J4031" s="1">
        <v>3.8999999999999998E-3</v>
      </c>
      <c r="K4031" s="1">
        <v>2.93E-2</v>
      </c>
      <c r="L4031" s="1">
        <v>6.4199999999999993E-2</v>
      </c>
      <c r="O4031" s="1">
        <v>3.8999999999999998E-3</v>
      </c>
      <c r="Q4031" s="1">
        <v>0.74439999999999995</v>
      </c>
      <c r="R4031" s="1">
        <v>0.15820000000000001</v>
      </c>
    </row>
    <row r="4032" spans="1:22" s="26" customFormat="1">
      <c r="A4032" s="26" t="s">
        <v>236</v>
      </c>
      <c r="B4032" s="26" t="s">
        <v>204</v>
      </c>
      <c r="C4032" s="26">
        <v>21</v>
      </c>
      <c r="D4032" s="26" t="s">
        <v>206</v>
      </c>
      <c r="E4032" s="26">
        <v>968</v>
      </c>
      <c r="G4032" s="27">
        <v>5.9700000000000003E-2</v>
      </c>
      <c r="K4032" s="27">
        <v>5.9700000000000003E-2</v>
      </c>
      <c r="L4032" s="27">
        <v>0.43580000000000002</v>
      </c>
      <c r="N4032" s="27">
        <v>0.1283</v>
      </c>
      <c r="O4032" s="27">
        <v>5.9700000000000003E-2</v>
      </c>
      <c r="Q4032" s="27">
        <v>0.1711</v>
      </c>
      <c r="R4032" s="27">
        <v>0.20499999999999999</v>
      </c>
    </row>
    <row r="4033" spans="1:22">
      <c r="A4033" t="s">
        <v>235</v>
      </c>
      <c r="B4033" t="s">
        <v>204</v>
      </c>
      <c r="C4033">
        <v>47</v>
      </c>
      <c r="D4033" t="s">
        <v>206</v>
      </c>
      <c r="E4033">
        <v>968</v>
      </c>
      <c r="K4033" s="1">
        <v>2.4E-2</v>
      </c>
      <c r="L4033" s="1">
        <v>9.6100000000000005E-2</v>
      </c>
      <c r="M4033" s="1">
        <v>2.4E-2</v>
      </c>
      <c r="N4033" s="1">
        <v>2.4E-2</v>
      </c>
      <c r="P4033" s="1">
        <v>2.4E-2</v>
      </c>
      <c r="Q4033" s="1">
        <v>0.6119</v>
      </c>
      <c r="R4033" s="1">
        <v>0.13059999999999999</v>
      </c>
      <c r="S4033" s="1">
        <v>4.1200000000000001E-2</v>
      </c>
      <c r="U4033" s="1">
        <v>4.8099999999999997E-2</v>
      </c>
    </row>
    <row r="4034" spans="1:22">
      <c r="A4034" t="s">
        <v>236</v>
      </c>
      <c r="B4034" t="s">
        <v>204</v>
      </c>
      <c r="C4034">
        <v>81</v>
      </c>
      <c r="D4034" t="s">
        <v>207</v>
      </c>
      <c r="E4034">
        <v>968</v>
      </c>
      <c r="F4034" s="1">
        <v>3.7000000000000002E-3</v>
      </c>
      <c r="I4034" s="1">
        <v>1.23E-2</v>
      </c>
      <c r="K4034" s="1">
        <v>0.18909999999999999</v>
      </c>
      <c r="L4034" s="1">
        <v>0.38469999999999999</v>
      </c>
      <c r="N4034" s="1">
        <v>0.1389</v>
      </c>
      <c r="Q4034" s="1">
        <v>0.37690000000000001</v>
      </c>
      <c r="R4034" s="1">
        <v>0.12620000000000001</v>
      </c>
      <c r="U4034" s="1">
        <v>1.5599999999999999E-2</v>
      </c>
    </row>
    <row r="4035" spans="1:22">
      <c r="A4035" t="s">
        <v>235</v>
      </c>
      <c r="B4035" t="s">
        <v>204</v>
      </c>
      <c r="C4035">
        <v>45</v>
      </c>
      <c r="D4035" t="s">
        <v>207</v>
      </c>
      <c r="E4035">
        <v>968</v>
      </c>
      <c r="L4035" s="1">
        <v>1.66E-2</v>
      </c>
      <c r="Q4035" s="1">
        <v>0.5756</v>
      </c>
      <c r="R4035" s="1">
        <v>0.41210000000000002</v>
      </c>
    </row>
    <row r="4036" spans="1:22" s="26" customFormat="1">
      <c r="A4036" s="26" t="s">
        <v>236</v>
      </c>
      <c r="B4036" s="26" t="s">
        <v>204</v>
      </c>
      <c r="C4036" s="26">
        <v>11</v>
      </c>
      <c r="D4036" s="26" t="s">
        <v>208</v>
      </c>
      <c r="E4036" s="26">
        <v>968</v>
      </c>
      <c r="I4036" s="27">
        <v>9.0899999999999995E-2</v>
      </c>
      <c r="K4036" s="27">
        <v>9.0899999999999995E-2</v>
      </c>
      <c r="Q4036" s="27">
        <v>0.54549999999999998</v>
      </c>
      <c r="R4036" s="27">
        <v>9.0899999999999995E-2</v>
      </c>
      <c r="S4036" s="27">
        <v>9.0899999999999995E-2</v>
      </c>
      <c r="U4036" s="27">
        <v>9.0899999999999995E-2</v>
      </c>
    </row>
    <row r="4037" spans="1:22">
      <c r="A4037" t="s">
        <v>235</v>
      </c>
      <c r="B4037" t="s">
        <v>199</v>
      </c>
      <c r="C4037">
        <v>44</v>
      </c>
      <c r="D4037" t="s">
        <v>203</v>
      </c>
      <c r="E4037">
        <v>968</v>
      </c>
      <c r="F4037" s="1">
        <v>1.5100000000000001E-2</v>
      </c>
      <c r="L4037" s="1">
        <v>0.1197</v>
      </c>
      <c r="Q4037" s="1">
        <v>0.83740000000000003</v>
      </c>
      <c r="R4037" s="1">
        <v>5.8000000000000003E-2</v>
      </c>
    </row>
    <row r="4038" spans="1:22">
      <c r="A4038" t="s">
        <v>236</v>
      </c>
      <c r="B4038" t="s">
        <v>199</v>
      </c>
      <c r="C4038">
        <v>32</v>
      </c>
      <c r="D4038" t="s">
        <v>203</v>
      </c>
      <c r="E4038">
        <v>968</v>
      </c>
      <c r="K4038" s="1">
        <v>8.3999999999999995E-3</v>
      </c>
      <c r="L4038" s="1">
        <v>0.56640000000000001</v>
      </c>
      <c r="N4038" s="1">
        <v>4.2999999999999997E-2</v>
      </c>
      <c r="Q4038" s="1">
        <v>0.30709999999999998</v>
      </c>
      <c r="T4038" s="1">
        <v>2.75E-2</v>
      </c>
      <c r="U4038" s="1">
        <v>4.7699999999999999E-2</v>
      </c>
    </row>
    <row r="4039" spans="1:22">
      <c r="A4039" t="s">
        <v>235</v>
      </c>
      <c r="B4039" t="s">
        <v>199</v>
      </c>
      <c r="C4039">
        <v>60</v>
      </c>
      <c r="D4039" t="s">
        <v>202</v>
      </c>
      <c r="E4039">
        <v>968</v>
      </c>
      <c r="K4039" s="1">
        <v>2.3199999999999998E-2</v>
      </c>
      <c r="L4039" s="1">
        <v>6.9599999999999995E-2</v>
      </c>
      <c r="Q4039" s="1">
        <v>0.68169999999999997</v>
      </c>
      <c r="R4039" s="1">
        <v>0.22550000000000001</v>
      </c>
    </row>
    <row r="4040" spans="1:22" s="26" customFormat="1">
      <c r="A4040" s="26" t="s">
        <v>236</v>
      </c>
      <c r="B4040" s="26" t="s">
        <v>199</v>
      </c>
      <c r="C4040" s="26">
        <v>24</v>
      </c>
      <c r="D4040" s="26" t="s">
        <v>200</v>
      </c>
      <c r="E4040" s="26">
        <v>968</v>
      </c>
      <c r="K4040" s="27">
        <v>3.3999999999999998E-3</v>
      </c>
      <c r="L4040" s="27">
        <v>0.47189999999999999</v>
      </c>
      <c r="M4040" s="27">
        <v>3.2599999999999997E-2</v>
      </c>
      <c r="N4040" s="27">
        <v>0.1323</v>
      </c>
      <c r="Q4040" s="27">
        <v>0.17829999999999999</v>
      </c>
      <c r="T4040" s="27">
        <v>3.3999999999999998E-3</v>
      </c>
      <c r="U4040" s="27">
        <v>0.1782</v>
      </c>
    </row>
    <row r="4041" spans="1:22">
      <c r="A4041" t="s">
        <v>235</v>
      </c>
      <c r="B4041" t="s">
        <v>199</v>
      </c>
      <c r="C4041">
        <v>46</v>
      </c>
      <c r="D4041" t="s">
        <v>200</v>
      </c>
      <c r="E4041">
        <v>968</v>
      </c>
      <c r="K4041" s="1">
        <v>6.0000000000000001E-3</v>
      </c>
      <c r="L4041" s="1">
        <v>0.25940000000000002</v>
      </c>
      <c r="O4041" s="1">
        <v>3.0000000000000001E-3</v>
      </c>
      <c r="Q4041" s="1">
        <v>0.72860000000000003</v>
      </c>
      <c r="U4041" s="1">
        <v>6.0000000000000001E-3</v>
      </c>
    </row>
    <row r="4042" spans="1:22">
      <c r="A4042" t="s">
        <v>236</v>
      </c>
      <c r="B4042" t="s">
        <v>199</v>
      </c>
      <c r="C4042">
        <v>37</v>
      </c>
      <c r="D4042" t="s">
        <v>202</v>
      </c>
      <c r="E4042">
        <v>968</v>
      </c>
      <c r="L4042" s="1">
        <v>0.29659999999999997</v>
      </c>
      <c r="N4042" s="1">
        <v>3.2800000000000003E-2</v>
      </c>
      <c r="Q4042" s="1">
        <v>0.54320000000000002</v>
      </c>
      <c r="R4042" s="1">
        <v>0.18210000000000001</v>
      </c>
    </row>
    <row r="4043" spans="1:22">
      <c r="A4043" t="s">
        <v>235</v>
      </c>
      <c r="B4043" t="s">
        <v>199</v>
      </c>
      <c r="C4043">
        <v>96</v>
      </c>
      <c r="D4043" t="s">
        <v>201</v>
      </c>
      <c r="E4043">
        <v>968</v>
      </c>
      <c r="K4043" s="1">
        <v>1.04E-2</v>
      </c>
      <c r="Q4043" s="1">
        <v>0.91669999999999996</v>
      </c>
      <c r="R4043" s="1">
        <v>7.2900000000000006E-2</v>
      </c>
    </row>
    <row r="4044" spans="1:22">
      <c r="A4044" t="s">
        <v>236</v>
      </c>
      <c r="B4044" t="s">
        <v>209</v>
      </c>
      <c r="C4044">
        <v>39</v>
      </c>
      <c r="D4044" t="s">
        <v>211</v>
      </c>
      <c r="E4044">
        <v>968</v>
      </c>
      <c r="H4044" s="1">
        <v>1.18E-2</v>
      </c>
      <c r="I4044" s="1">
        <v>4.5400000000000003E-2</v>
      </c>
      <c r="K4044" s="1">
        <v>6.7199999999999996E-2</v>
      </c>
      <c r="L4044" s="1">
        <v>9.98E-2</v>
      </c>
      <c r="N4044" s="1">
        <v>3.3599999999999998E-2</v>
      </c>
      <c r="O4044" s="1">
        <v>1.18E-2</v>
      </c>
      <c r="Q4044" s="1">
        <v>0.70069999999999999</v>
      </c>
      <c r="S4044" s="1">
        <v>7.4999999999999997E-2</v>
      </c>
    </row>
    <row r="4045" spans="1:22">
      <c r="A4045" t="s">
        <v>235</v>
      </c>
      <c r="B4045" t="s">
        <v>209</v>
      </c>
      <c r="C4045">
        <v>56</v>
      </c>
      <c r="D4045" t="s">
        <v>211</v>
      </c>
      <c r="E4045">
        <v>968</v>
      </c>
      <c r="I4045" s="1">
        <v>1.9599999999999999E-2</v>
      </c>
      <c r="K4045" s="1">
        <v>3.9300000000000002E-2</v>
      </c>
      <c r="L4045" s="1">
        <v>4.6199999999999998E-2</v>
      </c>
      <c r="Q4045" s="1">
        <v>0.68459999999999999</v>
      </c>
      <c r="R4045" s="1">
        <v>0.23680000000000001</v>
      </c>
      <c r="S4045" s="1">
        <v>1.9599999999999999E-2</v>
      </c>
      <c r="V4045" s="1">
        <v>1.9599999999999999E-2</v>
      </c>
    </row>
    <row r="4046" spans="1:22">
      <c r="A4046" t="s">
        <v>235</v>
      </c>
      <c r="B4046" t="s">
        <v>209</v>
      </c>
      <c r="C4046">
        <v>67</v>
      </c>
      <c r="D4046" t="s">
        <v>212</v>
      </c>
      <c r="E4046">
        <v>968</v>
      </c>
      <c r="F4046" s="1">
        <v>1.6199999999999999E-2</v>
      </c>
      <c r="L4046" s="1">
        <v>8.3999999999999995E-3</v>
      </c>
      <c r="N4046" s="1">
        <v>1.6199999999999999E-2</v>
      </c>
      <c r="Q4046" s="1">
        <v>0.94469999999999998</v>
      </c>
      <c r="R4046" s="1">
        <v>6.3100000000000003E-2</v>
      </c>
    </row>
    <row r="4047" spans="1:22" s="26" customFormat="1">
      <c r="A4047" s="26" t="s">
        <v>236</v>
      </c>
      <c r="B4047" s="26" t="s">
        <v>209</v>
      </c>
      <c r="C4047" s="26">
        <v>18</v>
      </c>
      <c r="D4047" s="26" t="s">
        <v>212</v>
      </c>
      <c r="E4047" s="26">
        <v>968</v>
      </c>
      <c r="F4047" s="27">
        <v>1.77E-2</v>
      </c>
      <c r="L4047" s="27">
        <v>0.2024</v>
      </c>
      <c r="Q4047" s="27">
        <v>0.79759999999999998</v>
      </c>
    </row>
    <row r="4048" spans="1:22">
      <c r="A4048" t="s">
        <v>236</v>
      </c>
      <c r="B4048" t="s">
        <v>209</v>
      </c>
      <c r="C4048">
        <v>38</v>
      </c>
      <c r="D4048" t="s">
        <v>210</v>
      </c>
      <c r="E4048">
        <v>968</v>
      </c>
      <c r="K4048" s="1">
        <v>2.0299999999999999E-2</v>
      </c>
      <c r="L4048" s="1">
        <v>0.23089999999999999</v>
      </c>
      <c r="N4048" s="1">
        <v>2.0299999999999999E-2</v>
      </c>
      <c r="Q4048" s="1">
        <v>0.58609999999999995</v>
      </c>
      <c r="R4048" s="1">
        <v>6.0999999999999999E-2</v>
      </c>
      <c r="S4048" s="1">
        <v>8.1299999999999997E-2</v>
      </c>
      <c r="U4048" s="1">
        <v>2.0299999999999999E-2</v>
      </c>
    </row>
    <row r="4049" spans="1:18">
      <c r="A4049" t="s">
        <v>235</v>
      </c>
      <c r="B4049" t="s">
        <v>209</v>
      </c>
      <c r="C4049">
        <v>32</v>
      </c>
      <c r="D4049" t="s">
        <v>210</v>
      </c>
      <c r="E4049">
        <v>968</v>
      </c>
      <c r="F4049" s="1">
        <v>3.2300000000000002E-2</v>
      </c>
      <c r="K4049" s="1">
        <v>3.2300000000000002E-2</v>
      </c>
      <c r="Q4049" s="1">
        <v>0.90310000000000001</v>
      </c>
      <c r="R4049" s="1">
        <v>6.4600000000000005E-2</v>
      </c>
    </row>
    <row r="4051" spans="1:18">
      <c r="A4051" t="s">
        <v>967</v>
      </c>
    </row>
    <row r="4052" spans="1:18">
      <c r="A4052" t="s">
        <v>189</v>
      </c>
      <c r="B4052" t="s">
        <v>195</v>
      </c>
      <c r="C4052" t="s">
        <v>190</v>
      </c>
      <c r="D4052" t="s">
        <v>196</v>
      </c>
      <c r="E4052" t="s">
        <v>968</v>
      </c>
      <c r="F4052" t="s">
        <v>228</v>
      </c>
      <c r="G4052" t="s">
        <v>969</v>
      </c>
      <c r="H4052" t="s">
        <v>970</v>
      </c>
      <c r="I4052" t="s">
        <v>276</v>
      </c>
      <c r="J4052" t="s">
        <v>971</v>
      </c>
    </row>
    <row r="4053" spans="1:18">
      <c r="A4053" t="s">
        <v>197</v>
      </c>
      <c r="B4053">
        <v>968</v>
      </c>
      <c r="C4053" t="s">
        <v>198</v>
      </c>
      <c r="D4053">
        <v>968</v>
      </c>
      <c r="E4053" s="1">
        <v>0.94510000000000005</v>
      </c>
      <c r="F4053" s="1">
        <v>1.8E-3</v>
      </c>
      <c r="G4053" s="1">
        <v>0.88200000000000001</v>
      </c>
      <c r="H4053" s="1">
        <v>0.96950000000000003</v>
      </c>
      <c r="I4053" s="1">
        <v>1.6199999999999999E-2</v>
      </c>
      <c r="J4053" s="1">
        <v>0.96650000000000003</v>
      </c>
    </row>
    <row r="4054" spans="1:18">
      <c r="A4054" t="s">
        <v>204</v>
      </c>
      <c r="B4054">
        <v>91</v>
      </c>
      <c r="C4054" t="s">
        <v>205</v>
      </c>
      <c r="D4054">
        <v>968</v>
      </c>
      <c r="E4054" s="1">
        <v>0.93020000000000003</v>
      </c>
      <c r="F4054" s="1">
        <v>2.3999999999999998E-3</v>
      </c>
      <c r="G4054" s="1">
        <v>0.86799999999999999</v>
      </c>
      <c r="H4054" s="1">
        <v>0.99439999999999995</v>
      </c>
      <c r="I4054" s="1">
        <v>3.2000000000000002E-3</v>
      </c>
      <c r="J4054" s="1">
        <v>0.96509999999999996</v>
      </c>
    </row>
    <row r="4055" spans="1:18">
      <c r="A4055" t="s">
        <v>204</v>
      </c>
      <c r="B4055">
        <v>72</v>
      </c>
      <c r="C4055" t="s">
        <v>206</v>
      </c>
      <c r="D4055">
        <v>968</v>
      </c>
      <c r="E4055" s="1">
        <v>0.87209999999999999</v>
      </c>
      <c r="G4055" s="1">
        <v>0.80220000000000002</v>
      </c>
      <c r="H4055" s="1">
        <v>0.87670000000000003</v>
      </c>
      <c r="I4055" s="1">
        <v>8.3699999999999997E-2</v>
      </c>
      <c r="J4055" s="1">
        <v>0.9</v>
      </c>
    </row>
    <row r="4056" spans="1:18">
      <c r="A4056" t="s">
        <v>204</v>
      </c>
      <c r="B4056">
        <v>131</v>
      </c>
      <c r="C4056" t="s">
        <v>207</v>
      </c>
      <c r="D4056">
        <v>968</v>
      </c>
      <c r="E4056" s="1">
        <v>0.98260000000000003</v>
      </c>
      <c r="G4056" s="1">
        <v>0.94179999999999997</v>
      </c>
      <c r="H4056" s="1">
        <v>0.97489999999999999</v>
      </c>
      <c r="I4056" s="1">
        <v>1.1299999999999999E-2</v>
      </c>
      <c r="J4056" s="1">
        <v>0.98529999999999995</v>
      </c>
    </row>
    <row r="4057" spans="1:18">
      <c r="A4057" t="s">
        <v>204</v>
      </c>
      <c r="B4057">
        <v>74</v>
      </c>
      <c r="C4057" t="s">
        <v>208</v>
      </c>
      <c r="D4057">
        <v>968</v>
      </c>
      <c r="E4057" s="1">
        <v>0.97299999999999998</v>
      </c>
      <c r="G4057" s="1">
        <v>0.91890000000000005</v>
      </c>
      <c r="H4057" s="1">
        <v>0.98650000000000004</v>
      </c>
      <c r="I4057" s="1">
        <v>1.35E-2</v>
      </c>
      <c r="J4057" s="1">
        <v>0.97299999999999998</v>
      </c>
    </row>
    <row r="4058" spans="1:18">
      <c r="A4058" t="s">
        <v>199</v>
      </c>
      <c r="B4058">
        <v>73</v>
      </c>
      <c r="C4058" t="s">
        <v>200</v>
      </c>
      <c r="D4058">
        <v>968</v>
      </c>
      <c r="E4058" s="1">
        <v>1</v>
      </c>
      <c r="G4058" s="1">
        <v>0.40510000000000002</v>
      </c>
      <c r="H4058" s="1">
        <v>0.98470000000000002</v>
      </c>
      <c r="J4058" s="1">
        <v>0.91479999999999995</v>
      </c>
    </row>
    <row r="4059" spans="1:18">
      <c r="A4059" t="s">
        <v>199</v>
      </c>
      <c r="B4059">
        <v>96</v>
      </c>
      <c r="C4059" t="s">
        <v>201</v>
      </c>
      <c r="D4059">
        <v>968</v>
      </c>
      <c r="E4059" s="1">
        <v>0.94789999999999996</v>
      </c>
      <c r="G4059" s="1">
        <v>0.92710000000000004</v>
      </c>
      <c r="H4059" s="1">
        <v>0.94789999999999996</v>
      </c>
      <c r="I4059" s="1">
        <v>4.1700000000000001E-2</v>
      </c>
      <c r="J4059" s="1">
        <v>0.9375</v>
      </c>
    </row>
    <row r="4060" spans="1:18">
      <c r="A4060" t="s">
        <v>199</v>
      </c>
      <c r="B4060">
        <v>98</v>
      </c>
      <c r="C4060" t="s">
        <v>202</v>
      </c>
      <c r="D4060">
        <v>968</v>
      </c>
      <c r="E4060" s="1">
        <v>0.97450000000000003</v>
      </c>
      <c r="F4060" s="1">
        <v>8.9999999999999993E-3</v>
      </c>
      <c r="G4060" s="1">
        <v>0.89029999999999998</v>
      </c>
      <c r="H4060" s="1">
        <v>0.99099999999999999</v>
      </c>
      <c r="J4060" s="1">
        <v>0.99099999999999999</v>
      </c>
    </row>
    <row r="4061" spans="1:18">
      <c r="A4061" t="s">
        <v>199</v>
      </c>
      <c r="B4061">
        <v>77</v>
      </c>
      <c r="C4061" t="s">
        <v>203</v>
      </c>
      <c r="D4061">
        <v>968</v>
      </c>
      <c r="E4061" s="1">
        <v>0.93799999999999994</v>
      </c>
      <c r="G4061" s="1">
        <v>0.83279999999999998</v>
      </c>
      <c r="H4061" s="1">
        <v>0.9194</v>
      </c>
      <c r="I4061" s="1">
        <v>2.69E-2</v>
      </c>
      <c r="J4061" s="1">
        <v>0.94630000000000003</v>
      </c>
    </row>
    <row r="4062" spans="1:18">
      <c r="A4062" t="s">
        <v>209</v>
      </c>
      <c r="B4062">
        <v>74</v>
      </c>
      <c r="C4062" t="s">
        <v>210</v>
      </c>
      <c r="D4062">
        <v>968</v>
      </c>
      <c r="E4062" s="1">
        <v>0.90529999999999999</v>
      </c>
      <c r="G4062" s="1">
        <v>0.91649999999999998</v>
      </c>
      <c r="H4062" s="1">
        <v>0.94889999999999997</v>
      </c>
      <c r="I4062" s="1">
        <v>2.5000000000000001E-2</v>
      </c>
      <c r="J4062" s="1">
        <v>0.95830000000000004</v>
      </c>
    </row>
    <row r="4063" spans="1:18">
      <c r="A4063" t="s">
        <v>209</v>
      </c>
      <c r="B4063">
        <v>97</v>
      </c>
      <c r="C4063" t="s">
        <v>211</v>
      </c>
      <c r="D4063">
        <v>968</v>
      </c>
      <c r="E4063" s="1">
        <v>0.9</v>
      </c>
      <c r="G4063" s="1">
        <v>0.75700000000000001</v>
      </c>
      <c r="H4063" s="1">
        <v>0.96179999999999999</v>
      </c>
      <c r="I4063" s="1">
        <v>2.8299999999999999E-2</v>
      </c>
      <c r="J4063" s="1">
        <v>0.96179999999999999</v>
      </c>
    </row>
    <row r="4064" spans="1:18">
      <c r="A4064" t="s">
        <v>209</v>
      </c>
      <c r="B4064">
        <v>85</v>
      </c>
      <c r="C4064" t="s">
        <v>212</v>
      </c>
      <c r="D4064">
        <v>968</v>
      </c>
      <c r="E4064" s="1">
        <v>0.87660000000000005</v>
      </c>
      <c r="G4064" s="1">
        <v>0.90800000000000003</v>
      </c>
      <c r="H4064" s="1">
        <v>0.94079999999999997</v>
      </c>
      <c r="I4064" s="1">
        <v>1.4E-2</v>
      </c>
      <c r="J4064" s="1">
        <v>0.98599999999999999</v>
      </c>
    </row>
    <row r="4066" spans="1:11">
      <c r="A4066" t="s">
        <v>972</v>
      </c>
    </row>
    <row r="4067" spans="1:11">
      <c r="A4067" t="s">
        <v>214</v>
      </c>
      <c r="B4067" t="s">
        <v>189</v>
      </c>
      <c r="C4067" t="s">
        <v>195</v>
      </c>
      <c r="D4067" t="s">
        <v>190</v>
      </c>
      <c r="E4067" t="s">
        <v>196</v>
      </c>
      <c r="F4067" t="s">
        <v>968</v>
      </c>
      <c r="G4067" t="s">
        <v>228</v>
      </c>
      <c r="H4067" t="s">
        <v>969</v>
      </c>
      <c r="I4067" t="s">
        <v>970</v>
      </c>
      <c r="J4067" t="s">
        <v>276</v>
      </c>
      <c r="K4067" t="s">
        <v>971</v>
      </c>
    </row>
    <row r="4068" spans="1:11">
      <c r="A4068" t="s">
        <v>198</v>
      </c>
      <c r="B4068" t="s">
        <v>197</v>
      </c>
      <c r="C4068">
        <v>968</v>
      </c>
      <c r="D4068" t="s">
        <v>198</v>
      </c>
      <c r="E4068">
        <v>968</v>
      </c>
      <c r="F4068" s="1">
        <v>0.94510000000000005</v>
      </c>
      <c r="G4068" s="1">
        <v>1.8E-3</v>
      </c>
      <c r="H4068" s="1">
        <v>0.88200000000000001</v>
      </c>
      <c r="I4068" s="1">
        <v>0.96950000000000003</v>
      </c>
      <c r="J4068" s="1">
        <v>1.6199999999999999E-2</v>
      </c>
      <c r="K4068" s="1">
        <v>0.96650000000000003</v>
      </c>
    </row>
    <row r="4069" spans="1:11">
      <c r="A4069" t="s">
        <v>235</v>
      </c>
      <c r="B4069" t="s">
        <v>204</v>
      </c>
      <c r="C4069">
        <v>63</v>
      </c>
      <c r="D4069" t="s">
        <v>208</v>
      </c>
      <c r="E4069">
        <v>968</v>
      </c>
      <c r="F4069" s="1">
        <v>0.98409999999999997</v>
      </c>
      <c r="H4069" s="1">
        <v>0.96830000000000005</v>
      </c>
      <c r="I4069" s="1">
        <v>1</v>
      </c>
      <c r="K4069" s="1">
        <v>0.98409999999999997</v>
      </c>
    </row>
    <row r="4070" spans="1:11">
      <c r="A4070" t="s">
        <v>236</v>
      </c>
      <c r="B4070" t="s">
        <v>204</v>
      </c>
      <c r="C4070">
        <v>32</v>
      </c>
      <c r="D4070" t="s">
        <v>205</v>
      </c>
      <c r="E4070">
        <v>968</v>
      </c>
      <c r="F4070" s="1">
        <v>0.92510000000000003</v>
      </c>
      <c r="G4070" s="1">
        <v>1.37E-2</v>
      </c>
      <c r="H4070" s="1">
        <v>0.7389</v>
      </c>
      <c r="I4070" s="1">
        <v>0.98629999999999995</v>
      </c>
      <c r="K4070" s="1">
        <v>0.98629999999999995</v>
      </c>
    </row>
    <row r="4071" spans="1:11">
      <c r="A4071" t="s">
        <v>235</v>
      </c>
      <c r="B4071" t="s">
        <v>204</v>
      </c>
      <c r="C4071">
        <v>58</v>
      </c>
      <c r="D4071" t="s">
        <v>205</v>
      </c>
      <c r="E4071">
        <v>968</v>
      </c>
      <c r="F4071" s="1">
        <v>0.93120000000000003</v>
      </c>
      <c r="H4071" s="1">
        <v>0.89570000000000005</v>
      </c>
      <c r="I4071" s="1">
        <v>0.99609999999999999</v>
      </c>
      <c r="J4071" s="1">
        <v>3.8999999999999998E-3</v>
      </c>
      <c r="K4071" s="1">
        <v>0.96030000000000004</v>
      </c>
    </row>
    <row r="4072" spans="1:11" s="26" customFormat="1">
      <c r="A4072" s="26" t="s">
        <v>236</v>
      </c>
      <c r="B4072" s="26" t="s">
        <v>204</v>
      </c>
      <c r="C4072" s="26">
        <v>21</v>
      </c>
      <c r="D4072" s="26" t="s">
        <v>206</v>
      </c>
      <c r="E4072" s="26">
        <v>968</v>
      </c>
      <c r="F4072" s="27">
        <v>0.94030000000000002</v>
      </c>
      <c r="H4072" s="27">
        <v>0.66669999999999996</v>
      </c>
      <c r="I4072" s="27">
        <v>0.94030000000000002</v>
      </c>
      <c r="J4072" s="27">
        <v>5.9700000000000003E-2</v>
      </c>
      <c r="K4072" s="27">
        <v>0.88049999999999995</v>
      </c>
    </row>
    <row r="4073" spans="1:11">
      <c r="A4073" t="s">
        <v>235</v>
      </c>
      <c r="B4073" t="s">
        <v>204</v>
      </c>
      <c r="C4073">
        <v>47</v>
      </c>
      <c r="D4073" t="s">
        <v>206</v>
      </c>
      <c r="E4073">
        <v>968</v>
      </c>
      <c r="F4073" s="1">
        <v>0.83499999999999996</v>
      </c>
      <c r="H4073" s="1">
        <v>0.84179999999999999</v>
      </c>
      <c r="I4073" s="1">
        <v>0.84179999999999999</v>
      </c>
      <c r="J4073" s="1">
        <v>9.9699999999999997E-2</v>
      </c>
      <c r="K4073" s="1">
        <v>0.90029999999999999</v>
      </c>
    </row>
    <row r="4074" spans="1:11">
      <c r="A4074" t="s">
        <v>236</v>
      </c>
      <c r="B4074" t="s">
        <v>204</v>
      </c>
      <c r="C4074">
        <v>81</v>
      </c>
      <c r="D4074" t="s">
        <v>207</v>
      </c>
      <c r="E4074">
        <v>968</v>
      </c>
      <c r="F4074" s="1">
        <v>0.96330000000000005</v>
      </c>
      <c r="H4074" s="1">
        <v>0.87109999999999999</v>
      </c>
      <c r="I4074" s="1">
        <v>0.9526</v>
      </c>
      <c r="J4074" s="1">
        <v>2.1700000000000001E-2</v>
      </c>
      <c r="K4074" s="1">
        <v>0.97599999999999998</v>
      </c>
    </row>
    <row r="4075" spans="1:11">
      <c r="A4075" t="s">
        <v>235</v>
      </c>
      <c r="B4075" t="s">
        <v>204</v>
      </c>
      <c r="C4075">
        <v>45</v>
      </c>
      <c r="D4075" t="s">
        <v>207</v>
      </c>
      <c r="E4075">
        <v>968</v>
      </c>
      <c r="F4075" s="1">
        <v>0.99570000000000003</v>
      </c>
      <c r="H4075" s="1">
        <v>0.9899</v>
      </c>
      <c r="I4075" s="1">
        <v>0.9899</v>
      </c>
      <c r="J4075" s="1">
        <v>4.3E-3</v>
      </c>
      <c r="K4075" s="1">
        <v>0.99139999999999995</v>
      </c>
    </row>
    <row r="4076" spans="1:11" s="26" customFormat="1">
      <c r="A4076" s="26" t="s">
        <v>236</v>
      </c>
      <c r="B4076" s="26" t="s">
        <v>204</v>
      </c>
      <c r="C4076" s="26">
        <v>11</v>
      </c>
      <c r="D4076" s="26" t="s">
        <v>208</v>
      </c>
      <c r="E4076" s="26">
        <v>968</v>
      </c>
      <c r="F4076" s="27">
        <v>0.90910000000000002</v>
      </c>
      <c r="H4076" s="27">
        <v>0.63639999999999997</v>
      </c>
      <c r="I4076" s="27">
        <v>0.90910000000000002</v>
      </c>
      <c r="J4076" s="27">
        <v>9.0899999999999995E-2</v>
      </c>
      <c r="K4076" s="27">
        <v>0.90910000000000002</v>
      </c>
    </row>
    <row r="4077" spans="1:11">
      <c r="A4077" t="s">
        <v>235</v>
      </c>
      <c r="B4077" t="s">
        <v>199</v>
      </c>
      <c r="C4077">
        <v>44</v>
      </c>
      <c r="D4077" t="s">
        <v>203</v>
      </c>
      <c r="E4077">
        <v>968</v>
      </c>
      <c r="F4077" s="1">
        <v>0.91439999999999999</v>
      </c>
      <c r="H4077" s="1">
        <v>0.88360000000000005</v>
      </c>
      <c r="I4077" s="1">
        <v>0.87160000000000004</v>
      </c>
      <c r="J4077" s="1">
        <v>4.2799999999999998E-2</v>
      </c>
      <c r="K4077" s="1">
        <v>0.91439999999999999</v>
      </c>
    </row>
    <row r="4078" spans="1:11">
      <c r="A4078" t="s">
        <v>236</v>
      </c>
      <c r="B4078" t="s">
        <v>199</v>
      </c>
      <c r="C4078">
        <v>32</v>
      </c>
      <c r="D4078" t="s">
        <v>203</v>
      </c>
      <c r="E4078">
        <v>968</v>
      </c>
      <c r="F4078" s="1">
        <v>0.97609999999999997</v>
      </c>
      <c r="H4078" s="1">
        <v>0.72760000000000002</v>
      </c>
      <c r="I4078" s="1">
        <v>1</v>
      </c>
      <c r="K4078" s="1">
        <v>1</v>
      </c>
    </row>
    <row r="4079" spans="1:11">
      <c r="A4079" t="s">
        <v>235</v>
      </c>
      <c r="B4079" t="s">
        <v>199</v>
      </c>
      <c r="C4079">
        <v>60</v>
      </c>
      <c r="D4079" t="s">
        <v>202</v>
      </c>
      <c r="E4079">
        <v>968</v>
      </c>
      <c r="F4079" s="1">
        <v>0.96299999999999997</v>
      </c>
      <c r="G4079" s="1">
        <v>1.5800000000000002E-2</v>
      </c>
      <c r="H4079" s="1">
        <v>0.96850000000000003</v>
      </c>
      <c r="I4079" s="1">
        <v>0.98419999999999996</v>
      </c>
      <c r="K4079" s="1">
        <v>0.98419999999999996</v>
      </c>
    </row>
    <row r="4080" spans="1:11" s="26" customFormat="1">
      <c r="A4080" s="26" t="s">
        <v>236</v>
      </c>
      <c r="B4080" s="26" t="s">
        <v>199</v>
      </c>
      <c r="C4080" s="26">
        <v>24</v>
      </c>
      <c r="D4080" s="26" t="s">
        <v>200</v>
      </c>
      <c r="E4080" s="26">
        <v>968</v>
      </c>
      <c r="F4080" s="27">
        <v>1</v>
      </c>
      <c r="H4080" s="27">
        <v>0.1724</v>
      </c>
      <c r="I4080" s="27">
        <v>0.96740000000000004</v>
      </c>
      <c r="K4080" s="27">
        <v>0.82179999999999997</v>
      </c>
    </row>
    <row r="4081" spans="1:11">
      <c r="A4081" t="s">
        <v>235</v>
      </c>
      <c r="B4081" t="s">
        <v>199</v>
      </c>
      <c r="C4081">
        <v>46</v>
      </c>
      <c r="D4081" t="s">
        <v>200</v>
      </c>
      <c r="E4081">
        <v>968</v>
      </c>
      <c r="F4081" s="1">
        <v>1</v>
      </c>
      <c r="H4081" s="1">
        <v>0.60750000000000004</v>
      </c>
      <c r="I4081" s="1">
        <v>1</v>
      </c>
      <c r="K4081" s="1">
        <v>0.997</v>
      </c>
    </row>
    <row r="4082" spans="1:11">
      <c r="A4082" t="s">
        <v>236</v>
      </c>
      <c r="B4082" t="s">
        <v>199</v>
      </c>
      <c r="C4082">
        <v>37</v>
      </c>
      <c r="D4082" t="s">
        <v>202</v>
      </c>
      <c r="E4082">
        <v>968</v>
      </c>
      <c r="F4082" s="1">
        <v>0.98980000000000001</v>
      </c>
      <c r="H4082" s="1">
        <v>0.77810000000000001</v>
      </c>
      <c r="I4082" s="1">
        <v>1</v>
      </c>
      <c r="K4082" s="1">
        <v>1</v>
      </c>
    </row>
    <row r="4083" spans="1:11">
      <c r="A4083" t="s">
        <v>235</v>
      </c>
      <c r="B4083" t="s">
        <v>199</v>
      </c>
      <c r="C4083">
        <v>96</v>
      </c>
      <c r="D4083" t="s">
        <v>201</v>
      </c>
      <c r="E4083">
        <v>968</v>
      </c>
      <c r="F4083" s="1">
        <v>0.94789999999999996</v>
      </c>
      <c r="H4083" s="1">
        <v>0.92710000000000004</v>
      </c>
      <c r="I4083" s="1">
        <v>0.94789999999999996</v>
      </c>
      <c r="J4083" s="1">
        <v>4.1700000000000001E-2</v>
      </c>
      <c r="K4083" s="1">
        <v>0.9375</v>
      </c>
    </row>
    <row r="4084" spans="1:11">
      <c r="A4084" t="s">
        <v>236</v>
      </c>
      <c r="B4084" t="s">
        <v>209</v>
      </c>
      <c r="C4084">
        <v>39</v>
      </c>
      <c r="D4084" t="s">
        <v>211</v>
      </c>
      <c r="E4084">
        <v>968</v>
      </c>
      <c r="F4084" s="1">
        <v>0.94269999999999998</v>
      </c>
      <c r="H4084" s="1">
        <v>0.56059999999999999</v>
      </c>
      <c r="I4084" s="1">
        <v>0.96050000000000002</v>
      </c>
      <c r="J4084" s="1">
        <v>1.18E-2</v>
      </c>
      <c r="K4084" s="1">
        <v>0.96050000000000002</v>
      </c>
    </row>
    <row r="4085" spans="1:11">
      <c r="A4085" t="s">
        <v>235</v>
      </c>
      <c r="B4085" t="s">
        <v>209</v>
      </c>
      <c r="C4085">
        <v>56</v>
      </c>
      <c r="D4085" t="s">
        <v>211</v>
      </c>
      <c r="E4085">
        <v>968</v>
      </c>
      <c r="F4085" s="1">
        <v>0.89490000000000003</v>
      </c>
      <c r="H4085" s="1">
        <v>0.88449999999999995</v>
      </c>
      <c r="I4085" s="1">
        <v>0.9607</v>
      </c>
      <c r="J4085" s="1">
        <v>3.9300000000000002E-2</v>
      </c>
      <c r="K4085" s="1">
        <v>0.9607</v>
      </c>
    </row>
    <row r="4086" spans="1:11">
      <c r="A4086" t="s">
        <v>235</v>
      </c>
      <c r="B4086" t="s">
        <v>209</v>
      </c>
      <c r="C4086">
        <v>67</v>
      </c>
      <c r="D4086" t="s">
        <v>212</v>
      </c>
      <c r="E4086">
        <v>968</v>
      </c>
      <c r="F4086" s="1">
        <v>0.87029999999999996</v>
      </c>
      <c r="H4086" s="1">
        <v>0.92079999999999995</v>
      </c>
      <c r="I4086" s="1">
        <v>0.94479999999999997</v>
      </c>
      <c r="J4086" s="1">
        <v>1.6199999999999999E-2</v>
      </c>
      <c r="K4086" s="1">
        <v>0.98380000000000001</v>
      </c>
    </row>
    <row r="4087" spans="1:11" s="26" customFormat="1">
      <c r="A4087" s="26" t="s">
        <v>236</v>
      </c>
      <c r="B4087" s="26" t="s">
        <v>209</v>
      </c>
      <c r="C4087" s="26">
        <v>18</v>
      </c>
      <c r="D4087" s="26" t="s">
        <v>212</v>
      </c>
      <c r="E4087" s="26">
        <v>968</v>
      </c>
      <c r="F4087" s="27">
        <v>0.91610000000000003</v>
      </c>
      <c r="H4087" s="27">
        <v>0.82809999999999995</v>
      </c>
      <c r="I4087" s="27">
        <v>0.91610000000000003</v>
      </c>
      <c r="K4087" s="27">
        <v>1</v>
      </c>
    </row>
    <row r="4088" spans="1:11">
      <c r="A4088" t="s">
        <v>236</v>
      </c>
      <c r="B4088" t="s">
        <v>209</v>
      </c>
      <c r="C4088">
        <v>38</v>
      </c>
      <c r="D4088" t="s">
        <v>210</v>
      </c>
      <c r="E4088">
        <v>968</v>
      </c>
      <c r="F4088" s="1">
        <v>0.87560000000000004</v>
      </c>
      <c r="H4088" s="1">
        <v>0.83730000000000004</v>
      </c>
      <c r="I4088" s="1">
        <v>0.89590000000000003</v>
      </c>
      <c r="J4088" s="1">
        <v>4.07E-2</v>
      </c>
      <c r="K4088" s="1">
        <v>0.91869999999999996</v>
      </c>
    </row>
    <row r="4089" spans="1:11">
      <c r="A4089" t="s">
        <v>235</v>
      </c>
      <c r="B4089" t="s">
        <v>209</v>
      </c>
      <c r="C4089">
        <v>32</v>
      </c>
      <c r="D4089" t="s">
        <v>210</v>
      </c>
      <c r="E4089">
        <v>968</v>
      </c>
      <c r="F4089" s="1">
        <v>0.93540000000000001</v>
      </c>
      <c r="H4089" s="1">
        <v>0.98470000000000002</v>
      </c>
      <c r="I4089" s="1">
        <v>1</v>
      </c>
      <c r="K4089" s="1">
        <v>1</v>
      </c>
    </row>
    <row r="4091" spans="1:11">
      <c r="A4091" t="s">
        <v>973</v>
      </c>
    </row>
    <row r="4092" spans="1:11">
      <c r="A4092" t="s">
        <v>189</v>
      </c>
      <c r="B4092" t="s">
        <v>195</v>
      </c>
      <c r="C4092" t="s">
        <v>190</v>
      </c>
      <c r="D4092" t="s">
        <v>196</v>
      </c>
      <c r="E4092" t="s">
        <v>228</v>
      </c>
      <c r="F4092" t="s">
        <v>873</v>
      </c>
      <c r="G4092" t="s">
        <v>874</v>
      </c>
      <c r="H4092" t="s">
        <v>875</v>
      </c>
    </row>
    <row r="4093" spans="1:11">
      <c r="A4093" t="s">
        <v>197</v>
      </c>
      <c r="B4093">
        <v>968</v>
      </c>
      <c r="C4093" t="s">
        <v>198</v>
      </c>
      <c r="D4093">
        <v>968</v>
      </c>
      <c r="E4093" s="1">
        <v>2.8E-3</v>
      </c>
      <c r="F4093" s="1">
        <v>1.0999999999999999E-2</v>
      </c>
      <c r="G4093" s="1">
        <v>9.7100000000000006E-2</v>
      </c>
      <c r="H4093" s="1">
        <v>0.8891</v>
      </c>
    </row>
    <row r="4094" spans="1:11">
      <c r="A4094" t="s">
        <v>204</v>
      </c>
      <c r="B4094">
        <v>91</v>
      </c>
      <c r="C4094" t="s">
        <v>205</v>
      </c>
      <c r="D4094">
        <v>968</v>
      </c>
      <c r="F4094" s="1">
        <v>8.5000000000000006E-3</v>
      </c>
      <c r="G4094" s="1">
        <v>9.8199999999999996E-2</v>
      </c>
      <c r="H4094" s="1">
        <v>0.89339999999999997</v>
      </c>
    </row>
    <row r="4095" spans="1:11">
      <c r="A4095" t="s">
        <v>204</v>
      </c>
      <c r="B4095">
        <v>72</v>
      </c>
      <c r="C4095" t="s">
        <v>206</v>
      </c>
      <c r="D4095">
        <v>968</v>
      </c>
      <c r="F4095" s="1">
        <v>1.1599999999999999E-2</v>
      </c>
      <c r="G4095" s="1">
        <v>0.15579999999999999</v>
      </c>
      <c r="H4095" s="1">
        <v>0.83260000000000001</v>
      </c>
    </row>
    <row r="4096" spans="1:11">
      <c r="A4096" t="s">
        <v>204</v>
      </c>
      <c r="B4096">
        <v>131</v>
      </c>
      <c r="C4096" t="s">
        <v>207</v>
      </c>
      <c r="D4096">
        <v>968</v>
      </c>
      <c r="F4096" s="1">
        <v>2.3E-3</v>
      </c>
      <c r="G4096" s="1">
        <v>5.3199999999999997E-2</v>
      </c>
      <c r="H4096" s="1">
        <v>0.94450000000000001</v>
      </c>
    </row>
    <row r="4097" spans="1:9">
      <c r="A4097" t="s">
        <v>204</v>
      </c>
      <c r="B4097">
        <v>74</v>
      </c>
      <c r="C4097" t="s">
        <v>208</v>
      </c>
      <c r="D4097">
        <v>968</v>
      </c>
      <c r="F4097" s="1">
        <v>2.7E-2</v>
      </c>
      <c r="G4097" s="1">
        <v>0.1081</v>
      </c>
      <c r="H4097" s="1">
        <v>0.8649</v>
      </c>
    </row>
    <row r="4098" spans="1:9">
      <c r="A4098" t="s">
        <v>199</v>
      </c>
      <c r="B4098">
        <v>73</v>
      </c>
      <c r="C4098" t="s">
        <v>200</v>
      </c>
      <c r="D4098">
        <v>968</v>
      </c>
      <c r="F4098" s="1">
        <v>0.1583</v>
      </c>
      <c r="G4098" s="1">
        <v>0.1399</v>
      </c>
      <c r="H4098" s="1">
        <v>0.70179999999999998</v>
      </c>
    </row>
    <row r="4099" spans="1:9">
      <c r="A4099" t="s">
        <v>199</v>
      </c>
      <c r="B4099">
        <v>96</v>
      </c>
      <c r="C4099" t="s">
        <v>201</v>
      </c>
      <c r="D4099">
        <v>968</v>
      </c>
      <c r="E4099" s="1">
        <v>1.04E-2</v>
      </c>
      <c r="G4099" s="1">
        <v>0.1042</v>
      </c>
      <c r="H4099" s="1">
        <v>0.88539999999999996</v>
      </c>
    </row>
    <row r="4100" spans="1:9">
      <c r="A4100" t="s">
        <v>199</v>
      </c>
      <c r="B4100">
        <v>98</v>
      </c>
      <c r="C4100" t="s">
        <v>202</v>
      </c>
      <c r="D4100">
        <v>968</v>
      </c>
      <c r="F4100" s="1">
        <v>4.1999999999999997E-3</v>
      </c>
      <c r="G4100" s="1">
        <v>0.10580000000000001</v>
      </c>
      <c r="H4100" s="1">
        <v>0.88990000000000002</v>
      </c>
    </row>
    <row r="4101" spans="1:9">
      <c r="A4101" t="s">
        <v>199</v>
      </c>
      <c r="B4101">
        <v>77</v>
      </c>
      <c r="C4101" t="s">
        <v>203</v>
      </c>
      <c r="D4101">
        <v>968</v>
      </c>
      <c r="G4101" s="1">
        <v>0.1636</v>
      </c>
      <c r="H4101" s="1">
        <v>0.83640000000000003</v>
      </c>
    </row>
    <row r="4102" spans="1:9">
      <c r="A4102" t="s">
        <v>209</v>
      </c>
      <c r="B4102">
        <v>74</v>
      </c>
      <c r="C4102" t="s">
        <v>210</v>
      </c>
      <c r="D4102">
        <v>968</v>
      </c>
      <c r="G4102" s="1">
        <v>7.6100000000000001E-2</v>
      </c>
      <c r="H4102" s="1">
        <v>0.92390000000000005</v>
      </c>
    </row>
    <row r="4103" spans="1:9">
      <c r="A4103" t="s">
        <v>209</v>
      </c>
      <c r="B4103">
        <v>97</v>
      </c>
      <c r="C4103" t="s">
        <v>211</v>
      </c>
      <c r="D4103">
        <v>968</v>
      </c>
      <c r="F4103" s="1">
        <v>2.8199999999999999E-2</v>
      </c>
      <c r="G4103" s="1">
        <v>0.15870000000000001</v>
      </c>
      <c r="H4103" s="1">
        <v>0.81310000000000004</v>
      </c>
    </row>
    <row r="4104" spans="1:9">
      <c r="A4104" t="s">
        <v>209</v>
      </c>
      <c r="B4104">
        <v>85</v>
      </c>
      <c r="C4104" t="s">
        <v>212</v>
      </c>
      <c r="D4104">
        <v>968</v>
      </c>
      <c r="E4104" s="1">
        <v>7.1999999999999998E-3</v>
      </c>
      <c r="F4104" s="1">
        <v>7.1999999999999998E-3</v>
      </c>
      <c r="G4104" s="1">
        <v>6.08E-2</v>
      </c>
      <c r="H4104" s="1">
        <v>0.92479999999999996</v>
      </c>
    </row>
    <row r="4106" spans="1:9">
      <c r="A4106" t="s">
        <v>974</v>
      </c>
    </row>
    <row r="4107" spans="1:9">
      <c r="A4107" t="s">
        <v>214</v>
      </c>
      <c r="B4107" t="s">
        <v>189</v>
      </c>
      <c r="C4107" t="s">
        <v>195</v>
      </c>
      <c r="D4107" t="s">
        <v>190</v>
      </c>
      <c r="E4107" t="s">
        <v>196</v>
      </c>
      <c r="F4107" t="s">
        <v>228</v>
      </c>
      <c r="G4107" t="s">
        <v>873</v>
      </c>
      <c r="H4107" t="s">
        <v>874</v>
      </c>
      <c r="I4107" t="s">
        <v>875</v>
      </c>
    </row>
    <row r="4108" spans="1:9">
      <c r="A4108" t="s">
        <v>198</v>
      </c>
      <c r="B4108" t="s">
        <v>197</v>
      </c>
      <c r="C4108">
        <v>968</v>
      </c>
      <c r="D4108" t="s">
        <v>198</v>
      </c>
      <c r="E4108">
        <v>968</v>
      </c>
      <c r="F4108" s="1">
        <v>2.8E-3</v>
      </c>
      <c r="G4108" s="1">
        <v>1.0999999999999999E-2</v>
      </c>
      <c r="H4108" s="1">
        <v>9.7100000000000006E-2</v>
      </c>
      <c r="I4108" s="1">
        <v>0.8891</v>
      </c>
    </row>
    <row r="4109" spans="1:9">
      <c r="A4109" t="s">
        <v>235</v>
      </c>
      <c r="B4109" t="s">
        <v>204</v>
      </c>
      <c r="C4109">
        <v>63</v>
      </c>
      <c r="D4109" t="s">
        <v>208</v>
      </c>
      <c r="E4109">
        <v>968</v>
      </c>
      <c r="G4109" s="1">
        <v>1.5900000000000001E-2</v>
      </c>
      <c r="H4109" s="1">
        <v>0.1111</v>
      </c>
      <c r="I4109" s="1">
        <v>0.873</v>
      </c>
    </row>
    <row r="4110" spans="1:9">
      <c r="A4110" t="s">
        <v>236</v>
      </c>
      <c r="B4110" t="s">
        <v>204</v>
      </c>
      <c r="C4110">
        <v>32</v>
      </c>
      <c r="D4110" t="s">
        <v>205</v>
      </c>
      <c r="E4110">
        <v>968</v>
      </c>
      <c r="G4110" s="1">
        <v>4.7600000000000003E-2</v>
      </c>
      <c r="H4110" s="1">
        <v>0.19040000000000001</v>
      </c>
      <c r="I4110" s="1">
        <v>0.76200000000000001</v>
      </c>
    </row>
    <row r="4111" spans="1:9">
      <c r="A4111" t="s">
        <v>235</v>
      </c>
      <c r="B4111" t="s">
        <v>204</v>
      </c>
      <c r="C4111">
        <v>58</v>
      </c>
      <c r="D4111" t="s">
        <v>205</v>
      </c>
      <c r="E4111">
        <v>968</v>
      </c>
      <c r="H4111" s="1">
        <v>7.8399999999999997E-2</v>
      </c>
      <c r="I4111" s="1">
        <v>0.92159999999999997</v>
      </c>
    </row>
    <row r="4112" spans="1:9" s="26" customFormat="1">
      <c r="A4112" s="26" t="s">
        <v>236</v>
      </c>
      <c r="B4112" s="26" t="s">
        <v>204</v>
      </c>
      <c r="C4112" s="26">
        <v>21</v>
      </c>
      <c r="D4112" s="26" t="s">
        <v>206</v>
      </c>
      <c r="E4112" s="26">
        <v>968</v>
      </c>
      <c r="H4112" s="27">
        <v>0.24779999999999999</v>
      </c>
      <c r="I4112" s="27">
        <v>0.75219999999999998</v>
      </c>
    </row>
    <row r="4113" spans="1:9">
      <c r="A4113" t="s">
        <v>235</v>
      </c>
      <c r="B4113" t="s">
        <v>204</v>
      </c>
      <c r="C4113">
        <v>47</v>
      </c>
      <c r="D4113" t="s">
        <v>206</v>
      </c>
      <c r="E4113">
        <v>968</v>
      </c>
      <c r="G4113" s="1">
        <v>1.72E-2</v>
      </c>
      <c r="H4113" s="1">
        <v>0.13059999999999999</v>
      </c>
      <c r="I4113" s="1">
        <v>0.85219999999999996</v>
      </c>
    </row>
    <row r="4114" spans="1:9">
      <c r="A4114" t="s">
        <v>236</v>
      </c>
      <c r="B4114" t="s">
        <v>204</v>
      </c>
      <c r="C4114">
        <v>81</v>
      </c>
      <c r="D4114" t="s">
        <v>207</v>
      </c>
      <c r="E4114">
        <v>968</v>
      </c>
      <c r="G4114" s="1">
        <v>5.7000000000000002E-3</v>
      </c>
      <c r="H4114" s="1">
        <v>0.1077</v>
      </c>
      <c r="I4114" s="1">
        <v>0.88660000000000005</v>
      </c>
    </row>
    <row r="4115" spans="1:9">
      <c r="A4115" t="s">
        <v>235</v>
      </c>
      <c r="B4115" t="s">
        <v>204</v>
      </c>
      <c r="C4115">
        <v>45</v>
      </c>
      <c r="D4115" t="s">
        <v>207</v>
      </c>
      <c r="E4115">
        <v>968</v>
      </c>
      <c r="H4115" s="1">
        <v>1.01E-2</v>
      </c>
      <c r="I4115" s="1">
        <v>0.9899</v>
      </c>
    </row>
    <row r="4116" spans="1:9" s="26" customFormat="1">
      <c r="A4116" s="26" t="s">
        <v>236</v>
      </c>
      <c r="B4116" s="26" t="s">
        <v>204</v>
      </c>
      <c r="C4116" s="26">
        <v>11</v>
      </c>
      <c r="D4116" s="26" t="s">
        <v>208</v>
      </c>
      <c r="E4116" s="26">
        <v>968</v>
      </c>
      <c r="G4116" s="27">
        <v>9.0899999999999995E-2</v>
      </c>
      <c r="H4116" s="27">
        <v>9.0899999999999995E-2</v>
      </c>
      <c r="I4116" s="27">
        <v>0.81820000000000004</v>
      </c>
    </row>
    <row r="4117" spans="1:9">
      <c r="A4117" t="s">
        <v>235</v>
      </c>
      <c r="B4117" t="s">
        <v>199</v>
      </c>
      <c r="C4117">
        <v>44</v>
      </c>
      <c r="D4117" t="s">
        <v>203</v>
      </c>
      <c r="E4117">
        <v>968</v>
      </c>
      <c r="H4117" s="1">
        <v>0.19550000000000001</v>
      </c>
      <c r="I4117" s="1">
        <v>0.80449999999999999</v>
      </c>
    </row>
    <row r="4118" spans="1:9">
      <c r="A4118" t="s">
        <v>236</v>
      </c>
      <c r="B4118" t="s">
        <v>199</v>
      </c>
      <c r="C4118">
        <v>32</v>
      </c>
      <c r="D4118" t="s">
        <v>203</v>
      </c>
      <c r="E4118">
        <v>968</v>
      </c>
      <c r="H4118" s="1">
        <v>0.11840000000000001</v>
      </c>
      <c r="I4118" s="1">
        <v>0.88160000000000005</v>
      </c>
    </row>
    <row r="4119" spans="1:9">
      <c r="A4119" t="s">
        <v>235</v>
      </c>
      <c r="B4119" t="s">
        <v>199</v>
      </c>
      <c r="C4119">
        <v>60</v>
      </c>
      <c r="D4119" t="s">
        <v>202</v>
      </c>
      <c r="E4119">
        <v>968</v>
      </c>
      <c r="H4119" s="1">
        <v>0.1164</v>
      </c>
      <c r="I4119" s="1">
        <v>0.88360000000000005</v>
      </c>
    </row>
    <row r="4120" spans="1:9" s="26" customFormat="1">
      <c r="A4120" s="26" t="s">
        <v>236</v>
      </c>
      <c r="B4120" s="26" t="s">
        <v>199</v>
      </c>
      <c r="C4120" s="26">
        <v>24</v>
      </c>
      <c r="D4120" s="26" t="s">
        <v>200</v>
      </c>
      <c r="E4120" s="26">
        <v>968</v>
      </c>
      <c r="G4120" s="27">
        <v>0.3271</v>
      </c>
      <c r="H4120" s="27">
        <v>0.1323</v>
      </c>
      <c r="I4120" s="27">
        <v>0.54059999999999997</v>
      </c>
    </row>
    <row r="4121" spans="1:9">
      <c r="A4121" t="s">
        <v>235</v>
      </c>
      <c r="B4121" t="s">
        <v>199</v>
      </c>
      <c r="C4121">
        <v>46</v>
      </c>
      <c r="D4121" t="s">
        <v>200</v>
      </c>
      <c r="E4121">
        <v>968</v>
      </c>
      <c r="G4121" s="1">
        <v>8.9999999999999993E-3</v>
      </c>
      <c r="H4121" s="1">
        <v>0.14799999999999999</v>
      </c>
      <c r="I4121" s="1">
        <v>0.84299999999999997</v>
      </c>
    </row>
    <row r="4122" spans="1:9">
      <c r="A4122" t="s">
        <v>236</v>
      </c>
      <c r="B4122" t="s">
        <v>199</v>
      </c>
      <c r="C4122">
        <v>37</v>
      </c>
      <c r="D4122" t="s">
        <v>202</v>
      </c>
      <c r="E4122">
        <v>968</v>
      </c>
      <c r="G4122" s="1">
        <v>1.0200000000000001E-2</v>
      </c>
      <c r="H4122" s="1">
        <v>9.4600000000000004E-2</v>
      </c>
      <c r="I4122" s="1">
        <v>0.8952</v>
      </c>
    </row>
    <row r="4123" spans="1:9">
      <c r="A4123" t="s">
        <v>235</v>
      </c>
      <c r="B4123" t="s">
        <v>199</v>
      </c>
      <c r="C4123">
        <v>96</v>
      </c>
      <c r="D4123" t="s">
        <v>201</v>
      </c>
      <c r="E4123">
        <v>968</v>
      </c>
      <c r="F4123" s="1">
        <v>1.04E-2</v>
      </c>
      <c r="H4123" s="1">
        <v>0.1042</v>
      </c>
      <c r="I4123" s="1">
        <v>0.88539999999999996</v>
      </c>
    </row>
    <row r="4124" spans="1:9">
      <c r="A4124" t="s">
        <v>236</v>
      </c>
      <c r="B4124" t="s">
        <v>209</v>
      </c>
      <c r="C4124">
        <v>39</v>
      </c>
      <c r="D4124" t="s">
        <v>211</v>
      </c>
      <c r="E4124">
        <v>968</v>
      </c>
      <c r="G4124" s="1">
        <v>6.7100000000000007E-2</v>
      </c>
      <c r="H4124" s="1">
        <v>0.23019999999999999</v>
      </c>
      <c r="I4124" s="1">
        <v>0.70269999999999999</v>
      </c>
    </row>
    <row r="4125" spans="1:9">
      <c r="A4125" t="s">
        <v>235</v>
      </c>
      <c r="B4125" t="s">
        <v>209</v>
      </c>
      <c r="C4125">
        <v>56</v>
      </c>
      <c r="D4125" t="s">
        <v>211</v>
      </c>
      <c r="E4125">
        <v>968</v>
      </c>
      <c r="G4125" s="1">
        <v>6.8999999999999999E-3</v>
      </c>
      <c r="H4125" s="1">
        <v>0.12479999999999999</v>
      </c>
      <c r="I4125" s="1">
        <v>0.86829999999999996</v>
      </c>
    </row>
    <row r="4126" spans="1:9">
      <c r="A4126" t="s">
        <v>235</v>
      </c>
      <c r="B4126" t="s">
        <v>209</v>
      </c>
      <c r="C4126">
        <v>67</v>
      </c>
      <c r="D4126" t="s">
        <v>212</v>
      </c>
      <c r="E4126">
        <v>968</v>
      </c>
      <c r="F4126" s="1">
        <v>8.3999999999999995E-3</v>
      </c>
      <c r="H4126" s="1">
        <v>6.2100000000000002E-2</v>
      </c>
      <c r="I4126" s="1">
        <v>0.92949999999999999</v>
      </c>
    </row>
    <row r="4127" spans="1:9" s="26" customFormat="1">
      <c r="A4127" s="26" t="s">
        <v>236</v>
      </c>
      <c r="B4127" s="26" t="s">
        <v>209</v>
      </c>
      <c r="C4127" s="26">
        <v>18</v>
      </c>
      <c r="D4127" s="26" t="s">
        <v>212</v>
      </c>
      <c r="E4127" s="26">
        <v>968</v>
      </c>
      <c r="G4127" s="27">
        <v>5.2499999999999998E-2</v>
      </c>
      <c r="H4127" s="27">
        <v>5.2499999999999998E-2</v>
      </c>
      <c r="I4127" s="27">
        <v>0.89500000000000002</v>
      </c>
    </row>
    <row r="4128" spans="1:9">
      <c r="A4128" t="s">
        <v>236</v>
      </c>
      <c r="B4128" t="s">
        <v>209</v>
      </c>
      <c r="C4128">
        <v>38</v>
      </c>
      <c r="D4128" t="s">
        <v>210</v>
      </c>
      <c r="E4128">
        <v>968</v>
      </c>
      <c r="H4128" s="1">
        <v>0.122</v>
      </c>
      <c r="I4128" s="1">
        <v>0.878</v>
      </c>
    </row>
    <row r="4129" spans="1:12">
      <c r="A4129" t="s">
        <v>235</v>
      </c>
      <c r="B4129" t="s">
        <v>209</v>
      </c>
      <c r="C4129">
        <v>32</v>
      </c>
      <c r="D4129" t="s">
        <v>210</v>
      </c>
      <c r="E4129">
        <v>968</v>
      </c>
      <c r="H4129" s="1">
        <v>3.2300000000000002E-2</v>
      </c>
      <c r="I4129" s="1">
        <v>0.9677</v>
      </c>
    </row>
    <row r="4131" spans="1:12">
      <c r="A4131" t="s">
        <v>975</v>
      </c>
    </row>
    <row r="4132" spans="1:12">
      <c r="A4132" t="s">
        <v>189</v>
      </c>
      <c r="B4132" t="s">
        <v>195</v>
      </c>
      <c r="C4132" t="s">
        <v>190</v>
      </c>
      <c r="D4132" t="s">
        <v>196</v>
      </c>
      <c r="E4132" t="s">
        <v>976</v>
      </c>
      <c r="F4132" t="s">
        <v>977</v>
      </c>
      <c r="G4132" t="s">
        <v>978</v>
      </c>
      <c r="H4132" t="s">
        <v>979</v>
      </c>
      <c r="I4132" t="s">
        <v>980</v>
      </c>
      <c r="J4132" t="s">
        <v>981</v>
      </c>
      <c r="K4132" t="s">
        <v>278</v>
      </c>
      <c r="L4132" t="s">
        <v>982</v>
      </c>
    </row>
    <row r="4133" spans="1:12">
      <c r="A4133" t="s">
        <v>197</v>
      </c>
      <c r="B4133">
        <v>140</v>
      </c>
      <c r="C4133" t="s">
        <v>198</v>
      </c>
      <c r="D4133">
        <v>140</v>
      </c>
      <c r="E4133" s="1">
        <v>0.2414</v>
      </c>
      <c r="F4133" s="1">
        <v>0.31490000000000001</v>
      </c>
      <c r="G4133" s="1">
        <v>0.1656</v>
      </c>
      <c r="H4133" s="1">
        <v>4.2900000000000001E-2</v>
      </c>
      <c r="I4133" s="1">
        <v>0.16819999999999999</v>
      </c>
      <c r="J4133" s="1">
        <v>0.3503</v>
      </c>
      <c r="K4133" s="1">
        <v>2.2000000000000001E-3</v>
      </c>
      <c r="L4133" s="1">
        <v>5.0000000000000001E-4</v>
      </c>
    </row>
    <row r="4134" spans="1:12" s="26" customFormat="1">
      <c r="A4134" s="26" t="s">
        <v>204</v>
      </c>
      <c r="B4134" s="26">
        <v>15</v>
      </c>
      <c r="C4134" s="26" t="s">
        <v>205</v>
      </c>
      <c r="D4134" s="26">
        <v>140</v>
      </c>
      <c r="E4134" s="27">
        <v>2.2800000000000001E-2</v>
      </c>
      <c r="F4134" s="27">
        <v>0.3276</v>
      </c>
      <c r="G4134" s="27">
        <v>0.2155</v>
      </c>
      <c r="H4134" s="27">
        <v>0.12609999999999999</v>
      </c>
      <c r="I4134" s="27">
        <v>0.31180000000000002</v>
      </c>
      <c r="J4134" s="27">
        <v>0.36059999999999998</v>
      </c>
    </row>
    <row r="4135" spans="1:12" s="26" customFormat="1">
      <c r="A4135" s="26" t="s">
        <v>204</v>
      </c>
      <c r="B4135" s="26">
        <v>11</v>
      </c>
      <c r="C4135" s="26" t="s">
        <v>206</v>
      </c>
      <c r="D4135" s="26">
        <v>140</v>
      </c>
      <c r="E4135" s="27">
        <v>0.55379999999999996</v>
      </c>
      <c r="F4135" s="27">
        <v>0.73839999999999995</v>
      </c>
      <c r="H4135" s="27">
        <v>0.1076</v>
      </c>
      <c r="J4135" s="27">
        <v>7.6999999999999999E-2</v>
      </c>
    </row>
    <row r="4136" spans="1:12" s="26" customFormat="1">
      <c r="A4136" s="26" t="s">
        <v>204</v>
      </c>
      <c r="B4136" s="26">
        <v>23</v>
      </c>
      <c r="C4136" s="26" t="s">
        <v>207</v>
      </c>
      <c r="D4136" s="26">
        <v>140</v>
      </c>
      <c r="E4136" s="27">
        <v>0.23350000000000001</v>
      </c>
      <c r="F4136" s="27">
        <v>0.29480000000000001</v>
      </c>
      <c r="G4136" s="27">
        <v>0.38140000000000002</v>
      </c>
      <c r="H4136" s="27">
        <v>4.3499999999999997E-2</v>
      </c>
      <c r="I4136" s="27">
        <v>0.1605</v>
      </c>
      <c r="J4136" s="27">
        <v>0.31659999999999999</v>
      </c>
      <c r="K4136" s="27">
        <v>2.7099999999999999E-2</v>
      </c>
    </row>
    <row r="4137" spans="1:12" s="26" customFormat="1">
      <c r="A4137" s="26" t="s">
        <v>204</v>
      </c>
      <c r="B4137" s="26">
        <v>10</v>
      </c>
      <c r="C4137" s="26" t="s">
        <v>208</v>
      </c>
      <c r="D4137" s="26">
        <v>140</v>
      </c>
      <c r="E4137" s="27">
        <v>0.2</v>
      </c>
      <c r="F4137" s="27">
        <v>0.2</v>
      </c>
      <c r="G4137" s="27">
        <v>0.1</v>
      </c>
      <c r="H4137" s="27">
        <v>0.1</v>
      </c>
      <c r="I4137" s="27">
        <v>0.4</v>
      </c>
      <c r="J4137" s="27">
        <v>0.4</v>
      </c>
    </row>
    <row r="4138" spans="1:12" s="26" customFormat="1">
      <c r="A4138" s="26" t="s">
        <v>199</v>
      </c>
      <c r="B4138" s="26">
        <v>16</v>
      </c>
      <c r="C4138" s="26" t="s">
        <v>200</v>
      </c>
      <c r="D4138" s="26">
        <v>140</v>
      </c>
      <c r="E4138" s="27">
        <v>0.22919999999999999</v>
      </c>
      <c r="F4138" s="27">
        <v>0.22919999999999999</v>
      </c>
      <c r="G4138" s="27">
        <v>0.25559999999999999</v>
      </c>
      <c r="J4138" s="27">
        <v>0.74970000000000003</v>
      </c>
    </row>
    <row r="4139" spans="1:12" s="26" customFormat="1">
      <c r="A4139" s="26" t="s">
        <v>199</v>
      </c>
      <c r="B4139" s="26">
        <v>10</v>
      </c>
      <c r="C4139" s="26" t="s">
        <v>201</v>
      </c>
      <c r="D4139" s="26">
        <v>140</v>
      </c>
      <c r="E4139" s="27">
        <v>0.5</v>
      </c>
      <c r="F4139" s="27">
        <v>0.5</v>
      </c>
      <c r="I4139" s="27">
        <v>0.1</v>
      </c>
    </row>
    <row r="4140" spans="1:12" s="26" customFormat="1">
      <c r="A4140" s="26" t="s">
        <v>199</v>
      </c>
      <c r="B4140" s="26">
        <v>10</v>
      </c>
      <c r="C4140" s="26" t="s">
        <v>202</v>
      </c>
      <c r="D4140" s="26">
        <v>140</v>
      </c>
      <c r="E4140" s="27">
        <v>0.4425</v>
      </c>
      <c r="F4140" s="27">
        <v>0.2031</v>
      </c>
      <c r="I4140" s="27">
        <v>3.8399999999999997E-2</v>
      </c>
      <c r="J4140" s="27">
        <v>0.47539999999999999</v>
      </c>
    </row>
    <row r="4141" spans="1:12" s="26" customFormat="1">
      <c r="A4141" s="26" t="s">
        <v>199</v>
      </c>
      <c r="B4141" s="26">
        <v>12</v>
      </c>
      <c r="C4141" s="26" t="s">
        <v>203</v>
      </c>
      <c r="D4141" s="26">
        <v>140</v>
      </c>
      <c r="F4141" s="27">
        <v>0.32840000000000003</v>
      </c>
      <c r="G4141" s="27">
        <v>0.43190000000000001</v>
      </c>
      <c r="H4141" s="27">
        <v>5.8099999999999999E-2</v>
      </c>
      <c r="I4141" s="27">
        <v>0.10340000000000001</v>
      </c>
      <c r="J4141" s="27">
        <v>0.35849999999999999</v>
      </c>
    </row>
    <row r="4142" spans="1:12" s="26" customFormat="1">
      <c r="A4142" s="26" t="s">
        <v>209</v>
      </c>
      <c r="B4142" s="26">
        <v>8</v>
      </c>
      <c r="C4142" s="26" t="s">
        <v>210</v>
      </c>
      <c r="D4142" s="26">
        <v>140</v>
      </c>
      <c r="E4142" s="27">
        <v>0.10970000000000001</v>
      </c>
      <c r="F4142" s="27">
        <v>0.5484</v>
      </c>
      <c r="G4142" s="27">
        <v>0.10970000000000001</v>
      </c>
      <c r="I4142" s="27">
        <v>0.10970000000000001</v>
      </c>
      <c r="J4142" s="27">
        <v>0.56130000000000002</v>
      </c>
      <c r="L4142" s="27">
        <v>0.10970000000000001</v>
      </c>
    </row>
    <row r="4143" spans="1:12" s="26" customFormat="1">
      <c r="A4143" s="26" t="s">
        <v>209</v>
      </c>
      <c r="B4143" s="26">
        <v>20</v>
      </c>
      <c r="C4143" s="26" t="s">
        <v>211</v>
      </c>
      <c r="D4143" s="26">
        <v>140</v>
      </c>
      <c r="E4143" s="27">
        <v>0.16170000000000001</v>
      </c>
      <c r="F4143" s="27">
        <v>0.21820000000000001</v>
      </c>
      <c r="G4143" s="27">
        <v>2.4199999999999999E-2</v>
      </c>
      <c r="I4143" s="27">
        <v>0.16170000000000001</v>
      </c>
      <c r="J4143" s="27">
        <v>0.62009999999999998</v>
      </c>
    </row>
    <row r="4144" spans="1:12" s="26" customFormat="1">
      <c r="A4144" s="26" t="s">
        <v>209</v>
      </c>
      <c r="B4144" s="26">
        <v>5</v>
      </c>
      <c r="C4144" s="26" t="s">
        <v>212</v>
      </c>
      <c r="D4144" s="26">
        <v>140</v>
      </c>
      <c r="F4144" s="27">
        <v>0.2477</v>
      </c>
      <c r="G4144" s="27">
        <v>0.62390000000000001</v>
      </c>
      <c r="I4144" s="27">
        <v>0.2477</v>
      </c>
      <c r="J4144" s="27">
        <v>0.25690000000000002</v>
      </c>
    </row>
    <row r="4146" spans="1:13">
      <c r="A4146" t="s">
        <v>983</v>
      </c>
    </row>
    <row r="4147" spans="1:13">
      <c r="A4147" t="s">
        <v>214</v>
      </c>
      <c r="B4147" t="s">
        <v>189</v>
      </c>
      <c r="C4147" t="s">
        <v>195</v>
      </c>
      <c r="D4147" t="s">
        <v>190</v>
      </c>
      <c r="E4147" t="s">
        <v>196</v>
      </c>
      <c r="F4147" t="s">
        <v>976</v>
      </c>
      <c r="G4147" t="s">
        <v>977</v>
      </c>
      <c r="H4147" t="s">
        <v>978</v>
      </c>
      <c r="I4147" t="s">
        <v>979</v>
      </c>
      <c r="J4147" t="s">
        <v>980</v>
      </c>
      <c r="K4147" t="s">
        <v>981</v>
      </c>
      <c r="L4147" t="s">
        <v>278</v>
      </c>
      <c r="M4147" t="s">
        <v>982</v>
      </c>
    </row>
    <row r="4148" spans="1:13">
      <c r="A4148" t="s">
        <v>198</v>
      </c>
      <c r="B4148" t="s">
        <v>197</v>
      </c>
      <c r="C4148">
        <v>140</v>
      </c>
      <c r="D4148" t="s">
        <v>198</v>
      </c>
      <c r="E4148">
        <v>140</v>
      </c>
      <c r="F4148" s="1">
        <v>0.2414</v>
      </c>
      <c r="G4148" s="1">
        <v>0.31490000000000001</v>
      </c>
      <c r="H4148" s="1">
        <v>0.1656</v>
      </c>
      <c r="I4148" s="1">
        <v>4.2900000000000001E-2</v>
      </c>
      <c r="J4148" s="1">
        <v>0.16819999999999999</v>
      </c>
      <c r="K4148" s="1">
        <v>0.3503</v>
      </c>
      <c r="L4148" s="1">
        <v>2.2000000000000001E-3</v>
      </c>
      <c r="M4148" s="1">
        <v>5.0000000000000001E-4</v>
      </c>
    </row>
    <row r="4149" spans="1:13" s="26" customFormat="1">
      <c r="A4149" s="26" t="s">
        <v>236</v>
      </c>
      <c r="B4149" s="26" t="s">
        <v>204</v>
      </c>
      <c r="C4149" s="26">
        <v>2</v>
      </c>
      <c r="D4149" s="26" t="s">
        <v>208</v>
      </c>
      <c r="E4149" s="26">
        <v>140</v>
      </c>
      <c r="F4149" s="27">
        <v>0.5</v>
      </c>
      <c r="G4149" s="27">
        <v>0.5</v>
      </c>
      <c r="H4149" s="27">
        <v>0.5</v>
      </c>
      <c r="K4149" s="27">
        <v>0.5</v>
      </c>
    </row>
    <row r="4150" spans="1:13" s="26" customFormat="1">
      <c r="A4150" s="26" t="s">
        <v>236</v>
      </c>
      <c r="B4150" s="26" t="s">
        <v>204</v>
      </c>
      <c r="C4150" s="26">
        <v>7</v>
      </c>
      <c r="D4150" s="26" t="s">
        <v>205</v>
      </c>
      <c r="E4150" s="26">
        <v>140</v>
      </c>
      <c r="F4150" s="27">
        <v>5.74E-2</v>
      </c>
      <c r="G4150" s="27">
        <v>5.74E-2</v>
      </c>
      <c r="H4150" s="27">
        <v>0.46760000000000002</v>
      </c>
      <c r="I4150" s="27">
        <v>0.31759999999999999</v>
      </c>
      <c r="J4150" s="27">
        <v>0.3926</v>
      </c>
      <c r="K4150" s="27">
        <v>0.39989999999999998</v>
      </c>
    </row>
    <row r="4151" spans="1:13" s="26" customFormat="1">
      <c r="A4151" s="26" t="s">
        <v>235</v>
      </c>
      <c r="B4151" s="26" t="s">
        <v>204</v>
      </c>
      <c r="C4151" s="26">
        <v>8</v>
      </c>
      <c r="D4151" s="26" t="s">
        <v>205</v>
      </c>
      <c r="E4151" s="26">
        <v>140</v>
      </c>
      <c r="G4151" s="27">
        <v>0.50549999999999995</v>
      </c>
      <c r="H4151" s="27">
        <v>4.9399999999999999E-2</v>
      </c>
      <c r="J4151" s="27">
        <v>0.2586</v>
      </c>
      <c r="K4151" s="27">
        <v>0.3347</v>
      </c>
    </row>
    <row r="4152" spans="1:13" s="26" customFormat="1">
      <c r="A4152" s="26" t="s">
        <v>236</v>
      </c>
      <c r="B4152" s="26" t="s">
        <v>204</v>
      </c>
      <c r="C4152" s="26">
        <v>5</v>
      </c>
      <c r="D4152" s="26" t="s">
        <v>206</v>
      </c>
      <c r="E4152" s="26">
        <v>140</v>
      </c>
      <c r="F4152" s="27">
        <v>0.58630000000000004</v>
      </c>
      <c r="G4152" s="27">
        <v>0.65480000000000005</v>
      </c>
      <c r="I4152" s="27">
        <v>0.24110000000000001</v>
      </c>
      <c r="K4152" s="27">
        <v>0.1726</v>
      </c>
    </row>
    <row r="4153" spans="1:13" s="26" customFormat="1">
      <c r="A4153" s="26" t="s">
        <v>235</v>
      </c>
      <c r="B4153" s="26" t="s">
        <v>204</v>
      </c>
      <c r="C4153" s="26">
        <v>6</v>
      </c>
      <c r="D4153" s="26" t="s">
        <v>206</v>
      </c>
      <c r="E4153" s="26">
        <v>140</v>
      </c>
      <c r="F4153" s="27">
        <v>0.52759999999999996</v>
      </c>
      <c r="G4153" s="27">
        <v>0.80579999999999996</v>
      </c>
    </row>
    <row r="4154" spans="1:13" s="26" customFormat="1">
      <c r="A4154" s="26" t="s">
        <v>236</v>
      </c>
      <c r="B4154" s="26" t="s">
        <v>204</v>
      </c>
      <c r="C4154" s="26">
        <v>19</v>
      </c>
      <c r="D4154" s="26" t="s">
        <v>207</v>
      </c>
      <c r="E4154" s="26">
        <v>140</v>
      </c>
      <c r="F4154" s="27">
        <v>0.22750000000000001</v>
      </c>
      <c r="G4154" s="27">
        <v>0.24740000000000001</v>
      </c>
      <c r="H4154" s="27">
        <v>0.38200000000000001</v>
      </c>
      <c r="I4154" s="27">
        <v>3.2599999999999997E-2</v>
      </c>
      <c r="J4154" s="27">
        <v>0.19359999999999999</v>
      </c>
      <c r="K4154" s="27">
        <v>0.38179999999999997</v>
      </c>
      <c r="L4154" s="27">
        <v>3.2599999999999997E-2</v>
      </c>
    </row>
    <row r="4155" spans="1:13" s="26" customFormat="1">
      <c r="A4155" s="26" t="s">
        <v>235</v>
      </c>
      <c r="B4155" s="26" t="s">
        <v>204</v>
      </c>
      <c r="C4155" s="26">
        <v>3</v>
      </c>
      <c r="D4155" s="26" t="s">
        <v>207</v>
      </c>
      <c r="E4155" s="26">
        <v>140</v>
      </c>
      <c r="F4155" s="27">
        <v>0.42249999999999999</v>
      </c>
      <c r="G4155" s="27">
        <v>0.84509999999999996</v>
      </c>
      <c r="I4155" s="27">
        <v>0.15490000000000001</v>
      </c>
    </row>
    <row r="4156" spans="1:13" s="26" customFormat="1">
      <c r="A4156" s="26" t="s">
        <v>235</v>
      </c>
      <c r="B4156" s="26" t="s">
        <v>204</v>
      </c>
      <c r="C4156" s="26">
        <v>8</v>
      </c>
      <c r="D4156" s="26" t="s">
        <v>208</v>
      </c>
      <c r="E4156" s="26">
        <v>140</v>
      </c>
      <c r="F4156" s="27">
        <v>0.125</v>
      </c>
      <c r="G4156" s="27">
        <v>0.125</v>
      </c>
      <c r="I4156" s="27">
        <v>0.125</v>
      </c>
      <c r="J4156" s="27">
        <v>0.5</v>
      </c>
      <c r="K4156" s="27">
        <v>0.375</v>
      </c>
    </row>
    <row r="4157" spans="1:13" s="26" customFormat="1">
      <c r="A4157" s="26" t="s">
        <v>236</v>
      </c>
      <c r="B4157" s="26" t="s">
        <v>199</v>
      </c>
      <c r="C4157" s="26">
        <v>4</v>
      </c>
      <c r="D4157" s="26" t="s">
        <v>203</v>
      </c>
      <c r="E4157" s="26">
        <v>140</v>
      </c>
      <c r="H4157" s="27">
        <v>0.65669999999999995</v>
      </c>
      <c r="K4157" s="27">
        <v>1</v>
      </c>
    </row>
    <row r="4158" spans="1:13" s="26" customFormat="1">
      <c r="A4158" s="26" t="s">
        <v>235</v>
      </c>
      <c r="B4158" s="26" t="s">
        <v>199</v>
      </c>
      <c r="C4158" s="26">
        <v>8</v>
      </c>
      <c r="D4158" s="26" t="s">
        <v>203</v>
      </c>
      <c r="E4158" s="26">
        <v>140</v>
      </c>
      <c r="G4158" s="27">
        <v>0.43790000000000001</v>
      </c>
      <c r="H4158" s="27">
        <v>0.3569</v>
      </c>
      <c r="I4158" s="27">
        <v>7.7399999999999997E-2</v>
      </c>
      <c r="J4158" s="27">
        <v>0.13789999999999999</v>
      </c>
      <c r="K4158" s="27">
        <v>0.14460000000000001</v>
      </c>
    </row>
    <row r="4159" spans="1:13" s="26" customFormat="1">
      <c r="A4159" s="26" t="s">
        <v>235</v>
      </c>
      <c r="B4159" s="26" t="s">
        <v>199</v>
      </c>
      <c r="C4159" s="26">
        <v>6</v>
      </c>
      <c r="D4159" s="26" t="s">
        <v>202</v>
      </c>
      <c r="E4159" s="26">
        <v>140</v>
      </c>
      <c r="F4159" s="27">
        <v>0.52980000000000005</v>
      </c>
      <c r="G4159" s="27">
        <v>0.1353</v>
      </c>
      <c r="K4159" s="27">
        <v>0.33489999999999998</v>
      </c>
    </row>
    <row r="4160" spans="1:13" s="26" customFormat="1">
      <c r="A4160" s="26" t="s">
        <v>236</v>
      </c>
      <c r="B4160" s="26" t="s">
        <v>199</v>
      </c>
      <c r="C4160" s="26">
        <v>6</v>
      </c>
      <c r="D4160" s="26" t="s">
        <v>200</v>
      </c>
      <c r="E4160" s="26">
        <v>140</v>
      </c>
      <c r="F4160" s="27">
        <v>0.31690000000000002</v>
      </c>
      <c r="G4160" s="27">
        <v>0.31690000000000002</v>
      </c>
      <c r="H4160" s="27">
        <v>0.31690000000000002</v>
      </c>
      <c r="K4160" s="27">
        <v>0.68310000000000004</v>
      </c>
    </row>
    <row r="4161" spans="1:13" s="26" customFormat="1">
      <c r="A4161" s="26" t="s">
        <v>235</v>
      </c>
      <c r="B4161" s="26" t="s">
        <v>199</v>
      </c>
      <c r="C4161" s="26">
        <v>10</v>
      </c>
      <c r="D4161" s="26" t="s">
        <v>200</v>
      </c>
      <c r="E4161" s="26">
        <v>140</v>
      </c>
      <c r="H4161" s="27">
        <v>9.5500000000000002E-2</v>
      </c>
      <c r="K4161" s="27">
        <v>0.92359999999999998</v>
      </c>
    </row>
    <row r="4162" spans="1:13" s="26" customFormat="1">
      <c r="A4162" s="26" t="s">
        <v>236</v>
      </c>
      <c r="B4162" s="26" t="s">
        <v>199</v>
      </c>
      <c r="C4162" s="26">
        <v>4</v>
      </c>
      <c r="D4162" s="26" t="s">
        <v>202</v>
      </c>
      <c r="E4162" s="26">
        <v>140</v>
      </c>
      <c r="F4162" s="27">
        <v>0.30769999999999997</v>
      </c>
      <c r="G4162" s="27">
        <v>0.30769999999999997</v>
      </c>
      <c r="J4162" s="27">
        <v>9.7500000000000003E-2</v>
      </c>
      <c r="K4162" s="27">
        <v>0.69230000000000003</v>
      </c>
    </row>
    <row r="4163" spans="1:13" s="26" customFormat="1">
      <c r="A4163" s="26" t="s">
        <v>235</v>
      </c>
      <c r="B4163" s="26" t="s">
        <v>199</v>
      </c>
      <c r="C4163" s="26">
        <v>10</v>
      </c>
      <c r="D4163" s="26" t="s">
        <v>201</v>
      </c>
      <c r="E4163" s="26">
        <v>140</v>
      </c>
      <c r="F4163" s="27">
        <v>0.5</v>
      </c>
      <c r="G4163" s="27">
        <v>0.5</v>
      </c>
      <c r="J4163" s="27">
        <v>0.1</v>
      </c>
    </row>
    <row r="4164" spans="1:13" s="26" customFormat="1">
      <c r="A4164" s="26" t="s">
        <v>236</v>
      </c>
      <c r="B4164" s="26" t="s">
        <v>209</v>
      </c>
      <c r="C4164" s="26">
        <v>13</v>
      </c>
      <c r="D4164" s="26" t="s">
        <v>211</v>
      </c>
      <c r="E4164" s="26">
        <v>140</v>
      </c>
      <c r="F4164" s="27">
        <v>0.15290000000000001</v>
      </c>
      <c r="G4164" s="27">
        <v>0.1328</v>
      </c>
      <c r="H4164" s="27">
        <v>3.9800000000000002E-2</v>
      </c>
      <c r="J4164" s="27">
        <v>0.15290000000000001</v>
      </c>
      <c r="K4164" s="27">
        <v>0.71440000000000003</v>
      </c>
    </row>
    <row r="4165" spans="1:13" s="26" customFormat="1">
      <c r="A4165" s="26" t="s">
        <v>235</v>
      </c>
      <c r="B4165" s="26" t="s">
        <v>209</v>
      </c>
      <c r="C4165" s="26">
        <v>7</v>
      </c>
      <c r="D4165" s="26" t="s">
        <v>211</v>
      </c>
      <c r="E4165" s="26">
        <v>140</v>
      </c>
      <c r="F4165" s="27">
        <v>0.17530000000000001</v>
      </c>
      <c r="G4165" s="27">
        <v>0.35070000000000001</v>
      </c>
      <c r="J4165" s="27">
        <v>0.17530000000000001</v>
      </c>
      <c r="K4165" s="27">
        <v>0.47399999999999998</v>
      </c>
    </row>
    <row r="4166" spans="1:13" s="26" customFormat="1">
      <c r="A4166" s="26" t="s">
        <v>235</v>
      </c>
      <c r="B4166" s="26" t="s">
        <v>209</v>
      </c>
      <c r="C4166" s="26">
        <v>3</v>
      </c>
      <c r="D4166" s="26" t="s">
        <v>212</v>
      </c>
      <c r="E4166" s="26">
        <v>140</v>
      </c>
      <c r="G4166" s="27">
        <v>0.33329999999999999</v>
      </c>
      <c r="H4166" s="27">
        <v>0.66669999999999996</v>
      </c>
      <c r="J4166" s="27">
        <v>0.33329999999999999</v>
      </c>
    </row>
    <row r="4167" spans="1:13" s="26" customFormat="1">
      <c r="A4167" s="26" t="s">
        <v>236</v>
      </c>
      <c r="B4167" s="26" t="s">
        <v>209</v>
      </c>
      <c r="C4167" s="26">
        <v>2</v>
      </c>
      <c r="D4167" s="26" t="s">
        <v>212</v>
      </c>
      <c r="E4167" s="26">
        <v>140</v>
      </c>
      <c r="H4167" s="27">
        <v>0.5</v>
      </c>
      <c r="K4167" s="27">
        <v>1</v>
      </c>
    </row>
    <row r="4168" spans="1:13" s="26" customFormat="1">
      <c r="A4168" s="26" t="s">
        <v>236</v>
      </c>
      <c r="B4168" s="26" t="s">
        <v>209</v>
      </c>
      <c r="C4168" s="26">
        <v>6</v>
      </c>
      <c r="D4168" s="26" t="s">
        <v>210</v>
      </c>
      <c r="E4168" s="26">
        <v>140</v>
      </c>
      <c r="G4168" s="27">
        <v>0.66669999999999996</v>
      </c>
      <c r="H4168" s="27">
        <v>0.16669999999999999</v>
      </c>
      <c r="J4168" s="27">
        <v>0.16669999999999999</v>
      </c>
      <c r="K4168" s="27">
        <v>0.5</v>
      </c>
      <c r="M4168" s="27">
        <v>0.16669999999999999</v>
      </c>
    </row>
    <row r="4169" spans="1:13" s="26" customFormat="1">
      <c r="A4169" s="26" t="s">
        <v>235</v>
      </c>
      <c r="B4169" s="26" t="s">
        <v>209</v>
      </c>
      <c r="C4169" s="26">
        <v>1</v>
      </c>
      <c r="D4169" s="26" t="s">
        <v>210</v>
      </c>
      <c r="E4169" s="26">
        <v>140</v>
      </c>
      <c r="K4169" s="27">
        <v>1</v>
      </c>
    </row>
    <row r="4171" spans="1:13">
      <c r="A4171" t="s">
        <v>984</v>
      </c>
    </row>
    <row r="4172" spans="1:13">
      <c r="A4172" t="s">
        <v>189</v>
      </c>
      <c r="B4172" t="s">
        <v>195</v>
      </c>
      <c r="C4172" t="s">
        <v>190</v>
      </c>
      <c r="D4172" t="s">
        <v>196</v>
      </c>
      <c r="E4172" t="s">
        <v>985</v>
      </c>
      <c r="F4172" t="s">
        <v>986</v>
      </c>
      <c r="G4172" t="s">
        <v>987</v>
      </c>
      <c r="H4172" t="s">
        <v>988</v>
      </c>
      <c r="I4172" t="s">
        <v>278</v>
      </c>
    </row>
    <row r="4173" spans="1:13">
      <c r="A4173" t="s">
        <v>197</v>
      </c>
      <c r="B4173">
        <v>968</v>
      </c>
      <c r="C4173" t="s">
        <v>198</v>
      </c>
      <c r="D4173">
        <v>968</v>
      </c>
      <c r="E4173" s="1">
        <v>0.94089999999999996</v>
      </c>
      <c r="F4173" s="1">
        <v>2.76E-2</v>
      </c>
      <c r="G4173" s="1">
        <v>2.8199999999999999E-2</v>
      </c>
      <c r="H4173" s="1">
        <v>2.3999999999999998E-3</v>
      </c>
      <c r="I4173" s="1">
        <v>8.9999999999999998E-4</v>
      </c>
    </row>
    <row r="4174" spans="1:13">
      <c r="A4174" t="s">
        <v>204</v>
      </c>
      <c r="B4174">
        <v>91</v>
      </c>
      <c r="C4174" t="s">
        <v>205</v>
      </c>
      <c r="D4174">
        <v>968</v>
      </c>
      <c r="E4174" s="1">
        <v>0.93459999999999999</v>
      </c>
      <c r="F4174" s="1">
        <v>1.7600000000000001E-2</v>
      </c>
      <c r="G4174" s="1">
        <v>4.7800000000000002E-2</v>
      </c>
    </row>
    <row r="4175" spans="1:13">
      <c r="A4175" t="s">
        <v>204</v>
      </c>
      <c r="B4175">
        <v>72</v>
      </c>
      <c r="C4175" t="s">
        <v>206</v>
      </c>
      <c r="D4175">
        <v>968</v>
      </c>
      <c r="E4175" s="1">
        <v>0.83260000000000001</v>
      </c>
      <c r="F4175" s="1">
        <v>7.6700000000000004E-2</v>
      </c>
      <c r="G4175" s="1">
        <v>9.0700000000000003E-2</v>
      </c>
    </row>
    <row r="4176" spans="1:13">
      <c r="A4176" t="s">
        <v>204</v>
      </c>
      <c r="B4176">
        <v>131</v>
      </c>
      <c r="C4176" t="s">
        <v>207</v>
      </c>
      <c r="D4176">
        <v>968</v>
      </c>
      <c r="E4176" s="1">
        <v>0.91279999999999994</v>
      </c>
      <c r="F4176" s="1">
        <v>6.7599999999999993E-2</v>
      </c>
      <c r="G4176" s="1">
        <v>1.9599999999999999E-2</v>
      </c>
    </row>
    <row r="4177" spans="1:10">
      <c r="A4177" t="s">
        <v>204</v>
      </c>
      <c r="B4177">
        <v>74</v>
      </c>
      <c r="C4177" t="s">
        <v>208</v>
      </c>
      <c r="D4177">
        <v>968</v>
      </c>
      <c r="E4177" s="1">
        <v>0.91890000000000005</v>
      </c>
      <c r="F4177" s="1">
        <v>4.0500000000000001E-2</v>
      </c>
      <c r="G4177" s="1">
        <v>2.7E-2</v>
      </c>
      <c r="I4177" s="1">
        <v>1.35E-2</v>
      </c>
    </row>
    <row r="4178" spans="1:10">
      <c r="A4178" t="s">
        <v>199</v>
      </c>
      <c r="B4178">
        <v>73</v>
      </c>
      <c r="C4178" t="s">
        <v>200</v>
      </c>
      <c r="D4178">
        <v>968</v>
      </c>
      <c r="E4178" s="1">
        <v>0.69469999999999998</v>
      </c>
      <c r="F4178" s="1">
        <v>0.16259999999999999</v>
      </c>
      <c r="G4178" s="1">
        <v>0.13950000000000001</v>
      </c>
      <c r="H4178" s="1">
        <v>3.2000000000000002E-3</v>
      </c>
    </row>
    <row r="4179" spans="1:10">
      <c r="A4179" t="s">
        <v>199</v>
      </c>
      <c r="B4179">
        <v>96</v>
      </c>
      <c r="C4179" t="s">
        <v>201</v>
      </c>
      <c r="D4179">
        <v>968</v>
      </c>
      <c r="E4179" s="1">
        <v>1</v>
      </c>
    </row>
    <row r="4180" spans="1:10">
      <c r="A4180" t="s">
        <v>199</v>
      </c>
      <c r="B4180">
        <v>98</v>
      </c>
      <c r="C4180" t="s">
        <v>202</v>
      </c>
      <c r="D4180">
        <v>968</v>
      </c>
      <c r="E4180" s="1">
        <v>0.98219999999999996</v>
      </c>
      <c r="F4180" s="1">
        <v>1.35E-2</v>
      </c>
      <c r="G4180" s="1">
        <v>4.1999999999999997E-3</v>
      </c>
    </row>
    <row r="4181" spans="1:10">
      <c r="A4181" t="s">
        <v>199</v>
      </c>
      <c r="B4181">
        <v>77</v>
      </c>
      <c r="C4181" t="s">
        <v>203</v>
      </c>
      <c r="D4181">
        <v>968</v>
      </c>
      <c r="E4181" s="1">
        <v>0.93679999999999997</v>
      </c>
      <c r="F4181" s="1">
        <v>7.4000000000000003E-3</v>
      </c>
      <c r="G4181" s="1">
        <v>4.6300000000000001E-2</v>
      </c>
      <c r="H4181" s="1">
        <v>9.4999999999999998E-3</v>
      </c>
    </row>
    <row r="4182" spans="1:10">
      <c r="A4182" t="s">
        <v>209</v>
      </c>
      <c r="B4182">
        <v>74</v>
      </c>
      <c r="C4182" t="s">
        <v>210</v>
      </c>
      <c r="D4182">
        <v>968</v>
      </c>
      <c r="E4182" s="1">
        <v>0.89690000000000003</v>
      </c>
      <c r="F4182" s="1">
        <v>4.2700000000000002E-2</v>
      </c>
      <c r="G4182" s="1">
        <v>6.0400000000000002E-2</v>
      </c>
    </row>
    <row r="4183" spans="1:10">
      <c r="A4183" t="s">
        <v>209</v>
      </c>
      <c r="B4183">
        <v>97</v>
      </c>
      <c r="C4183" t="s">
        <v>211</v>
      </c>
      <c r="D4183">
        <v>968</v>
      </c>
      <c r="E4183" s="1">
        <v>0.85270000000000001</v>
      </c>
      <c r="F4183" s="1">
        <v>4.4200000000000003E-2</v>
      </c>
      <c r="G4183" s="1">
        <v>9.3200000000000005E-2</v>
      </c>
      <c r="H4183" s="1">
        <v>9.9000000000000008E-3</v>
      </c>
    </row>
    <row r="4184" spans="1:10">
      <c r="A4184" t="s">
        <v>209</v>
      </c>
      <c r="B4184">
        <v>85</v>
      </c>
      <c r="C4184" t="s">
        <v>212</v>
      </c>
      <c r="D4184">
        <v>968</v>
      </c>
      <c r="E4184" s="1">
        <v>0.96099999999999997</v>
      </c>
      <c r="F4184" s="1">
        <v>9.7000000000000003E-3</v>
      </c>
      <c r="G4184" s="1">
        <v>1.54E-2</v>
      </c>
      <c r="H4184" s="1">
        <v>1.4E-2</v>
      </c>
    </row>
    <row r="4186" spans="1:10">
      <c r="A4186" t="s">
        <v>989</v>
      </c>
    </row>
    <row r="4187" spans="1:10">
      <c r="A4187" t="s">
        <v>214</v>
      </c>
      <c r="B4187" t="s">
        <v>189</v>
      </c>
      <c r="C4187" t="s">
        <v>195</v>
      </c>
      <c r="D4187" t="s">
        <v>190</v>
      </c>
      <c r="E4187" t="s">
        <v>196</v>
      </c>
      <c r="F4187" t="s">
        <v>985</v>
      </c>
      <c r="G4187" t="s">
        <v>986</v>
      </c>
      <c r="H4187" t="s">
        <v>987</v>
      </c>
      <c r="I4187" t="s">
        <v>988</v>
      </c>
      <c r="J4187" t="s">
        <v>278</v>
      </c>
    </row>
    <row r="4188" spans="1:10">
      <c r="A4188" t="s">
        <v>198</v>
      </c>
      <c r="B4188" t="s">
        <v>197</v>
      </c>
      <c r="C4188">
        <v>968</v>
      </c>
      <c r="D4188" t="s">
        <v>198</v>
      </c>
      <c r="E4188">
        <v>968</v>
      </c>
      <c r="F4188" s="1">
        <v>0.94089999999999996</v>
      </c>
      <c r="G4188" s="1">
        <v>2.76E-2</v>
      </c>
      <c r="H4188" s="1">
        <v>2.8199999999999999E-2</v>
      </c>
      <c r="I4188" s="1">
        <v>2.3999999999999998E-3</v>
      </c>
      <c r="J4188" s="1">
        <v>8.9999999999999998E-4</v>
      </c>
    </row>
    <row r="4189" spans="1:10">
      <c r="A4189" t="s">
        <v>235</v>
      </c>
      <c r="B4189" t="s">
        <v>204</v>
      </c>
      <c r="C4189">
        <v>63</v>
      </c>
      <c r="D4189" t="s">
        <v>208</v>
      </c>
      <c r="E4189">
        <v>968</v>
      </c>
      <c r="F4189" s="1">
        <v>0.96830000000000005</v>
      </c>
      <c r="G4189" s="1">
        <v>1.5900000000000001E-2</v>
      </c>
      <c r="J4189" s="1">
        <v>1.5900000000000001E-2</v>
      </c>
    </row>
    <row r="4190" spans="1:10">
      <c r="A4190" t="s">
        <v>236</v>
      </c>
      <c r="B4190" t="s">
        <v>204</v>
      </c>
      <c r="C4190">
        <v>32</v>
      </c>
      <c r="D4190" t="s">
        <v>205</v>
      </c>
      <c r="E4190">
        <v>968</v>
      </c>
      <c r="F4190" s="1">
        <v>0.77110000000000001</v>
      </c>
      <c r="G4190" s="1">
        <v>1.37E-2</v>
      </c>
      <c r="H4190" s="1">
        <v>0.21529999999999999</v>
      </c>
    </row>
    <row r="4191" spans="1:10">
      <c r="A4191" t="s">
        <v>235</v>
      </c>
      <c r="B4191" t="s">
        <v>204</v>
      </c>
      <c r="C4191">
        <v>58</v>
      </c>
      <c r="D4191" t="s">
        <v>205</v>
      </c>
      <c r="E4191">
        <v>968</v>
      </c>
      <c r="F4191" s="1">
        <v>0.96989999999999998</v>
      </c>
      <c r="G4191" s="1">
        <v>1.8499999999999999E-2</v>
      </c>
      <c r="H4191" s="1">
        <v>1.1599999999999999E-2</v>
      </c>
    </row>
    <row r="4192" spans="1:10" s="26" customFormat="1">
      <c r="A4192" s="26" t="s">
        <v>236</v>
      </c>
      <c r="B4192" s="26" t="s">
        <v>204</v>
      </c>
      <c r="C4192" s="26">
        <v>21</v>
      </c>
      <c r="D4192" s="26" t="s">
        <v>206</v>
      </c>
      <c r="E4192" s="26">
        <v>968</v>
      </c>
      <c r="F4192" s="27">
        <v>0.50439999999999996</v>
      </c>
      <c r="G4192" s="27">
        <v>0.222</v>
      </c>
      <c r="H4192" s="27">
        <v>0.27360000000000001</v>
      </c>
    </row>
    <row r="4193" spans="1:9">
      <c r="A4193" t="s">
        <v>235</v>
      </c>
      <c r="B4193" t="s">
        <v>204</v>
      </c>
      <c r="C4193">
        <v>47</v>
      </c>
      <c r="D4193" t="s">
        <v>206</v>
      </c>
      <c r="E4193">
        <v>968</v>
      </c>
      <c r="F4193" s="1">
        <v>0.95189999999999997</v>
      </c>
      <c r="G4193" s="1">
        <v>2.4E-2</v>
      </c>
      <c r="H4193" s="1">
        <v>2.4E-2</v>
      </c>
    </row>
    <row r="4194" spans="1:9">
      <c r="A4194" t="s">
        <v>236</v>
      </c>
      <c r="B4194" t="s">
        <v>204</v>
      </c>
      <c r="C4194">
        <v>81</v>
      </c>
      <c r="D4194" t="s">
        <v>207</v>
      </c>
      <c r="E4194">
        <v>968</v>
      </c>
      <c r="F4194" s="1">
        <v>0.79400000000000004</v>
      </c>
      <c r="G4194" s="1">
        <v>0.16669999999999999</v>
      </c>
      <c r="H4194" s="1">
        <v>3.9399999999999998E-2</v>
      </c>
    </row>
    <row r="4195" spans="1:9">
      <c r="A4195" t="s">
        <v>235</v>
      </c>
      <c r="B4195" t="s">
        <v>204</v>
      </c>
      <c r="C4195">
        <v>45</v>
      </c>
      <c r="D4195" t="s">
        <v>207</v>
      </c>
      <c r="E4195">
        <v>968</v>
      </c>
      <c r="F4195" s="1">
        <v>1</v>
      </c>
    </row>
    <row r="4196" spans="1:9" s="26" customFormat="1">
      <c r="A4196" s="26" t="s">
        <v>236</v>
      </c>
      <c r="B4196" s="26" t="s">
        <v>204</v>
      </c>
      <c r="C4196" s="26">
        <v>11</v>
      </c>
      <c r="D4196" s="26" t="s">
        <v>208</v>
      </c>
      <c r="E4196" s="26">
        <v>968</v>
      </c>
      <c r="F4196" s="27">
        <v>0.63639999999999997</v>
      </c>
      <c r="G4196" s="27">
        <v>0.18179999999999999</v>
      </c>
      <c r="H4196" s="27">
        <v>0.18179999999999999</v>
      </c>
    </row>
    <row r="4197" spans="1:9">
      <c r="A4197" t="s">
        <v>235</v>
      </c>
      <c r="B4197" t="s">
        <v>199</v>
      </c>
      <c r="C4197">
        <v>44</v>
      </c>
      <c r="D4197" t="s">
        <v>203</v>
      </c>
      <c r="E4197">
        <v>968</v>
      </c>
      <c r="F4197" s="1">
        <v>0.97499999999999998</v>
      </c>
      <c r="G4197" s="1">
        <v>1.18E-2</v>
      </c>
      <c r="H4197" s="1">
        <v>1.3100000000000001E-2</v>
      </c>
    </row>
    <row r="4198" spans="1:9">
      <c r="A4198" t="s">
        <v>236</v>
      </c>
      <c r="B4198" t="s">
        <v>199</v>
      </c>
      <c r="C4198">
        <v>32</v>
      </c>
      <c r="D4198" t="s">
        <v>203</v>
      </c>
      <c r="E4198">
        <v>968</v>
      </c>
      <c r="F4198" s="1">
        <v>0.86250000000000004</v>
      </c>
      <c r="H4198" s="1">
        <v>0.11</v>
      </c>
      <c r="I4198" s="1">
        <v>2.75E-2</v>
      </c>
    </row>
    <row r="4199" spans="1:9">
      <c r="A4199" t="s">
        <v>235</v>
      </c>
      <c r="B4199" t="s">
        <v>199</v>
      </c>
      <c r="C4199">
        <v>60</v>
      </c>
      <c r="D4199" t="s">
        <v>202</v>
      </c>
      <c r="E4199">
        <v>968</v>
      </c>
      <c r="F4199" s="1">
        <v>1</v>
      </c>
    </row>
    <row r="4200" spans="1:9" s="26" customFormat="1">
      <c r="A4200" s="26" t="s">
        <v>236</v>
      </c>
      <c r="B4200" s="26" t="s">
        <v>199</v>
      </c>
      <c r="C4200" s="26">
        <v>24</v>
      </c>
      <c r="D4200" s="26" t="s">
        <v>200</v>
      </c>
      <c r="E4200" s="26">
        <v>968</v>
      </c>
      <c r="F4200" s="27">
        <v>0.6109</v>
      </c>
      <c r="G4200" s="27">
        <v>0.34639999999999999</v>
      </c>
      <c r="H4200" s="27">
        <v>4.2700000000000002E-2</v>
      </c>
    </row>
    <row r="4201" spans="1:9">
      <c r="A4201" t="s">
        <v>235</v>
      </c>
      <c r="B4201" t="s">
        <v>199</v>
      </c>
      <c r="C4201">
        <v>46</v>
      </c>
      <c r="D4201" t="s">
        <v>200</v>
      </c>
      <c r="E4201">
        <v>968</v>
      </c>
      <c r="F4201" s="1">
        <v>0.76670000000000005</v>
      </c>
      <c r="H4201" s="1">
        <v>0.2273</v>
      </c>
      <c r="I4201" s="1">
        <v>6.0000000000000001E-3</v>
      </c>
    </row>
    <row r="4202" spans="1:9">
      <c r="A4202" t="s">
        <v>236</v>
      </c>
      <c r="B4202" t="s">
        <v>199</v>
      </c>
      <c r="C4202">
        <v>37</v>
      </c>
      <c r="D4202" t="s">
        <v>202</v>
      </c>
      <c r="E4202">
        <v>968</v>
      </c>
      <c r="F4202" s="1">
        <v>0.95699999999999996</v>
      </c>
      <c r="G4202" s="1">
        <v>3.2800000000000003E-2</v>
      </c>
      <c r="H4202" s="1">
        <v>1.0200000000000001E-2</v>
      </c>
    </row>
    <row r="4203" spans="1:9">
      <c r="A4203" t="s">
        <v>235</v>
      </c>
      <c r="B4203" t="s">
        <v>199</v>
      </c>
      <c r="C4203">
        <v>96</v>
      </c>
      <c r="D4203" t="s">
        <v>201</v>
      </c>
      <c r="E4203">
        <v>968</v>
      </c>
      <c r="F4203" s="1">
        <v>1</v>
      </c>
    </row>
    <row r="4204" spans="1:9">
      <c r="A4204" t="s">
        <v>236</v>
      </c>
      <c r="B4204" t="s">
        <v>209</v>
      </c>
      <c r="C4204">
        <v>39</v>
      </c>
      <c r="D4204" t="s">
        <v>211</v>
      </c>
      <c r="E4204">
        <v>968</v>
      </c>
      <c r="F4204" s="1">
        <v>0.72160000000000002</v>
      </c>
      <c r="G4204" s="1">
        <v>6.9099999999999995E-2</v>
      </c>
      <c r="H4204" s="1">
        <v>0.1817</v>
      </c>
      <c r="I4204" s="1">
        <v>2.76E-2</v>
      </c>
    </row>
    <row r="4205" spans="1:9">
      <c r="A4205" t="s">
        <v>235</v>
      </c>
      <c r="B4205" t="s">
        <v>209</v>
      </c>
      <c r="C4205">
        <v>56</v>
      </c>
      <c r="D4205" t="s">
        <v>211</v>
      </c>
      <c r="E4205">
        <v>968</v>
      </c>
      <c r="F4205" s="1">
        <v>0.92200000000000004</v>
      </c>
      <c r="G4205" s="1">
        <v>3.1800000000000002E-2</v>
      </c>
      <c r="H4205" s="1">
        <v>4.6199999999999998E-2</v>
      </c>
    </row>
    <row r="4206" spans="1:9">
      <c r="A4206" t="s">
        <v>235</v>
      </c>
      <c r="B4206" t="s">
        <v>209</v>
      </c>
      <c r="C4206">
        <v>67</v>
      </c>
      <c r="D4206" t="s">
        <v>212</v>
      </c>
      <c r="E4206">
        <v>968</v>
      </c>
      <c r="F4206" s="1">
        <v>0.98880000000000001</v>
      </c>
      <c r="G4206" s="1">
        <v>2.8E-3</v>
      </c>
      <c r="H4206" s="1">
        <v>8.3999999999999995E-3</v>
      </c>
    </row>
    <row r="4207" spans="1:9" s="26" customFormat="1">
      <c r="A4207" s="26" t="s">
        <v>236</v>
      </c>
      <c r="B4207" s="26" t="s">
        <v>209</v>
      </c>
      <c r="C4207" s="26">
        <v>18</v>
      </c>
      <c r="D4207" s="26" t="s">
        <v>212</v>
      </c>
      <c r="E4207" s="26">
        <v>968</v>
      </c>
      <c r="F4207" s="27">
        <v>0.78739999999999999</v>
      </c>
      <c r="G4207" s="27">
        <v>5.2499999999999998E-2</v>
      </c>
      <c r="H4207" s="27">
        <v>5.8799999999999998E-2</v>
      </c>
      <c r="I4207" s="27">
        <v>0.1013</v>
      </c>
    </row>
    <row r="4208" spans="1:9">
      <c r="A4208" t="s">
        <v>236</v>
      </c>
      <c r="B4208" t="s">
        <v>209</v>
      </c>
      <c r="C4208">
        <v>38</v>
      </c>
      <c r="D4208" t="s">
        <v>210</v>
      </c>
      <c r="E4208">
        <v>968</v>
      </c>
      <c r="F4208" s="1">
        <v>0.83489999999999998</v>
      </c>
      <c r="G4208" s="1">
        <v>0.1041</v>
      </c>
      <c r="H4208" s="1">
        <v>6.0999999999999999E-2</v>
      </c>
    </row>
    <row r="4209" spans="1:8">
      <c r="A4209" t="s">
        <v>235</v>
      </c>
      <c r="B4209" t="s">
        <v>209</v>
      </c>
      <c r="C4209">
        <v>32</v>
      </c>
      <c r="D4209" t="s">
        <v>210</v>
      </c>
      <c r="E4209">
        <v>968</v>
      </c>
      <c r="F4209" s="1">
        <v>0.9677</v>
      </c>
      <c r="H4209" s="1">
        <v>3.2300000000000002E-2</v>
      </c>
    </row>
    <row r="4211" spans="1:8">
      <c r="A4211" t="s">
        <v>990</v>
      </c>
    </row>
    <row r="4212" spans="1:8">
      <c r="A4212" t="s">
        <v>189</v>
      </c>
      <c r="B4212" t="s">
        <v>195</v>
      </c>
      <c r="C4212" t="s">
        <v>190</v>
      </c>
      <c r="D4212" t="s">
        <v>196</v>
      </c>
      <c r="E4212" t="s">
        <v>228</v>
      </c>
      <c r="F4212" t="s">
        <v>215</v>
      </c>
      <c r="G4212" t="s">
        <v>216</v>
      </c>
    </row>
    <row r="4213" spans="1:8">
      <c r="A4213" t="s">
        <v>197</v>
      </c>
      <c r="B4213">
        <v>968</v>
      </c>
      <c r="C4213" t="s">
        <v>198</v>
      </c>
      <c r="D4213">
        <v>968</v>
      </c>
      <c r="E4213" s="1">
        <v>1E-4</v>
      </c>
      <c r="F4213" s="1">
        <v>3.8E-3</v>
      </c>
      <c r="G4213" s="1">
        <v>0.99609999999999999</v>
      </c>
    </row>
    <row r="4214" spans="1:8">
      <c r="A4214" t="s">
        <v>204</v>
      </c>
      <c r="B4214">
        <v>91</v>
      </c>
      <c r="C4214" t="s">
        <v>205</v>
      </c>
      <c r="D4214">
        <v>968</v>
      </c>
      <c r="G4214" s="1">
        <v>1</v>
      </c>
    </row>
    <row r="4215" spans="1:8">
      <c r="A4215" t="s">
        <v>204</v>
      </c>
      <c r="B4215">
        <v>72</v>
      </c>
      <c r="C4215" t="s">
        <v>206</v>
      </c>
      <c r="D4215">
        <v>968</v>
      </c>
      <c r="F4215" s="1">
        <v>1.6299999999999999E-2</v>
      </c>
      <c r="G4215" s="1">
        <v>0.98370000000000002</v>
      </c>
    </row>
    <row r="4216" spans="1:8">
      <c r="A4216" t="s">
        <v>204</v>
      </c>
      <c r="B4216">
        <v>131</v>
      </c>
      <c r="C4216" t="s">
        <v>207</v>
      </c>
      <c r="D4216">
        <v>968</v>
      </c>
      <c r="F4216" s="1">
        <v>3.5999999999999999E-3</v>
      </c>
      <c r="G4216" s="1">
        <v>0.99639999999999995</v>
      </c>
    </row>
    <row r="4217" spans="1:8">
      <c r="A4217" t="s">
        <v>204</v>
      </c>
      <c r="B4217">
        <v>74</v>
      </c>
      <c r="C4217" t="s">
        <v>208</v>
      </c>
      <c r="D4217">
        <v>968</v>
      </c>
      <c r="F4217" s="1">
        <v>1.35E-2</v>
      </c>
      <c r="G4217" s="1">
        <v>0.98650000000000004</v>
      </c>
    </row>
    <row r="4218" spans="1:8">
      <c r="A4218" t="s">
        <v>199</v>
      </c>
      <c r="B4218">
        <v>73</v>
      </c>
      <c r="C4218" t="s">
        <v>200</v>
      </c>
      <c r="D4218">
        <v>968</v>
      </c>
      <c r="G4218" s="1">
        <v>1</v>
      </c>
    </row>
    <row r="4219" spans="1:8">
      <c r="A4219" t="s">
        <v>199</v>
      </c>
      <c r="B4219">
        <v>96</v>
      </c>
      <c r="C4219" t="s">
        <v>201</v>
      </c>
      <c r="D4219">
        <v>968</v>
      </c>
      <c r="G4219" s="1">
        <v>1</v>
      </c>
    </row>
    <row r="4220" spans="1:8">
      <c r="A4220" t="s">
        <v>199</v>
      </c>
      <c r="B4220">
        <v>98</v>
      </c>
      <c r="C4220" t="s">
        <v>202</v>
      </c>
      <c r="D4220">
        <v>968</v>
      </c>
      <c r="F4220" s="1">
        <v>1.35E-2</v>
      </c>
      <c r="G4220" s="1">
        <v>0.98650000000000004</v>
      </c>
    </row>
    <row r="4221" spans="1:8">
      <c r="A4221" t="s">
        <v>199</v>
      </c>
      <c r="B4221">
        <v>77</v>
      </c>
      <c r="C4221" t="s">
        <v>203</v>
      </c>
      <c r="D4221">
        <v>968</v>
      </c>
      <c r="G4221" s="1">
        <v>1</v>
      </c>
    </row>
    <row r="4222" spans="1:8">
      <c r="A4222" t="s">
        <v>209</v>
      </c>
      <c r="B4222">
        <v>74</v>
      </c>
      <c r="C4222" t="s">
        <v>210</v>
      </c>
      <c r="D4222">
        <v>968</v>
      </c>
      <c r="E4222" s="1">
        <v>8.3000000000000001E-3</v>
      </c>
      <c r="G4222" s="1">
        <v>0.99170000000000003</v>
      </c>
    </row>
    <row r="4223" spans="1:8">
      <c r="A4223" t="s">
        <v>209</v>
      </c>
      <c r="B4223">
        <v>97</v>
      </c>
      <c r="C4223" t="s">
        <v>211</v>
      </c>
      <c r="D4223">
        <v>968</v>
      </c>
      <c r="F4223" s="1">
        <v>4.1999999999999997E-3</v>
      </c>
      <c r="G4223" s="1">
        <v>0.99580000000000002</v>
      </c>
    </row>
    <row r="4224" spans="1:8">
      <c r="A4224" t="s">
        <v>209</v>
      </c>
      <c r="B4224">
        <v>85</v>
      </c>
      <c r="C4224" t="s">
        <v>212</v>
      </c>
      <c r="D4224">
        <v>968</v>
      </c>
      <c r="G4224" s="1">
        <v>1</v>
      </c>
    </row>
    <row r="4226" spans="1:8">
      <c r="A4226" t="s">
        <v>991</v>
      </c>
    </row>
    <row r="4227" spans="1:8">
      <c r="A4227" t="s">
        <v>214</v>
      </c>
      <c r="B4227" t="s">
        <v>189</v>
      </c>
      <c r="C4227" t="s">
        <v>195</v>
      </c>
      <c r="D4227" t="s">
        <v>190</v>
      </c>
      <c r="E4227" t="s">
        <v>196</v>
      </c>
      <c r="F4227" t="s">
        <v>228</v>
      </c>
      <c r="G4227" t="s">
        <v>215</v>
      </c>
      <c r="H4227" t="s">
        <v>216</v>
      </c>
    </row>
    <row r="4228" spans="1:8">
      <c r="A4228" t="s">
        <v>198</v>
      </c>
      <c r="B4228" t="s">
        <v>197</v>
      </c>
      <c r="C4228">
        <v>968</v>
      </c>
      <c r="D4228" t="s">
        <v>198</v>
      </c>
      <c r="E4228">
        <v>968</v>
      </c>
      <c r="F4228" s="1">
        <v>1E-4</v>
      </c>
      <c r="G4228" s="1">
        <v>3.8E-3</v>
      </c>
      <c r="H4228" s="1">
        <v>0.99609999999999999</v>
      </c>
    </row>
    <row r="4229" spans="1:8">
      <c r="A4229" t="s">
        <v>235</v>
      </c>
      <c r="B4229" t="s">
        <v>204</v>
      </c>
      <c r="C4229">
        <v>63</v>
      </c>
      <c r="D4229" t="s">
        <v>208</v>
      </c>
      <c r="E4229">
        <v>968</v>
      </c>
      <c r="G4229" s="1">
        <v>1.5900000000000001E-2</v>
      </c>
      <c r="H4229" s="1">
        <v>0.98409999999999997</v>
      </c>
    </row>
    <row r="4230" spans="1:8">
      <c r="A4230" t="s">
        <v>236</v>
      </c>
      <c r="B4230" t="s">
        <v>204</v>
      </c>
      <c r="C4230">
        <v>32</v>
      </c>
      <c r="D4230" t="s">
        <v>205</v>
      </c>
      <c r="E4230">
        <v>968</v>
      </c>
      <c r="H4230" s="1">
        <v>1</v>
      </c>
    </row>
    <row r="4231" spans="1:8">
      <c r="A4231" t="s">
        <v>235</v>
      </c>
      <c r="B4231" t="s">
        <v>204</v>
      </c>
      <c r="C4231">
        <v>58</v>
      </c>
      <c r="D4231" t="s">
        <v>205</v>
      </c>
      <c r="E4231">
        <v>968</v>
      </c>
      <c r="H4231" s="1">
        <v>1</v>
      </c>
    </row>
    <row r="4232" spans="1:8" s="26" customFormat="1">
      <c r="A4232" s="26" t="s">
        <v>236</v>
      </c>
      <c r="B4232" s="26" t="s">
        <v>204</v>
      </c>
      <c r="C4232" s="26">
        <v>21</v>
      </c>
      <c r="D4232" s="26" t="s">
        <v>206</v>
      </c>
      <c r="E4232" s="26">
        <v>968</v>
      </c>
      <c r="H4232" s="27">
        <v>1</v>
      </c>
    </row>
    <row r="4233" spans="1:8">
      <c r="A4233" t="s">
        <v>235</v>
      </c>
      <c r="B4233" t="s">
        <v>204</v>
      </c>
      <c r="C4233">
        <v>47</v>
      </c>
      <c r="D4233" t="s">
        <v>206</v>
      </c>
      <c r="E4233">
        <v>968</v>
      </c>
      <c r="G4233" s="1">
        <v>2.4E-2</v>
      </c>
      <c r="H4233" s="1">
        <v>0.97599999999999998</v>
      </c>
    </row>
    <row r="4234" spans="1:8">
      <c r="A4234" t="s">
        <v>236</v>
      </c>
      <c r="B4234" t="s">
        <v>204</v>
      </c>
      <c r="C4234">
        <v>81</v>
      </c>
      <c r="D4234" t="s">
        <v>207</v>
      </c>
      <c r="E4234">
        <v>968</v>
      </c>
      <c r="G4234" s="1">
        <v>8.8000000000000005E-3</v>
      </c>
      <c r="H4234" s="1">
        <v>0.99119999999999997</v>
      </c>
    </row>
    <row r="4235" spans="1:8">
      <c r="A4235" t="s">
        <v>235</v>
      </c>
      <c r="B4235" t="s">
        <v>204</v>
      </c>
      <c r="C4235">
        <v>45</v>
      </c>
      <c r="D4235" t="s">
        <v>207</v>
      </c>
      <c r="E4235">
        <v>968</v>
      </c>
      <c r="H4235" s="1">
        <v>1</v>
      </c>
    </row>
    <row r="4236" spans="1:8" s="26" customFormat="1">
      <c r="A4236" s="26" t="s">
        <v>236</v>
      </c>
      <c r="B4236" s="26" t="s">
        <v>204</v>
      </c>
      <c r="C4236" s="26">
        <v>11</v>
      </c>
      <c r="D4236" s="26" t="s">
        <v>208</v>
      </c>
      <c r="E4236" s="26">
        <v>968</v>
      </c>
      <c r="H4236" s="27">
        <v>1</v>
      </c>
    </row>
    <row r="4237" spans="1:8">
      <c r="A4237" t="s">
        <v>235</v>
      </c>
      <c r="B4237" t="s">
        <v>199</v>
      </c>
      <c r="C4237">
        <v>44</v>
      </c>
      <c r="D4237" t="s">
        <v>203</v>
      </c>
      <c r="E4237">
        <v>968</v>
      </c>
      <c r="H4237" s="1">
        <v>1</v>
      </c>
    </row>
    <row r="4238" spans="1:8">
      <c r="A4238" t="s">
        <v>236</v>
      </c>
      <c r="B4238" t="s">
        <v>199</v>
      </c>
      <c r="C4238">
        <v>32</v>
      </c>
      <c r="D4238" t="s">
        <v>203</v>
      </c>
      <c r="E4238">
        <v>968</v>
      </c>
      <c r="H4238" s="1">
        <v>1</v>
      </c>
    </row>
    <row r="4239" spans="1:8">
      <c r="A4239" t="s">
        <v>235</v>
      </c>
      <c r="B4239" t="s">
        <v>199</v>
      </c>
      <c r="C4239">
        <v>60</v>
      </c>
      <c r="D4239" t="s">
        <v>202</v>
      </c>
      <c r="E4239">
        <v>968</v>
      </c>
      <c r="G4239" s="1">
        <v>2.3599999999999999E-2</v>
      </c>
      <c r="H4239" s="1">
        <v>0.97640000000000005</v>
      </c>
    </row>
    <row r="4240" spans="1:8" s="26" customFormat="1">
      <c r="A4240" s="26" t="s">
        <v>236</v>
      </c>
      <c r="B4240" s="26" t="s">
        <v>199</v>
      </c>
      <c r="C4240" s="26">
        <v>24</v>
      </c>
      <c r="D4240" s="26" t="s">
        <v>200</v>
      </c>
      <c r="E4240" s="26">
        <v>968</v>
      </c>
      <c r="H4240" s="27">
        <v>1</v>
      </c>
    </row>
    <row r="4241" spans="1:13">
      <c r="A4241" t="s">
        <v>235</v>
      </c>
      <c r="B4241" t="s">
        <v>199</v>
      </c>
      <c r="C4241">
        <v>46</v>
      </c>
      <c r="D4241" t="s">
        <v>200</v>
      </c>
      <c r="E4241">
        <v>968</v>
      </c>
      <c r="H4241" s="1">
        <v>1</v>
      </c>
    </row>
    <row r="4242" spans="1:13">
      <c r="A4242" t="s">
        <v>236</v>
      </c>
      <c r="B4242" t="s">
        <v>199</v>
      </c>
      <c r="C4242">
        <v>37</v>
      </c>
      <c r="D4242" t="s">
        <v>202</v>
      </c>
      <c r="E4242">
        <v>968</v>
      </c>
      <c r="H4242" s="1">
        <v>1</v>
      </c>
    </row>
    <row r="4243" spans="1:13">
      <c r="A4243" t="s">
        <v>235</v>
      </c>
      <c r="B4243" t="s">
        <v>199</v>
      </c>
      <c r="C4243">
        <v>96</v>
      </c>
      <c r="D4243" t="s">
        <v>201</v>
      </c>
      <c r="E4243">
        <v>968</v>
      </c>
      <c r="H4243" s="1">
        <v>1</v>
      </c>
    </row>
    <row r="4244" spans="1:13">
      <c r="A4244" t="s">
        <v>236</v>
      </c>
      <c r="B4244" t="s">
        <v>209</v>
      </c>
      <c r="C4244">
        <v>39</v>
      </c>
      <c r="D4244" t="s">
        <v>211</v>
      </c>
      <c r="E4244">
        <v>968</v>
      </c>
      <c r="G4244" s="1">
        <v>1.18E-2</v>
      </c>
      <c r="H4244" s="1">
        <v>0.98819999999999997</v>
      </c>
    </row>
    <row r="4245" spans="1:13">
      <c r="A4245" t="s">
        <v>235</v>
      </c>
      <c r="B4245" t="s">
        <v>209</v>
      </c>
      <c r="C4245">
        <v>56</v>
      </c>
      <c r="D4245" t="s">
        <v>211</v>
      </c>
      <c r="E4245">
        <v>968</v>
      </c>
      <c r="H4245" s="1">
        <v>1</v>
      </c>
    </row>
    <row r="4246" spans="1:13">
      <c r="A4246" t="s">
        <v>235</v>
      </c>
      <c r="B4246" t="s">
        <v>209</v>
      </c>
      <c r="C4246">
        <v>67</v>
      </c>
      <c r="D4246" t="s">
        <v>212</v>
      </c>
      <c r="E4246">
        <v>968</v>
      </c>
      <c r="H4246" s="1">
        <v>1</v>
      </c>
    </row>
    <row r="4247" spans="1:13" s="26" customFormat="1">
      <c r="A4247" s="26" t="s">
        <v>236</v>
      </c>
      <c r="B4247" s="26" t="s">
        <v>209</v>
      </c>
      <c r="C4247" s="26">
        <v>18</v>
      </c>
      <c r="D4247" s="26" t="s">
        <v>212</v>
      </c>
      <c r="E4247" s="26">
        <v>968</v>
      </c>
      <c r="H4247" s="27">
        <v>1</v>
      </c>
    </row>
    <row r="4248" spans="1:13">
      <c r="A4248" t="s">
        <v>236</v>
      </c>
      <c r="B4248" t="s">
        <v>209</v>
      </c>
      <c r="C4248">
        <v>38</v>
      </c>
      <c r="D4248" t="s">
        <v>210</v>
      </c>
      <c r="E4248">
        <v>968</v>
      </c>
      <c r="F4248" s="1">
        <v>2.0299999999999999E-2</v>
      </c>
      <c r="H4248" s="1">
        <v>0.97970000000000002</v>
      </c>
    </row>
    <row r="4249" spans="1:13">
      <c r="A4249" t="s">
        <v>235</v>
      </c>
      <c r="B4249" t="s">
        <v>209</v>
      </c>
      <c r="C4249">
        <v>32</v>
      </c>
      <c r="D4249" t="s">
        <v>210</v>
      </c>
      <c r="E4249">
        <v>968</v>
      </c>
      <c r="H4249" s="1">
        <v>1</v>
      </c>
    </row>
    <row r="4251" spans="1:13">
      <c r="A4251" t="s">
        <v>992</v>
      </c>
    </row>
    <row r="4252" spans="1:13">
      <c r="A4252" t="s">
        <v>189</v>
      </c>
      <c r="B4252" t="s">
        <v>195</v>
      </c>
      <c r="C4252" t="s">
        <v>190</v>
      </c>
      <c r="D4252" t="s">
        <v>196</v>
      </c>
      <c r="E4252" t="s">
        <v>993</v>
      </c>
      <c r="F4252" t="s">
        <v>994</v>
      </c>
      <c r="G4252" t="s">
        <v>228</v>
      </c>
      <c r="H4252" t="s">
        <v>995</v>
      </c>
      <c r="I4252" t="s">
        <v>996</v>
      </c>
      <c r="J4252" t="s">
        <v>997</v>
      </c>
      <c r="K4252" t="s">
        <v>998</v>
      </c>
      <c r="L4252" t="s">
        <v>999</v>
      </c>
      <c r="M4252" t="s">
        <v>1000</v>
      </c>
    </row>
    <row r="4253" spans="1:13">
      <c r="A4253" t="s">
        <v>197</v>
      </c>
      <c r="B4253">
        <v>968</v>
      </c>
      <c r="C4253" t="s">
        <v>198</v>
      </c>
      <c r="D4253">
        <v>968</v>
      </c>
      <c r="E4253" s="1">
        <v>2E-3</v>
      </c>
      <c r="F4253" s="1">
        <v>8.9999999999999998E-4</v>
      </c>
      <c r="G4253" s="1">
        <v>1.4E-3</v>
      </c>
      <c r="H4253" s="1">
        <v>0.75319999999999998</v>
      </c>
      <c r="I4253" s="1">
        <v>0.10100000000000001</v>
      </c>
      <c r="J4253" s="1">
        <v>2.0799999999999999E-2</v>
      </c>
      <c r="K4253" s="1">
        <v>1.1000000000000001E-3</v>
      </c>
      <c r="L4253" s="1">
        <v>0.1125</v>
      </c>
      <c r="M4253" s="1">
        <v>7.1000000000000004E-3</v>
      </c>
    </row>
    <row r="4254" spans="1:13">
      <c r="A4254" t="s">
        <v>204</v>
      </c>
      <c r="B4254">
        <v>91</v>
      </c>
      <c r="C4254" t="s">
        <v>205</v>
      </c>
      <c r="D4254">
        <v>968</v>
      </c>
      <c r="H4254" s="1">
        <v>0.73280000000000001</v>
      </c>
      <c r="I4254" s="1">
        <v>0.13120000000000001</v>
      </c>
      <c r="J4254" s="1">
        <v>1.34E-2</v>
      </c>
      <c r="L4254" s="1">
        <v>0.1202</v>
      </c>
      <c r="M4254" s="1">
        <v>2.3999999999999998E-3</v>
      </c>
    </row>
    <row r="4255" spans="1:13">
      <c r="A4255" t="s">
        <v>204</v>
      </c>
      <c r="B4255">
        <v>72</v>
      </c>
      <c r="C4255" t="s">
        <v>206</v>
      </c>
      <c r="D4255">
        <v>968</v>
      </c>
      <c r="G4255" s="1">
        <v>1.6299999999999999E-2</v>
      </c>
      <c r="H4255" s="1">
        <v>0.58360000000000001</v>
      </c>
      <c r="I4255" s="1">
        <v>0.1303</v>
      </c>
      <c r="J4255" s="1">
        <v>2.7900000000000001E-2</v>
      </c>
      <c r="K4255" s="1">
        <v>2.3300000000000001E-2</v>
      </c>
      <c r="L4255" s="1">
        <v>0.2024</v>
      </c>
      <c r="M4255" s="1">
        <v>1.6299999999999999E-2</v>
      </c>
    </row>
    <row r="4256" spans="1:13">
      <c r="A4256" t="s">
        <v>204</v>
      </c>
      <c r="B4256">
        <v>131</v>
      </c>
      <c r="C4256" t="s">
        <v>207</v>
      </c>
      <c r="D4256">
        <v>968</v>
      </c>
      <c r="G4256" s="1">
        <v>3.3999999999999998E-3</v>
      </c>
      <c r="H4256" s="1">
        <v>0.72040000000000004</v>
      </c>
      <c r="I4256" s="1">
        <v>0.10920000000000001</v>
      </c>
      <c r="L4256" s="1">
        <v>0.16109999999999999</v>
      </c>
      <c r="M4256" s="1">
        <v>5.8999999999999999E-3</v>
      </c>
    </row>
    <row r="4257" spans="1:14">
      <c r="A4257" t="s">
        <v>204</v>
      </c>
      <c r="B4257">
        <v>74</v>
      </c>
      <c r="C4257" t="s">
        <v>208</v>
      </c>
      <c r="D4257">
        <v>968</v>
      </c>
      <c r="H4257" s="1">
        <v>0.68920000000000003</v>
      </c>
      <c r="I4257" s="1">
        <v>0.14860000000000001</v>
      </c>
      <c r="K4257" s="1">
        <v>1.35E-2</v>
      </c>
      <c r="L4257" s="1">
        <v>0.1216</v>
      </c>
      <c r="M4257" s="1">
        <v>2.7E-2</v>
      </c>
    </row>
    <row r="4258" spans="1:14">
      <c r="A4258" t="s">
        <v>199</v>
      </c>
      <c r="B4258">
        <v>73</v>
      </c>
      <c r="C4258" t="s">
        <v>200</v>
      </c>
      <c r="D4258">
        <v>968</v>
      </c>
      <c r="F4258" s="1">
        <v>1.6000000000000001E-3</v>
      </c>
      <c r="G4258" s="1">
        <v>1.6000000000000001E-3</v>
      </c>
      <c r="H4258" s="1">
        <v>0.28789999999999999</v>
      </c>
      <c r="I4258" s="1">
        <v>1.7299999999999999E-2</v>
      </c>
      <c r="J4258" s="1">
        <v>3.2000000000000002E-3</v>
      </c>
      <c r="L4258" s="1">
        <v>0.68220000000000003</v>
      </c>
      <c r="M4258" s="1">
        <v>6.3E-3</v>
      </c>
    </row>
    <row r="4259" spans="1:14">
      <c r="A4259" t="s">
        <v>199</v>
      </c>
      <c r="B4259">
        <v>96</v>
      </c>
      <c r="C4259" t="s">
        <v>201</v>
      </c>
      <c r="D4259">
        <v>968</v>
      </c>
      <c r="H4259" s="1">
        <v>0.98960000000000004</v>
      </c>
      <c r="I4259" s="1">
        <v>1.04E-2</v>
      </c>
    </row>
    <row r="4260" spans="1:14">
      <c r="A4260" t="s">
        <v>199</v>
      </c>
      <c r="B4260">
        <v>98</v>
      </c>
      <c r="C4260" t="s">
        <v>202</v>
      </c>
      <c r="D4260">
        <v>968</v>
      </c>
      <c r="E4260" s="1">
        <v>1.3299999999999999E-2</v>
      </c>
      <c r="H4260" s="1">
        <v>0.71440000000000003</v>
      </c>
      <c r="I4260" s="1">
        <v>0.1361</v>
      </c>
      <c r="J4260" s="1">
        <v>8.9200000000000002E-2</v>
      </c>
      <c r="L4260" s="1">
        <v>4.7E-2</v>
      </c>
    </row>
    <row r="4261" spans="1:14">
      <c r="A4261" t="s">
        <v>199</v>
      </c>
      <c r="B4261">
        <v>77</v>
      </c>
      <c r="C4261" t="s">
        <v>203</v>
      </c>
      <c r="D4261">
        <v>968</v>
      </c>
      <c r="F4261" s="1">
        <v>8.2000000000000007E-3</v>
      </c>
      <c r="H4261" s="1">
        <v>0.53129999999999999</v>
      </c>
      <c r="I4261" s="1">
        <v>0.15279999999999999</v>
      </c>
      <c r="J4261" s="1">
        <v>2.5999999999999999E-2</v>
      </c>
      <c r="L4261" s="1">
        <v>0.23580000000000001</v>
      </c>
      <c r="M4261" s="1">
        <v>4.5900000000000003E-2</v>
      </c>
    </row>
    <row r="4262" spans="1:14">
      <c r="A4262" t="s">
        <v>209</v>
      </c>
      <c r="B4262">
        <v>74</v>
      </c>
      <c r="C4262" t="s">
        <v>210</v>
      </c>
      <c r="D4262">
        <v>968</v>
      </c>
      <c r="H4262" s="1">
        <v>0.63029999999999997</v>
      </c>
      <c r="I4262" s="1">
        <v>0.18110000000000001</v>
      </c>
      <c r="J4262" s="1">
        <v>3.5299999999999998E-2</v>
      </c>
      <c r="L4262" s="1">
        <v>0.1095</v>
      </c>
      <c r="M4262" s="1">
        <v>4.3700000000000003E-2</v>
      </c>
    </row>
    <row r="4263" spans="1:14">
      <c r="A4263" t="s">
        <v>209</v>
      </c>
      <c r="B4263">
        <v>97</v>
      </c>
      <c r="C4263" t="s">
        <v>211</v>
      </c>
      <c r="D4263">
        <v>968</v>
      </c>
      <c r="F4263" s="1">
        <v>1.2E-2</v>
      </c>
      <c r="H4263" s="1">
        <v>0.48830000000000001</v>
      </c>
      <c r="I4263" s="1">
        <v>0.20610000000000001</v>
      </c>
      <c r="J4263" s="1">
        <v>2.6100000000000002E-2</v>
      </c>
      <c r="L4263" s="1">
        <v>0.23169999999999999</v>
      </c>
      <c r="M4263" s="1">
        <v>3.5700000000000003E-2</v>
      </c>
    </row>
    <row r="4264" spans="1:14">
      <c r="A4264" t="s">
        <v>209</v>
      </c>
      <c r="B4264">
        <v>85</v>
      </c>
      <c r="C4264" t="s">
        <v>212</v>
      </c>
      <c r="D4264">
        <v>968</v>
      </c>
      <c r="G4264" s="1">
        <v>5.7000000000000002E-3</v>
      </c>
      <c r="H4264" s="1">
        <v>0.84499999999999997</v>
      </c>
      <c r="I4264" s="1">
        <v>6.54E-2</v>
      </c>
      <c r="J4264" s="1">
        <v>1.89E-2</v>
      </c>
      <c r="L4264" s="1">
        <v>6.5100000000000005E-2</v>
      </c>
    </row>
    <row r="4266" spans="1:14">
      <c r="A4266" t="s">
        <v>1001</v>
      </c>
    </row>
    <row r="4267" spans="1:14">
      <c r="A4267" t="s">
        <v>214</v>
      </c>
      <c r="B4267" t="s">
        <v>189</v>
      </c>
      <c r="C4267" t="s">
        <v>195</v>
      </c>
      <c r="D4267" t="s">
        <v>190</v>
      </c>
      <c r="E4267" t="s">
        <v>196</v>
      </c>
      <c r="F4267" t="s">
        <v>993</v>
      </c>
      <c r="G4267" t="s">
        <v>994</v>
      </c>
      <c r="H4267" t="s">
        <v>228</v>
      </c>
      <c r="I4267" t="s">
        <v>995</v>
      </c>
      <c r="J4267" t="s">
        <v>996</v>
      </c>
      <c r="K4267" t="s">
        <v>997</v>
      </c>
      <c r="L4267" t="s">
        <v>998</v>
      </c>
      <c r="M4267" t="s">
        <v>999</v>
      </c>
      <c r="N4267" t="s">
        <v>1000</v>
      </c>
    </row>
    <row r="4268" spans="1:14">
      <c r="A4268" t="s">
        <v>198</v>
      </c>
      <c r="B4268" t="s">
        <v>197</v>
      </c>
      <c r="C4268">
        <v>968</v>
      </c>
      <c r="D4268" t="s">
        <v>198</v>
      </c>
      <c r="E4268">
        <v>968</v>
      </c>
      <c r="F4268" s="1">
        <v>2E-3</v>
      </c>
      <c r="G4268" s="1">
        <v>8.9999999999999998E-4</v>
      </c>
      <c r="H4268" s="1">
        <v>1.4E-3</v>
      </c>
      <c r="I4268" s="1">
        <v>0.75319999999999998</v>
      </c>
      <c r="J4268" s="1">
        <v>0.10100000000000001</v>
      </c>
      <c r="K4268" s="1">
        <v>2.0799999999999999E-2</v>
      </c>
      <c r="L4268" s="1">
        <v>1.1000000000000001E-3</v>
      </c>
      <c r="M4268" s="1">
        <v>0.1125</v>
      </c>
      <c r="N4268" s="1">
        <v>7.1000000000000004E-3</v>
      </c>
    </row>
    <row r="4269" spans="1:14">
      <c r="A4269" t="s">
        <v>235</v>
      </c>
      <c r="B4269" t="s">
        <v>204</v>
      </c>
      <c r="C4269">
        <v>63</v>
      </c>
      <c r="D4269" t="s">
        <v>208</v>
      </c>
      <c r="E4269">
        <v>968</v>
      </c>
      <c r="I4269" s="1">
        <v>0.8095</v>
      </c>
      <c r="J4269" s="1">
        <v>0.1111</v>
      </c>
      <c r="M4269" s="1">
        <v>6.3500000000000001E-2</v>
      </c>
      <c r="N4269" s="1">
        <v>1.5900000000000001E-2</v>
      </c>
    </row>
    <row r="4270" spans="1:14">
      <c r="A4270" t="s">
        <v>236</v>
      </c>
      <c r="B4270" t="s">
        <v>204</v>
      </c>
      <c r="C4270">
        <v>32</v>
      </c>
      <c r="D4270" t="s">
        <v>205</v>
      </c>
      <c r="E4270">
        <v>968</v>
      </c>
      <c r="I4270" s="1">
        <v>0.30220000000000002</v>
      </c>
      <c r="J4270" s="1">
        <v>0.28270000000000001</v>
      </c>
      <c r="M4270" s="1">
        <v>0.40150000000000002</v>
      </c>
      <c r="N4270" s="1">
        <v>1.37E-2</v>
      </c>
    </row>
    <row r="4271" spans="1:14">
      <c r="A4271" t="s">
        <v>235</v>
      </c>
      <c r="B4271" t="s">
        <v>204</v>
      </c>
      <c r="C4271">
        <v>58</v>
      </c>
      <c r="D4271" t="s">
        <v>205</v>
      </c>
      <c r="E4271">
        <v>968</v>
      </c>
      <c r="I4271" s="1">
        <v>0.82840000000000003</v>
      </c>
      <c r="J4271" s="1">
        <v>9.5699999999999993E-2</v>
      </c>
      <c r="K4271" s="1">
        <v>1.6400000000000001E-2</v>
      </c>
      <c r="M4271" s="1">
        <v>5.9499999999999997E-2</v>
      </c>
    </row>
    <row r="4272" spans="1:14" s="26" customFormat="1">
      <c r="A4272" s="26" t="s">
        <v>236</v>
      </c>
      <c r="B4272" s="26" t="s">
        <v>204</v>
      </c>
      <c r="C4272" s="26">
        <v>21</v>
      </c>
      <c r="D4272" s="26" t="s">
        <v>206</v>
      </c>
      <c r="E4272" s="26">
        <v>968</v>
      </c>
      <c r="I4272" s="27">
        <v>0.33329999999999999</v>
      </c>
      <c r="J4272" s="27">
        <v>0.1283</v>
      </c>
      <c r="L4272" s="27">
        <v>4.2799999999999998E-2</v>
      </c>
      <c r="M4272" s="27">
        <v>0.49559999999999998</v>
      </c>
    </row>
    <row r="4273" spans="1:14">
      <c r="A4273" t="s">
        <v>235</v>
      </c>
      <c r="B4273" t="s">
        <v>204</v>
      </c>
      <c r="C4273">
        <v>47</v>
      </c>
      <c r="D4273" t="s">
        <v>206</v>
      </c>
      <c r="E4273">
        <v>968</v>
      </c>
      <c r="H4273" s="1">
        <v>2.4E-2</v>
      </c>
      <c r="I4273" s="1">
        <v>0.68720000000000003</v>
      </c>
      <c r="J4273" s="1">
        <v>0.1237</v>
      </c>
      <c r="K4273" s="1">
        <v>4.1200000000000001E-2</v>
      </c>
      <c r="L4273" s="1">
        <v>1.72E-2</v>
      </c>
      <c r="M4273" s="1">
        <v>8.2500000000000004E-2</v>
      </c>
      <c r="N4273" s="1">
        <v>2.4E-2</v>
      </c>
    </row>
    <row r="4274" spans="1:14">
      <c r="A4274" t="s">
        <v>236</v>
      </c>
      <c r="B4274" t="s">
        <v>204</v>
      </c>
      <c r="C4274">
        <v>81</v>
      </c>
      <c r="D4274" t="s">
        <v>207</v>
      </c>
      <c r="E4274">
        <v>968</v>
      </c>
      <c r="H4274" s="1">
        <v>2.3E-3</v>
      </c>
      <c r="I4274" s="1">
        <v>0.38290000000000002</v>
      </c>
      <c r="J4274" s="1">
        <v>0.22040000000000001</v>
      </c>
      <c r="M4274" s="1">
        <v>0.37990000000000002</v>
      </c>
      <c r="N4274" s="1">
        <v>1.4500000000000001E-2</v>
      </c>
    </row>
    <row r="4275" spans="1:14">
      <c r="A4275" t="s">
        <v>235</v>
      </c>
      <c r="B4275" t="s">
        <v>204</v>
      </c>
      <c r="C4275">
        <v>45</v>
      </c>
      <c r="D4275" t="s">
        <v>207</v>
      </c>
      <c r="E4275">
        <v>968</v>
      </c>
      <c r="H4275" s="1">
        <v>4.3E-3</v>
      </c>
      <c r="I4275" s="1">
        <v>0.96440000000000003</v>
      </c>
      <c r="J4275" s="1">
        <v>2.5499999999999998E-2</v>
      </c>
      <c r="M4275" s="1">
        <v>5.8999999999999999E-3</v>
      </c>
    </row>
    <row r="4276" spans="1:14" s="26" customFormat="1">
      <c r="A4276" s="26" t="s">
        <v>236</v>
      </c>
      <c r="B4276" s="26" t="s">
        <v>204</v>
      </c>
      <c r="C4276" s="26">
        <v>11</v>
      </c>
      <c r="D4276" s="26" t="s">
        <v>208</v>
      </c>
      <c r="E4276" s="26">
        <v>968</v>
      </c>
      <c r="J4276" s="27">
        <v>0.36359999999999998</v>
      </c>
      <c r="L4276" s="27">
        <v>9.0899999999999995E-2</v>
      </c>
      <c r="M4276" s="27">
        <v>0.45450000000000002</v>
      </c>
      <c r="N4276" s="27">
        <v>9.0899999999999995E-2</v>
      </c>
    </row>
    <row r="4277" spans="1:14">
      <c r="A4277" t="s">
        <v>235</v>
      </c>
      <c r="B4277" t="s">
        <v>199</v>
      </c>
      <c r="C4277">
        <v>44</v>
      </c>
      <c r="D4277" t="s">
        <v>203</v>
      </c>
      <c r="E4277">
        <v>968</v>
      </c>
      <c r="I4277" s="1">
        <v>0.66049999999999998</v>
      </c>
      <c r="J4277" s="1">
        <v>0.1928</v>
      </c>
      <c r="K4277" s="1">
        <v>1.3100000000000001E-2</v>
      </c>
      <c r="M4277" s="1">
        <v>0.1033</v>
      </c>
      <c r="N4277" s="1">
        <v>3.0300000000000001E-2</v>
      </c>
    </row>
    <row r="4278" spans="1:14">
      <c r="A4278" t="s">
        <v>236</v>
      </c>
      <c r="B4278" t="s">
        <v>199</v>
      </c>
      <c r="C4278">
        <v>32</v>
      </c>
      <c r="D4278" t="s">
        <v>203</v>
      </c>
      <c r="E4278">
        <v>968</v>
      </c>
      <c r="G4278" s="1">
        <v>2.3900000000000001E-2</v>
      </c>
      <c r="I4278" s="1">
        <v>0.26050000000000001</v>
      </c>
      <c r="J4278" s="1">
        <v>9.1899999999999996E-2</v>
      </c>
      <c r="K4278" s="1">
        <v>5.1299999999999998E-2</v>
      </c>
      <c r="M4278" s="1">
        <v>0.49469999999999997</v>
      </c>
      <c r="N4278" s="1">
        <v>7.7700000000000005E-2</v>
      </c>
    </row>
    <row r="4279" spans="1:14">
      <c r="A4279" t="s">
        <v>235</v>
      </c>
      <c r="B4279" t="s">
        <v>199</v>
      </c>
      <c r="C4279">
        <v>60</v>
      </c>
      <c r="D4279" t="s">
        <v>202</v>
      </c>
      <c r="E4279">
        <v>968</v>
      </c>
      <c r="I4279" s="1">
        <v>0.87770000000000004</v>
      </c>
      <c r="J4279" s="1">
        <v>0.1076</v>
      </c>
      <c r="K4279" s="1">
        <v>1.47E-2</v>
      </c>
    </row>
    <row r="4280" spans="1:14" s="26" customFormat="1">
      <c r="A4280" s="26" t="s">
        <v>236</v>
      </c>
      <c r="B4280" s="26" t="s">
        <v>199</v>
      </c>
      <c r="C4280" s="26">
        <v>24</v>
      </c>
      <c r="D4280" s="26" t="s">
        <v>200</v>
      </c>
      <c r="E4280" s="26">
        <v>968</v>
      </c>
      <c r="J4280" s="27">
        <v>1.01E-2</v>
      </c>
      <c r="M4280" s="27">
        <v>0.98660000000000003</v>
      </c>
      <c r="N4280" s="27">
        <v>3.3999999999999998E-3</v>
      </c>
    </row>
    <row r="4281" spans="1:14">
      <c r="A4281" t="s">
        <v>235</v>
      </c>
      <c r="B4281" t="s">
        <v>199</v>
      </c>
      <c r="C4281">
        <v>46</v>
      </c>
      <c r="D4281" t="s">
        <v>200</v>
      </c>
      <c r="E4281">
        <v>968</v>
      </c>
      <c r="G4281" s="1">
        <v>3.0000000000000001E-3</v>
      </c>
      <c r="H4281" s="1">
        <v>3.0000000000000001E-3</v>
      </c>
      <c r="I4281" s="1">
        <v>0.54449999999999998</v>
      </c>
      <c r="J4281" s="1">
        <v>2.1000000000000001E-2</v>
      </c>
      <c r="K4281" s="1">
        <v>6.0000000000000001E-3</v>
      </c>
      <c r="M4281" s="1">
        <v>0.41349999999999998</v>
      </c>
      <c r="N4281" s="1">
        <v>8.9999999999999993E-3</v>
      </c>
    </row>
    <row r="4282" spans="1:14">
      <c r="A4282" t="s">
        <v>236</v>
      </c>
      <c r="B4282" t="s">
        <v>199</v>
      </c>
      <c r="C4282">
        <v>37</v>
      </c>
      <c r="D4282" t="s">
        <v>202</v>
      </c>
      <c r="E4282">
        <v>968</v>
      </c>
      <c r="F4282" s="1">
        <v>3.2300000000000002E-2</v>
      </c>
      <c r="I4282" s="1">
        <v>0.47820000000000001</v>
      </c>
      <c r="J4282" s="1">
        <v>0.18010000000000001</v>
      </c>
      <c r="K4282" s="1">
        <v>0.1956</v>
      </c>
      <c r="M4282" s="1">
        <v>0.1138</v>
      </c>
    </row>
    <row r="4283" spans="1:14">
      <c r="A4283" t="s">
        <v>235</v>
      </c>
      <c r="B4283" t="s">
        <v>199</v>
      </c>
      <c r="C4283">
        <v>96</v>
      </c>
      <c r="D4283" t="s">
        <v>201</v>
      </c>
      <c r="E4283">
        <v>968</v>
      </c>
      <c r="I4283" s="1">
        <v>0.98960000000000004</v>
      </c>
      <c r="J4283" s="1">
        <v>1.04E-2</v>
      </c>
    </row>
    <row r="4284" spans="1:14">
      <c r="A4284" t="s">
        <v>236</v>
      </c>
      <c r="B4284" t="s">
        <v>209</v>
      </c>
      <c r="C4284">
        <v>39</v>
      </c>
      <c r="D4284" t="s">
        <v>211</v>
      </c>
      <c r="E4284">
        <v>968</v>
      </c>
      <c r="G4284" s="1">
        <v>3.3599999999999998E-2</v>
      </c>
      <c r="I4284" s="1">
        <v>0.13739999999999999</v>
      </c>
      <c r="J4284" s="1">
        <v>0.29959999999999998</v>
      </c>
      <c r="M4284" s="1">
        <v>0.42949999999999999</v>
      </c>
      <c r="N4284" s="1">
        <v>9.98E-2</v>
      </c>
    </row>
    <row r="4285" spans="1:14">
      <c r="A4285" t="s">
        <v>235</v>
      </c>
      <c r="B4285" t="s">
        <v>209</v>
      </c>
      <c r="C4285">
        <v>56</v>
      </c>
      <c r="D4285" t="s">
        <v>211</v>
      </c>
      <c r="E4285">
        <v>968</v>
      </c>
      <c r="I4285" s="1">
        <v>0.66790000000000005</v>
      </c>
      <c r="J4285" s="1">
        <v>0.1618</v>
      </c>
      <c r="K4285" s="1">
        <v>4.2700000000000002E-2</v>
      </c>
      <c r="M4285" s="1">
        <v>0.12759999999999999</v>
      </c>
    </row>
    <row r="4286" spans="1:14">
      <c r="A4286" t="s">
        <v>235</v>
      </c>
      <c r="B4286" t="s">
        <v>209</v>
      </c>
      <c r="C4286">
        <v>67</v>
      </c>
      <c r="D4286" t="s">
        <v>212</v>
      </c>
      <c r="E4286">
        <v>968</v>
      </c>
      <c r="I4286" s="1">
        <v>0.88680000000000003</v>
      </c>
      <c r="J4286" s="1">
        <v>5.4600000000000003E-2</v>
      </c>
      <c r="K4286" s="1">
        <v>1.6199999999999999E-2</v>
      </c>
      <c r="M4286" s="1">
        <v>4.24E-2</v>
      </c>
    </row>
    <row r="4287" spans="1:14" s="26" customFormat="1">
      <c r="A4287" s="26" t="s">
        <v>236</v>
      </c>
      <c r="B4287" s="26" t="s">
        <v>209</v>
      </c>
      <c r="C4287" s="26">
        <v>18</v>
      </c>
      <c r="D4287" s="26" t="s">
        <v>212</v>
      </c>
      <c r="E4287" s="26">
        <v>968</v>
      </c>
      <c r="H4287" s="27">
        <v>4.1099999999999998E-2</v>
      </c>
      <c r="I4287" s="27">
        <v>0.58389999999999997</v>
      </c>
      <c r="J4287" s="27">
        <v>0.13289999999999999</v>
      </c>
      <c r="K4287" s="27">
        <v>3.5499999999999997E-2</v>
      </c>
      <c r="M4287" s="27">
        <v>0.20669999999999999</v>
      </c>
    </row>
    <row r="4288" spans="1:14">
      <c r="A4288" t="s">
        <v>236</v>
      </c>
      <c r="B4288" t="s">
        <v>209</v>
      </c>
      <c r="C4288">
        <v>38</v>
      </c>
      <c r="D4288" t="s">
        <v>210</v>
      </c>
      <c r="E4288">
        <v>968</v>
      </c>
      <c r="I4288" s="1">
        <v>0.39829999999999999</v>
      </c>
      <c r="J4288" s="1">
        <v>0.29189999999999999</v>
      </c>
      <c r="K4288" s="1">
        <v>4.3099999999999999E-2</v>
      </c>
      <c r="M4288" s="1">
        <v>0.2034</v>
      </c>
      <c r="N4288" s="1">
        <v>6.3399999999999998E-2</v>
      </c>
    </row>
    <row r="4289" spans="1:14">
      <c r="A4289" t="s">
        <v>235</v>
      </c>
      <c r="B4289" t="s">
        <v>209</v>
      </c>
      <c r="C4289">
        <v>32</v>
      </c>
      <c r="D4289" t="s">
        <v>210</v>
      </c>
      <c r="E4289">
        <v>968</v>
      </c>
      <c r="I4289" s="1">
        <v>0.83840000000000003</v>
      </c>
      <c r="J4289" s="1">
        <v>9.69E-2</v>
      </c>
      <c r="K4289" s="1">
        <v>3.2300000000000002E-2</v>
      </c>
      <c r="N4289" s="1">
        <v>3.2300000000000002E-2</v>
      </c>
    </row>
    <row r="4291" spans="1:14">
      <c r="A4291" t="s">
        <v>1002</v>
      </c>
    </row>
    <row r="4292" spans="1:14">
      <c r="A4292" t="s">
        <v>189</v>
      </c>
      <c r="B4292" t="s">
        <v>195</v>
      </c>
      <c r="C4292" t="s">
        <v>190</v>
      </c>
      <c r="D4292" t="s">
        <v>196</v>
      </c>
      <c r="E4292" t="s">
        <v>215</v>
      </c>
      <c r="F4292" t="s">
        <v>216</v>
      </c>
    </row>
    <row r="4293" spans="1:14">
      <c r="A4293" t="s">
        <v>197</v>
      </c>
      <c r="B4293">
        <v>963</v>
      </c>
      <c r="C4293" t="s">
        <v>198</v>
      </c>
      <c r="D4293">
        <v>963</v>
      </c>
      <c r="E4293" s="1">
        <v>0.93940000000000001</v>
      </c>
      <c r="F4293" s="1">
        <v>6.0600000000000001E-2</v>
      </c>
    </row>
    <row r="4294" spans="1:14">
      <c r="A4294" t="s">
        <v>204</v>
      </c>
      <c r="B4294">
        <v>91</v>
      </c>
      <c r="C4294" t="s">
        <v>205</v>
      </c>
      <c r="D4294">
        <v>963</v>
      </c>
      <c r="E4294" s="1">
        <v>0.9647</v>
      </c>
      <c r="F4294" s="1">
        <v>3.5299999999999998E-2</v>
      </c>
    </row>
    <row r="4295" spans="1:14">
      <c r="A4295" t="s">
        <v>204</v>
      </c>
      <c r="B4295">
        <v>71</v>
      </c>
      <c r="C4295" t="s">
        <v>206</v>
      </c>
      <c r="D4295">
        <v>963</v>
      </c>
      <c r="E4295" s="1">
        <v>0.94799999999999995</v>
      </c>
      <c r="F4295" s="1">
        <v>5.1999999999999998E-2</v>
      </c>
    </row>
    <row r="4296" spans="1:14">
      <c r="A4296" t="s">
        <v>204</v>
      </c>
      <c r="B4296">
        <v>129</v>
      </c>
      <c r="C4296" t="s">
        <v>207</v>
      </c>
      <c r="D4296">
        <v>963</v>
      </c>
      <c r="E4296" s="1">
        <v>0.96819999999999995</v>
      </c>
      <c r="F4296" s="1">
        <v>3.1800000000000002E-2</v>
      </c>
    </row>
    <row r="4297" spans="1:14">
      <c r="A4297" t="s">
        <v>204</v>
      </c>
      <c r="B4297">
        <v>74</v>
      </c>
      <c r="C4297" t="s">
        <v>208</v>
      </c>
      <c r="D4297">
        <v>963</v>
      </c>
      <c r="E4297" s="1">
        <v>0.81079999999999997</v>
      </c>
      <c r="F4297" s="1">
        <v>0.18920000000000001</v>
      </c>
    </row>
    <row r="4298" spans="1:14">
      <c r="A4298" t="s">
        <v>199</v>
      </c>
      <c r="B4298">
        <v>72</v>
      </c>
      <c r="C4298" t="s">
        <v>200</v>
      </c>
      <c r="D4298">
        <v>963</v>
      </c>
      <c r="E4298" s="1">
        <v>0.95040000000000002</v>
      </c>
      <c r="F4298" s="1">
        <v>4.9599999999999998E-2</v>
      </c>
    </row>
    <row r="4299" spans="1:14">
      <c r="A4299" t="s">
        <v>199</v>
      </c>
      <c r="B4299">
        <v>96</v>
      </c>
      <c r="C4299" t="s">
        <v>201</v>
      </c>
      <c r="D4299">
        <v>963</v>
      </c>
      <c r="E4299" s="1">
        <v>0.96879999999999999</v>
      </c>
      <c r="F4299" s="1">
        <v>3.1199999999999999E-2</v>
      </c>
    </row>
    <row r="4300" spans="1:14">
      <c r="A4300" t="s">
        <v>199</v>
      </c>
      <c r="B4300">
        <v>98</v>
      </c>
      <c r="C4300" t="s">
        <v>202</v>
      </c>
      <c r="D4300">
        <v>963</v>
      </c>
      <c r="E4300" s="1">
        <v>0.95109999999999995</v>
      </c>
      <c r="F4300" s="1">
        <v>4.8899999999999999E-2</v>
      </c>
    </row>
    <row r="4301" spans="1:14">
      <c r="A4301" t="s">
        <v>199</v>
      </c>
      <c r="B4301">
        <v>77</v>
      </c>
      <c r="C4301" t="s">
        <v>203</v>
      </c>
      <c r="D4301">
        <v>963</v>
      </c>
      <c r="E4301" s="1">
        <v>0.95579999999999998</v>
      </c>
      <c r="F4301" s="1">
        <v>4.4200000000000003E-2</v>
      </c>
    </row>
    <row r="4302" spans="1:14">
      <c r="A4302" t="s">
        <v>209</v>
      </c>
      <c r="B4302">
        <v>74</v>
      </c>
      <c r="C4302" t="s">
        <v>210</v>
      </c>
      <c r="D4302">
        <v>963</v>
      </c>
      <c r="E4302" s="1">
        <v>0.94159999999999999</v>
      </c>
      <c r="F4302" s="1">
        <v>5.8400000000000001E-2</v>
      </c>
    </row>
    <row r="4303" spans="1:14">
      <c r="A4303" t="s">
        <v>209</v>
      </c>
      <c r="B4303">
        <v>97</v>
      </c>
      <c r="C4303" t="s">
        <v>211</v>
      </c>
      <c r="D4303">
        <v>963</v>
      </c>
      <c r="E4303" s="1">
        <v>0.88300000000000001</v>
      </c>
      <c r="F4303" s="1">
        <v>0.11700000000000001</v>
      </c>
    </row>
    <row r="4304" spans="1:14">
      <c r="A4304" t="s">
        <v>209</v>
      </c>
      <c r="B4304">
        <v>84</v>
      </c>
      <c r="C4304" t="s">
        <v>212</v>
      </c>
      <c r="D4304">
        <v>963</v>
      </c>
      <c r="E4304" s="1">
        <v>0.87329999999999997</v>
      </c>
      <c r="F4304" s="1">
        <v>0.12670000000000001</v>
      </c>
    </row>
    <row r="4306" spans="1:8">
      <c r="A4306" t="s">
        <v>1003</v>
      </c>
    </row>
    <row r="4307" spans="1:8">
      <c r="A4307" t="s">
        <v>189</v>
      </c>
      <c r="B4307" t="s">
        <v>190</v>
      </c>
      <c r="C4307" t="s">
        <v>191</v>
      </c>
      <c r="D4307" t="s">
        <v>192</v>
      </c>
      <c r="E4307" t="s">
        <v>193</v>
      </c>
      <c r="F4307" t="s">
        <v>194</v>
      </c>
      <c r="G4307" t="s">
        <v>195</v>
      </c>
      <c r="H4307" t="s">
        <v>196</v>
      </c>
    </row>
    <row r="4308" spans="1:8">
      <c r="A4308" t="s">
        <v>197</v>
      </c>
      <c r="B4308" t="s">
        <v>198</v>
      </c>
      <c r="C4308">
        <v>4.5282603567945721</v>
      </c>
      <c r="D4308">
        <v>2</v>
      </c>
      <c r="E4308">
        <v>1</v>
      </c>
      <c r="F4308">
        <v>39</v>
      </c>
      <c r="G4308">
        <v>78</v>
      </c>
      <c r="H4308">
        <v>78</v>
      </c>
    </row>
    <row r="4309" spans="1:8" s="26" customFormat="1">
      <c r="A4309" s="26" t="s">
        <v>199</v>
      </c>
      <c r="B4309" s="26" t="s">
        <v>200</v>
      </c>
      <c r="C4309" s="26">
        <v>1.0318273955728741</v>
      </c>
      <c r="D4309" s="26">
        <v>1</v>
      </c>
      <c r="E4309" s="26">
        <v>1</v>
      </c>
      <c r="F4309" s="26">
        <v>2</v>
      </c>
      <c r="G4309" s="26">
        <v>3</v>
      </c>
      <c r="H4309" s="26">
        <v>78</v>
      </c>
    </row>
    <row r="4310" spans="1:8" s="26" customFormat="1">
      <c r="A4310" s="26" t="s">
        <v>199</v>
      </c>
      <c r="B4310" s="26" t="s">
        <v>201</v>
      </c>
      <c r="C4310" s="26">
        <v>15.66666666666667</v>
      </c>
      <c r="D4310" s="26">
        <v>39</v>
      </c>
      <c r="E4310" s="26">
        <v>2</v>
      </c>
      <c r="F4310" s="26">
        <v>39</v>
      </c>
      <c r="G4310" s="26">
        <v>3</v>
      </c>
      <c r="H4310" s="26">
        <v>78</v>
      </c>
    </row>
    <row r="4311" spans="1:8" s="26" customFormat="1">
      <c r="A4311" s="26" t="s">
        <v>199</v>
      </c>
      <c r="B4311" s="26" t="s">
        <v>202</v>
      </c>
      <c r="C4311" s="26">
        <v>4.645242361294903</v>
      </c>
      <c r="D4311" s="26">
        <v>7</v>
      </c>
      <c r="E4311" s="26">
        <v>2</v>
      </c>
      <c r="F4311" s="26">
        <v>7</v>
      </c>
      <c r="G4311" s="26">
        <v>5</v>
      </c>
      <c r="H4311" s="26">
        <v>78</v>
      </c>
    </row>
    <row r="4312" spans="1:8" s="26" customFormat="1">
      <c r="A4312" s="26" t="s">
        <v>199</v>
      </c>
      <c r="B4312" s="26" t="s">
        <v>203</v>
      </c>
      <c r="C4312" s="26">
        <v>2.3831758526262159</v>
      </c>
      <c r="D4312" s="26">
        <v>3</v>
      </c>
      <c r="E4312" s="26">
        <v>1</v>
      </c>
      <c r="F4312" s="26">
        <v>4</v>
      </c>
      <c r="G4312" s="26">
        <v>5</v>
      </c>
      <c r="H4312" s="26">
        <v>78</v>
      </c>
    </row>
    <row r="4313" spans="1:8" s="26" customFormat="1">
      <c r="A4313" s="26" t="s">
        <v>204</v>
      </c>
      <c r="B4313" s="26" t="s">
        <v>205</v>
      </c>
      <c r="C4313" s="26">
        <v>2.996395415546695</v>
      </c>
      <c r="D4313" s="26">
        <v>2</v>
      </c>
      <c r="E4313" s="26">
        <v>2</v>
      </c>
      <c r="F4313" s="26">
        <v>10</v>
      </c>
      <c r="G4313" s="26">
        <v>6</v>
      </c>
      <c r="H4313" s="26">
        <v>78</v>
      </c>
    </row>
    <row r="4314" spans="1:8" s="26" customFormat="1">
      <c r="A4314" s="26" t="s">
        <v>204</v>
      </c>
      <c r="B4314" s="26" t="s">
        <v>206</v>
      </c>
      <c r="C4314" s="26">
        <v>2.2274484288666039</v>
      </c>
      <c r="D4314" s="26">
        <v>2</v>
      </c>
      <c r="E4314" s="26">
        <v>2</v>
      </c>
      <c r="F4314" s="26">
        <v>3</v>
      </c>
      <c r="G4314" s="26">
        <v>4</v>
      </c>
      <c r="H4314" s="26">
        <v>78</v>
      </c>
    </row>
    <row r="4315" spans="1:8" s="26" customFormat="1">
      <c r="A4315" s="26" t="s">
        <v>204</v>
      </c>
      <c r="B4315" s="26" t="s">
        <v>207</v>
      </c>
      <c r="C4315" s="26">
        <v>2.6690606966470991</v>
      </c>
      <c r="D4315" s="26">
        <v>2</v>
      </c>
      <c r="E4315" s="26">
        <v>2</v>
      </c>
      <c r="F4315" s="26">
        <v>15</v>
      </c>
      <c r="G4315" s="26">
        <v>14</v>
      </c>
      <c r="H4315" s="26">
        <v>78</v>
      </c>
    </row>
    <row r="4316" spans="1:8" s="26" customFormat="1">
      <c r="A4316" s="26" t="s">
        <v>204</v>
      </c>
      <c r="B4316" s="26" t="s">
        <v>208</v>
      </c>
      <c r="C4316" s="26">
        <v>4.1428571428571406</v>
      </c>
      <c r="D4316" s="26">
        <v>4</v>
      </c>
      <c r="E4316" s="26">
        <v>1</v>
      </c>
      <c r="F4316" s="26">
        <v>15</v>
      </c>
      <c r="G4316" s="26">
        <v>14</v>
      </c>
      <c r="H4316" s="26">
        <v>78</v>
      </c>
    </row>
    <row r="4317" spans="1:8" s="26" customFormat="1">
      <c r="A4317" s="26" t="s">
        <v>209</v>
      </c>
      <c r="B4317" s="26" t="s">
        <v>210</v>
      </c>
      <c r="C4317" s="26">
        <v>3.285714285714286</v>
      </c>
      <c r="D4317" s="26">
        <v>2</v>
      </c>
      <c r="E4317" s="26">
        <v>1</v>
      </c>
      <c r="F4317" s="26">
        <v>10</v>
      </c>
      <c r="G4317" s="26">
        <v>7</v>
      </c>
      <c r="H4317" s="26">
        <v>78</v>
      </c>
    </row>
    <row r="4318" spans="1:8" s="26" customFormat="1">
      <c r="A4318" s="26" t="s">
        <v>209</v>
      </c>
      <c r="B4318" s="26" t="s">
        <v>211</v>
      </c>
      <c r="C4318" s="26">
        <v>2.5232518932094941</v>
      </c>
      <c r="D4318" s="26">
        <v>2</v>
      </c>
      <c r="E4318" s="26">
        <v>1</v>
      </c>
      <c r="F4318" s="26">
        <v>7</v>
      </c>
      <c r="G4318" s="26">
        <v>8</v>
      </c>
      <c r="H4318" s="26">
        <v>78</v>
      </c>
    </row>
    <row r="4319" spans="1:8" s="26" customFormat="1">
      <c r="A4319" s="26" t="s">
        <v>209</v>
      </c>
      <c r="B4319" s="26" t="s">
        <v>212</v>
      </c>
      <c r="C4319" s="26">
        <v>2.3551079086745732</v>
      </c>
      <c r="D4319" s="26">
        <v>2</v>
      </c>
      <c r="E4319" s="26">
        <v>1</v>
      </c>
      <c r="F4319" s="26">
        <v>4</v>
      </c>
      <c r="G4319" s="26">
        <v>9</v>
      </c>
      <c r="H4319" s="26">
        <v>78</v>
      </c>
    </row>
    <row r="4321" spans="1:7">
      <c r="A4321" t="s">
        <v>1004</v>
      </c>
    </row>
    <row r="4322" spans="1:7">
      <c r="A4322" t="s">
        <v>189</v>
      </c>
      <c r="B4322" t="s">
        <v>195</v>
      </c>
      <c r="C4322" t="s">
        <v>190</v>
      </c>
      <c r="D4322" t="s">
        <v>196</v>
      </c>
      <c r="E4322" t="s">
        <v>228</v>
      </c>
      <c r="F4322" t="s">
        <v>215</v>
      </c>
      <c r="G4322" t="s">
        <v>216</v>
      </c>
    </row>
    <row r="4323" spans="1:7">
      <c r="A4323" t="s">
        <v>197</v>
      </c>
      <c r="B4323">
        <v>962</v>
      </c>
      <c r="C4323" t="s">
        <v>198</v>
      </c>
      <c r="D4323">
        <v>962</v>
      </c>
      <c r="E4323" s="1">
        <v>2.5000000000000001E-3</v>
      </c>
      <c r="F4323" s="1">
        <v>8.4199999999999997E-2</v>
      </c>
      <c r="G4323" s="1">
        <v>0.9133</v>
      </c>
    </row>
    <row r="4324" spans="1:7">
      <c r="A4324" t="s">
        <v>204</v>
      </c>
      <c r="B4324">
        <v>91</v>
      </c>
      <c r="C4324" t="s">
        <v>205</v>
      </c>
      <c r="D4324">
        <v>962</v>
      </c>
      <c r="E4324" s="1">
        <v>2.3999999999999998E-3</v>
      </c>
      <c r="F4324" s="1">
        <v>8.8800000000000004E-2</v>
      </c>
      <c r="G4324" s="1">
        <v>0.90869999999999995</v>
      </c>
    </row>
    <row r="4325" spans="1:7">
      <c r="A4325" t="s">
        <v>204</v>
      </c>
      <c r="B4325">
        <v>71</v>
      </c>
      <c r="C4325" t="s">
        <v>206</v>
      </c>
      <c r="D4325">
        <v>962</v>
      </c>
      <c r="F4325" s="1">
        <v>9.69E-2</v>
      </c>
      <c r="G4325" s="1">
        <v>0.90310000000000001</v>
      </c>
    </row>
    <row r="4326" spans="1:7">
      <c r="A4326" t="s">
        <v>204</v>
      </c>
      <c r="B4326">
        <v>129</v>
      </c>
      <c r="C4326" t="s">
        <v>207</v>
      </c>
      <c r="D4326">
        <v>962</v>
      </c>
      <c r="F4326" s="1">
        <v>4.1500000000000002E-2</v>
      </c>
      <c r="G4326" s="1">
        <v>0.95850000000000002</v>
      </c>
    </row>
    <row r="4327" spans="1:7">
      <c r="A4327" t="s">
        <v>204</v>
      </c>
      <c r="B4327">
        <v>74</v>
      </c>
      <c r="C4327" t="s">
        <v>208</v>
      </c>
      <c r="D4327">
        <v>962</v>
      </c>
      <c r="E4327" s="1">
        <v>1.35E-2</v>
      </c>
      <c r="F4327" s="1">
        <v>6.7599999999999993E-2</v>
      </c>
      <c r="G4327" s="1">
        <v>0.91890000000000005</v>
      </c>
    </row>
    <row r="4328" spans="1:7">
      <c r="A4328" t="s">
        <v>199</v>
      </c>
      <c r="B4328">
        <v>72</v>
      </c>
      <c r="C4328" t="s">
        <v>200</v>
      </c>
      <c r="D4328">
        <v>962</v>
      </c>
      <c r="F4328" s="1">
        <v>0.5978</v>
      </c>
      <c r="G4328" s="1">
        <v>0.4022</v>
      </c>
    </row>
    <row r="4329" spans="1:7">
      <c r="A4329" t="s">
        <v>199</v>
      </c>
      <c r="B4329">
        <v>96</v>
      </c>
      <c r="C4329" t="s">
        <v>201</v>
      </c>
      <c r="D4329">
        <v>962</v>
      </c>
      <c r="F4329" s="1">
        <v>3.1199999999999999E-2</v>
      </c>
      <c r="G4329" s="1">
        <v>0.96879999999999999</v>
      </c>
    </row>
    <row r="4330" spans="1:7">
      <c r="A4330" t="s">
        <v>199</v>
      </c>
      <c r="B4330">
        <v>97</v>
      </c>
      <c r="C4330" t="s">
        <v>202</v>
      </c>
      <c r="D4330">
        <v>962</v>
      </c>
      <c r="F4330" s="1">
        <v>5.33E-2</v>
      </c>
      <c r="G4330" s="1">
        <v>0.94669999999999999</v>
      </c>
    </row>
    <row r="4331" spans="1:7">
      <c r="A4331" t="s">
        <v>199</v>
      </c>
      <c r="B4331">
        <v>77</v>
      </c>
      <c r="C4331" t="s">
        <v>203</v>
      </c>
      <c r="D4331">
        <v>962</v>
      </c>
      <c r="E4331" s="1">
        <v>9.4999999999999998E-3</v>
      </c>
      <c r="F4331" s="1">
        <v>0.19159999999999999</v>
      </c>
      <c r="G4331" s="1">
        <v>0.79890000000000005</v>
      </c>
    </row>
    <row r="4332" spans="1:7">
      <c r="A4332" t="s">
        <v>209</v>
      </c>
      <c r="B4332">
        <v>74</v>
      </c>
      <c r="C4332" t="s">
        <v>210</v>
      </c>
      <c r="D4332">
        <v>962</v>
      </c>
      <c r="F4332" s="1">
        <v>0.15609999999999999</v>
      </c>
      <c r="G4332" s="1">
        <v>0.84389999999999998</v>
      </c>
    </row>
    <row r="4333" spans="1:7">
      <c r="A4333" t="s">
        <v>209</v>
      </c>
      <c r="B4333">
        <v>97</v>
      </c>
      <c r="C4333" t="s">
        <v>211</v>
      </c>
      <c r="D4333">
        <v>962</v>
      </c>
      <c r="E4333" s="1">
        <v>1.6299999999999999E-2</v>
      </c>
      <c r="F4333" s="1">
        <v>0.21690000000000001</v>
      </c>
      <c r="G4333" s="1">
        <v>0.76680000000000004</v>
      </c>
    </row>
    <row r="4334" spans="1:7">
      <c r="A4334" t="s">
        <v>209</v>
      </c>
      <c r="B4334">
        <v>84</v>
      </c>
      <c r="C4334" t="s">
        <v>212</v>
      </c>
      <c r="D4334">
        <v>962</v>
      </c>
      <c r="F4334" s="1">
        <v>5.1900000000000002E-2</v>
      </c>
      <c r="G4334" s="1">
        <v>0.94810000000000005</v>
      </c>
    </row>
    <row r="4336" spans="1:7">
      <c r="A4336" t="s">
        <v>1005</v>
      </c>
    </row>
    <row r="4337" spans="1:8">
      <c r="A4337" t="s">
        <v>214</v>
      </c>
      <c r="B4337" t="s">
        <v>189</v>
      </c>
      <c r="C4337" t="s">
        <v>195</v>
      </c>
      <c r="D4337" t="s">
        <v>190</v>
      </c>
      <c r="E4337" t="s">
        <v>196</v>
      </c>
      <c r="F4337" t="s">
        <v>228</v>
      </c>
      <c r="G4337" t="s">
        <v>215</v>
      </c>
      <c r="H4337" t="s">
        <v>216</v>
      </c>
    </row>
    <row r="4338" spans="1:8">
      <c r="A4338" t="s">
        <v>198</v>
      </c>
      <c r="B4338" t="s">
        <v>197</v>
      </c>
      <c r="C4338">
        <v>962</v>
      </c>
      <c r="D4338" t="s">
        <v>198</v>
      </c>
      <c r="E4338">
        <v>962</v>
      </c>
      <c r="F4338" s="1">
        <v>2.5000000000000001E-3</v>
      </c>
      <c r="G4338" s="1">
        <v>8.4199999999999997E-2</v>
      </c>
      <c r="H4338" s="1">
        <v>0.9133</v>
      </c>
    </row>
    <row r="4339" spans="1:8">
      <c r="A4339" t="s">
        <v>235</v>
      </c>
      <c r="B4339" t="s">
        <v>204</v>
      </c>
      <c r="C4339">
        <v>63</v>
      </c>
      <c r="D4339" t="s">
        <v>208</v>
      </c>
      <c r="E4339">
        <v>962</v>
      </c>
      <c r="G4339" s="1">
        <v>3.1699999999999999E-2</v>
      </c>
      <c r="H4339" s="1">
        <v>0.96830000000000005</v>
      </c>
    </row>
    <row r="4340" spans="1:8">
      <c r="A4340" t="s">
        <v>236</v>
      </c>
      <c r="B4340" t="s">
        <v>204</v>
      </c>
      <c r="C4340">
        <v>32</v>
      </c>
      <c r="D4340" t="s">
        <v>205</v>
      </c>
      <c r="E4340">
        <v>962</v>
      </c>
      <c r="F4340" s="1">
        <v>1.37E-2</v>
      </c>
      <c r="G4340" s="1">
        <v>0.34260000000000002</v>
      </c>
      <c r="H4340" s="1">
        <v>0.64370000000000005</v>
      </c>
    </row>
    <row r="4341" spans="1:8">
      <c r="A4341" t="s">
        <v>235</v>
      </c>
      <c r="B4341" t="s">
        <v>204</v>
      </c>
      <c r="C4341">
        <v>58</v>
      </c>
      <c r="D4341" t="s">
        <v>205</v>
      </c>
      <c r="E4341">
        <v>962</v>
      </c>
      <c r="G4341" s="1">
        <v>3.4000000000000002E-2</v>
      </c>
      <c r="H4341" s="1">
        <v>0.96599999999999997</v>
      </c>
    </row>
    <row r="4342" spans="1:8" s="26" customFormat="1">
      <c r="A4342" s="26" t="s">
        <v>236</v>
      </c>
      <c r="B4342" s="26" t="s">
        <v>204</v>
      </c>
      <c r="C4342" s="26">
        <v>21</v>
      </c>
      <c r="D4342" s="26" t="s">
        <v>206</v>
      </c>
      <c r="E4342" s="26">
        <v>962</v>
      </c>
      <c r="G4342" s="27">
        <v>0.3075</v>
      </c>
      <c r="H4342" s="27">
        <v>0.6925</v>
      </c>
    </row>
    <row r="4343" spans="1:8">
      <c r="A4343" t="s">
        <v>235</v>
      </c>
      <c r="B4343" t="s">
        <v>204</v>
      </c>
      <c r="C4343">
        <v>46</v>
      </c>
      <c r="D4343" t="s">
        <v>206</v>
      </c>
      <c r="E4343">
        <v>962</v>
      </c>
      <c r="G4343" s="1">
        <v>1.7600000000000001E-2</v>
      </c>
      <c r="H4343" s="1">
        <v>0.98240000000000005</v>
      </c>
    </row>
    <row r="4344" spans="1:8">
      <c r="A4344" t="s">
        <v>236</v>
      </c>
      <c r="B4344" t="s">
        <v>204</v>
      </c>
      <c r="C4344">
        <v>80</v>
      </c>
      <c r="D4344" t="s">
        <v>207</v>
      </c>
      <c r="E4344">
        <v>962</v>
      </c>
      <c r="G4344" s="1">
        <v>9.98E-2</v>
      </c>
      <c r="H4344" s="1">
        <v>0.9002</v>
      </c>
    </row>
    <row r="4345" spans="1:8">
      <c r="A4345" t="s">
        <v>235</v>
      </c>
      <c r="B4345" t="s">
        <v>204</v>
      </c>
      <c r="C4345">
        <v>44</v>
      </c>
      <c r="D4345" t="s">
        <v>207</v>
      </c>
      <c r="E4345">
        <v>962</v>
      </c>
      <c r="G4345" s="1">
        <v>1.6000000000000001E-3</v>
      </c>
      <c r="H4345" s="1">
        <v>0.99839999999999995</v>
      </c>
    </row>
    <row r="4346" spans="1:8" s="26" customFormat="1">
      <c r="A4346" s="26" t="s">
        <v>236</v>
      </c>
      <c r="B4346" s="26" t="s">
        <v>204</v>
      </c>
      <c r="C4346" s="26">
        <v>11</v>
      </c>
      <c r="D4346" s="26" t="s">
        <v>208</v>
      </c>
      <c r="E4346" s="26">
        <v>962</v>
      </c>
      <c r="F4346" s="27">
        <v>9.0899999999999995E-2</v>
      </c>
      <c r="G4346" s="27">
        <v>0.2727</v>
      </c>
      <c r="H4346" s="27">
        <v>0.63639999999999997</v>
      </c>
    </row>
    <row r="4347" spans="1:8">
      <c r="A4347" t="s">
        <v>235</v>
      </c>
      <c r="B4347" t="s">
        <v>199</v>
      </c>
      <c r="C4347">
        <v>44</v>
      </c>
      <c r="D4347" t="s">
        <v>203</v>
      </c>
      <c r="E4347">
        <v>962</v>
      </c>
      <c r="G4347" s="1">
        <v>9.2700000000000005E-2</v>
      </c>
      <c r="H4347" s="1">
        <v>0.9073</v>
      </c>
    </row>
    <row r="4348" spans="1:8">
      <c r="A4348" t="s">
        <v>236</v>
      </c>
      <c r="B4348" t="s">
        <v>199</v>
      </c>
      <c r="C4348">
        <v>32</v>
      </c>
      <c r="D4348" t="s">
        <v>203</v>
      </c>
      <c r="E4348">
        <v>962</v>
      </c>
      <c r="F4348" s="1">
        <v>2.75E-2</v>
      </c>
      <c r="G4348" s="1">
        <v>0.38600000000000001</v>
      </c>
      <c r="H4348" s="1">
        <v>0.58650000000000002</v>
      </c>
    </row>
    <row r="4349" spans="1:8">
      <c r="A4349" t="s">
        <v>235</v>
      </c>
      <c r="B4349" t="s">
        <v>199</v>
      </c>
      <c r="C4349">
        <v>60</v>
      </c>
      <c r="D4349" t="s">
        <v>202</v>
      </c>
      <c r="E4349">
        <v>962</v>
      </c>
      <c r="G4349" s="1">
        <v>1.5800000000000002E-2</v>
      </c>
      <c r="H4349" s="1">
        <v>0.98419999999999996</v>
      </c>
    </row>
    <row r="4350" spans="1:8" s="26" customFormat="1">
      <c r="A4350" s="26" t="s">
        <v>236</v>
      </c>
      <c r="B4350" s="26" t="s">
        <v>199</v>
      </c>
      <c r="C4350" s="26">
        <v>24</v>
      </c>
      <c r="D4350" s="26" t="s">
        <v>200</v>
      </c>
      <c r="E4350" s="26">
        <v>962</v>
      </c>
      <c r="G4350" s="27">
        <v>0.81830000000000003</v>
      </c>
      <c r="H4350" s="27">
        <v>0.1817</v>
      </c>
    </row>
    <row r="4351" spans="1:8">
      <c r="A4351" t="s">
        <v>235</v>
      </c>
      <c r="B4351" t="s">
        <v>199</v>
      </c>
      <c r="C4351">
        <v>45</v>
      </c>
      <c r="D4351" t="s">
        <v>200</v>
      </c>
      <c r="E4351">
        <v>962</v>
      </c>
      <c r="G4351" s="1">
        <v>0.4027</v>
      </c>
      <c r="H4351" s="1">
        <v>0.59730000000000005</v>
      </c>
    </row>
    <row r="4352" spans="1:8">
      <c r="A4352" t="s">
        <v>236</v>
      </c>
      <c r="B4352" t="s">
        <v>199</v>
      </c>
      <c r="C4352">
        <v>36</v>
      </c>
      <c r="D4352" t="s">
        <v>202</v>
      </c>
      <c r="E4352">
        <v>962</v>
      </c>
      <c r="G4352" s="1">
        <v>0.1089</v>
      </c>
      <c r="H4352" s="1">
        <v>0.8911</v>
      </c>
    </row>
    <row r="4353" spans="1:11">
      <c r="A4353" t="s">
        <v>235</v>
      </c>
      <c r="B4353" t="s">
        <v>199</v>
      </c>
      <c r="C4353">
        <v>96</v>
      </c>
      <c r="D4353" t="s">
        <v>201</v>
      </c>
      <c r="E4353">
        <v>962</v>
      </c>
      <c r="G4353" s="1">
        <v>3.1199999999999999E-2</v>
      </c>
      <c r="H4353" s="1">
        <v>0.96879999999999999</v>
      </c>
    </row>
    <row r="4354" spans="1:11">
      <c r="A4354" t="s">
        <v>236</v>
      </c>
      <c r="B4354" t="s">
        <v>209</v>
      </c>
      <c r="C4354">
        <v>39</v>
      </c>
      <c r="D4354" t="s">
        <v>211</v>
      </c>
      <c r="E4354">
        <v>962</v>
      </c>
      <c r="F4354" s="1">
        <v>1.18E-2</v>
      </c>
      <c r="G4354" s="1">
        <v>0.3664</v>
      </c>
      <c r="H4354" s="1">
        <v>0.62180000000000002</v>
      </c>
    </row>
    <row r="4355" spans="1:11">
      <c r="A4355" t="s">
        <v>235</v>
      </c>
      <c r="B4355" t="s">
        <v>209</v>
      </c>
      <c r="C4355">
        <v>56</v>
      </c>
      <c r="D4355" t="s">
        <v>211</v>
      </c>
      <c r="E4355">
        <v>962</v>
      </c>
      <c r="F4355" s="1">
        <v>1.9599999999999999E-2</v>
      </c>
      <c r="G4355" s="1">
        <v>0.14030000000000001</v>
      </c>
      <c r="H4355" s="1">
        <v>0.84</v>
      </c>
    </row>
    <row r="4356" spans="1:11">
      <c r="A4356" t="s">
        <v>235</v>
      </c>
      <c r="B4356" t="s">
        <v>209</v>
      </c>
      <c r="C4356">
        <v>67</v>
      </c>
      <c r="D4356" t="s">
        <v>212</v>
      </c>
      <c r="E4356">
        <v>962</v>
      </c>
      <c r="G4356" s="1">
        <v>2.4E-2</v>
      </c>
      <c r="H4356" s="1">
        <v>0.97599999999999998</v>
      </c>
    </row>
    <row r="4357" spans="1:11" s="26" customFormat="1">
      <c r="A4357" s="26" t="s">
        <v>236</v>
      </c>
      <c r="B4357" s="26" t="s">
        <v>209</v>
      </c>
      <c r="C4357" s="26">
        <v>17</v>
      </c>
      <c r="D4357" s="26" t="s">
        <v>212</v>
      </c>
      <c r="E4357" s="26">
        <v>962</v>
      </c>
      <c r="G4357" s="27">
        <v>0.2336</v>
      </c>
      <c r="H4357" s="27">
        <v>0.76639999999999997</v>
      </c>
    </row>
    <row r="4358" spans="1:11">
      <c r="A4358" t="s">
        <v>236</v>
      </c>
      <c r="B4358" t="s">
        <v>209</v>
      </c>
      <c r="C4358">
        <v>38</v>
      </c>
      <c r="D4358" t="s">
        <v>210</v>
      </c>
      <c r="E4358">
        <v>962</v>
      </c>
      <c r="G4358" s="1">
        <v>0.23089999999999999</v>
      </c>
      <c r="H4358" s="1">
        <v>0.76910000000000001</v>
      </c>
    </row>
    <row r="4359" spans="1:11">
      <c r="A4359" t="s">
        <v>235</v>
      </c>
      <c r="B4359" t="s">
        <v>209</v>
      </c>
      <c r="C4359">
        <v>32</v>
      </c>
      <c r="D4359" t="s">
        <v>210</v>
      </c>
      <c r="E4359">
        <v>962</v>
      </c>
      <c r="G4359" s="1">
        <v>6.4600000000000005E-2</v>
      </c>
      <c r="H4359" s="1">
        <v>0.93540000000000001</v>
      </c>
    </row>
    <row r="4361" spans="1:11">
      <c r="A4361" t="s">
        <v>1006</v>
      </c>
    </row>
    <row r="4362" spans="1:11">
      <c r="A4362" t="s">
        <v>189</v>
      </c>
      <c r="B4362" t="s">
        <v>195</v>
      </c>
      <c r="C4362" t="s">
        <v>190</v>
      </c>
      <c r="D4362" t="s">
        <v>196</v>
      </c>
      <c r="E4362" t="s">
        <v>228</v>
      </c>
      <c r="F4362" t="s">
        <v>1007</v>
      </c>
      <c r="G4362" t="s">
        <v>1008</v>
      </c>
      <c r="H4362" t="s">
        <v>1009</v>
      </c>
      <c r="I4362" t="s">
        <v>1010</v>
      </c>
      <c r="J4362" t="s">
        <v>1011</v>
      </c>
      <c r="K4362" t="s">
        <v>1012</v>
      </c>
    </row>
    <row r="4363" spans="1:11">
      <c r="A4363" t="s">
        <v>197</v>
      </c>
      <c r="B4363">
        <v>968</v>
      </c>
      <c r="C4363" t="s">
        <v>198</v>
      </c>
      <c r="D4363">
        <v>968</v>
      </c>
      <c r="E4363" s="1">
        <v>2E-3</v>
      </c>
      <c r="F4363" s="1">
        <v>2.0400000000000001E-2</v>
      </c>
      <c r="G4363" s="1">
        <v>4.8999999999999998E-3</v>
      </c>
      <c r="H4363" s="1">
        <v>2.7699999999999999E-2</v>
      </c>
      <c r="I4363" s="1">
        <v>5.0000000000000001E-3</v>
      </c>
      <c r="J4363" s="1">
        <v>3.8899999999999997E-2</v>
      </c>
      <c r="K4363" s="1">
        <v>0.90110000000000001</v>
      </c>
    </row>
    <row r="4364" spans="1:11">
      <c r="A4364" t="s">
        <v>204</v>
      </c>
      <c r="B4364">
        <v>91</v>
      </c>
      <c r="C4364" t="s">
        <v>205</v>
      </c>
      <c r="D4364">
        <v>968</v>
      </c>
      <c r="E4364" s="1">
        <v>2.3999999999999998E-3</v>
      </c>
      <c r="F4364" s="1">
        <v>2.3599999999999999E-2</v>
      </c>
      <c r="G4364" s="1">
        <v>1.83E-2</v>
      </c>
      <c r="H4364" s="1">
        <v>1.7600000000000001E-2</v>
      </c>
      <c r="I4364" s="1">
        <v>3.2000000000000002E-3</v>
      </c>
      <c r="J4364" s="1">
        <v>3.1300000000000001E-2</v>
      </c>
      <c r="K4364" s="1">
        <v>0.90349999999999997</v>
      </c>
    </row>
    <row r="4365" spans="1:11">
      <c r="A4365" t="s">
        <v>204</v>
      </c>
      <c r="B4365">
        <v>72</v>
      </c>
      <c r="C4365" t="s">
        <v>206</v>
      </c>
      <c r="D4365">
        <v>968</v>
      </c>
      <c r="F4365" s="1">
        <v>1.1599999999999999E-2</v>
      </c>
      <c r="H4365" s="1">
        <v>1.6299999999999999E-2</v>
      </c>
      <c r="J4365" s="1">
        <v>5.1200000000000002E-2</v>
      </c>
      <c r="K4365" s="1">
        <v>0.92090000000000005</v>
      </c>
    </row>
    <row r="4366" spans="1:11">
      <c r="A4366" t="s">
        <v>204</v>
      </c>
      <c r="B4366">
        <v>131</v>
      </c>
      <c r="C4366" t="s">
        <v>207</v>
      </c>
      <c r="D4366">
        <v>968</v>
      </c>
      <c r="F4366" s="1">
        <v>1.24E-2</v>
      </c>
      <c r="H4366" s="1">
        <v>5.9900000000000002E-2</v>
      </c>
      <c r="I4366" s="1">
        <v>1.5E-3</v>
      </c>
      <c r="J4366" s="1">
        <v>6.4100000000000004E-2</v>
      </c>
      <c r="K4366" s="1">
        <v>0.86209999999999998</v>
      </c>
    </row>
    <row r="4367" spans="1:11">
      <c r="A4367" t="s">
        <v>204</v>
      </c>
      <c r="B4367">
        <v>74</v>
      </c>
      <c r="C4367" t="s">
        <v>208</v>
      </c>
      <c r="D4367">
        <v>968</v>
      </c>
      <c r="J4367" s="1">
        <v>2.7E-2</v>
      </c>
      <c r="K4367" s="1">
        <v>0.97299999999999998</v>
      </c>
    </row>
    <row r="4368" spans="1:11">
      <c r="A4368" t="s">
        <v>199</v>
      </c>
      <c r="B4368">
        <v>73</v>
      </c>
      <c r="C4368" t="s">
        <v>200</v>
      </c>
      <c r="D4368">
        <v>968</v>
      </c>
      <c r="F4368" s="1">
        <v>0.2</v>
      </c>
      <c r="G4368" s="1">
        <v>1.6000000000000001E-3</v>
      </c>
      <c r="H4368" s="1">
        <v>7.6200000000000004E-2</v>
      </c>
      <c r="J4368" s="1">
        <v>0.1033</v>
      </c>
      <c r="K4368" s="1">
        <v>0.61890000000000001</v>
      </c>
    </row>
    <row r="4369" spans="1:12">
      <c r="A4369" t="s">
        <v>199</v>
      </c>
      <c r="B4369">
        <v>96</v>
      </c>
      <c r="C4369" t="s">
        <v>201</v>
      </c>
      <c r="D4369">
        <v>968</v>
      </c>
      <c r="I4369" s="1">
        <v>1.04E-2</v>
      </c>
      <c r="K4369" s="1">
        <v>0.98960000000000004</v>
      </c>
    </row>
    <row r="4370" spans="1:12">
      <c r="A4370" t="s">
        <v>199</v>
      </c>
      <c r="B4370">
        <v>98</v>
      </c>
      <c r="C4370" t="s">
        <v>202</v>
      </c>
      <c r="D4370">
        <v>968</v>
      </c>
      <c r="F4370" s="1">
        <v>2.5499999999999998E-2</v>
      </c>
      <c r="H4370" s="1">
        <v>4.1999999999999997E-3</v>
      </c>
      <c r="I4370" s="1">
        <v>1.35E-2</v>
      </c>
      <c r="J4370" s="1">
        <v>1.2200000000000001E-2</v>
      </c>
      <c r="K4370" s="1">
        <v>0.94450000000000001</v>
      </c>
    </row>
    <row r="4371" spans="1:12">
      <c r="A4371" t="s">
        <v>199</v>
      </c>
      <c r="B4371">
        <v>77</v>
      </c>
      <c r="C4371" t="s">
        <v>203</v>
      </c>
      <c r="D4371">
        <v>968</v>
      </c>
      <c r="F4371" s="1">
        <v>3.4299999999999997E-2</v>
      </c>
      <c r="G4371" s="1">
        <v>2.52E-2</v>
      </c>
      <c r="H4371" s="1">
        <v>7.22E-2</v>
      </c>
      <c r="J4371" s="1">
        <v>0.1474</v>
      </c>
      <c r="K4371" s="1">
        <v>0.72089999999999999</v>
      </c>
    </row>
    <row r="4372" spans="1:12">
      <c r="A4372" t="s">
        <v>209</v>
      </c>
      <c r="B4372">
        <v>74</v>
      </c>
      <c r="C4372" t="s">
        <v>210</v>
      </c>
      <c r="D4372">
        <v>968</v>
      </c>
      <c r="F4372" s="1">
        <v>4.2700000000000002E-2</v>
      </c>
      <c r="H4372" s="1">
        <v>8.3000000000000001E-3</v>
      </c>
      <c r="I4372" s="1">
        <v>1.77E-2</v>
      </c>
      <c r="J4372" s="1">
        <v>0.21360000000000001</v>
      </c>
      <c r="K4372" s="1">
        <v>0.7177</v>
      </c>
    </row>
    <row r="4373" spans="1:12">
      <c r="A4373" t="s">
        <v>209</v>
      </c>
      <c r="B4373">
        <v>97</v>
      </c>
      <c r="C4373" t="s">
        <v>211</v>
      </c>
      <c r="D4373">
        <v>968</v>
      </c>
      <c r="F4373" s="1">
        <v>2.6800000000000001E-2</v>
      </c>
      <c r="G4373" s="1">
        <v>4.1999999999999997E-3</v>
      </c>
      <c r="H4373" s="1">
        <v>9.4299999999999995E-2</v>
      </c>
      <c r="J4373" s="1">
        <v>0.14599999999999999</v>
      </c>
      <c r="K4373" s="1">
        <v>0.72870000000000001</v>
      </c>
    </row>
    <row r="4374" spans="1:12">
      <c r="A4374" t="s">
        <v>209</v>
      </c>
      <c r="B4374">
        <v>85</v>
      </c>
      <c r="C4374" t="s">
        <v>212</v>
      </c>
      <c r="D4374">
        <v>968</v>
      </c>
      <c r="E4374" s="1">
        <v>1.4E-2</v>
      </c>
      <c r="F4374" s="1">
        <v>1.34E-2</v>
      </c>
      <c r="H4374" s="1">
        <v>4.4400000000000002E-2</v>
      </c>
      <c r="J4374" s="1">
        <v>1.89E-2</v>
      </c>
      <c r="K4374" s="1">
        <v>0.9093</v>
      </c>
    </row>
    <row r="4376" spans="1:12">
      <c r="A4376" t="s">
        <v>1013</v>
      </c>
    </row>
    <row r="4377" spans="1:12">
      <c r="A4377" t="s">
        <v>214</v>
      </c>
      <c r="B4377" t="s">
        <v>189</v>
      </c>
      <c r="C4377" t="s">
        <v>195</v>
      </c>
      <c r="D4377" t="s">
        <v>190</v>
      </c>
      <c r="E4377" t="s">
        <v>196</v>
      </c>
      <c r="F4377" t="s">
        <v>228</v>
      </c>
      <c r="G4377" t="s">
        <v>1007</v>
      </c>
      <c r="H4377" t="s">
        <v>1008</v>
      </c>
      <c r="I4377" t="s">
        <v>1009</v>
      </c>
      <c r="J4377" t="s">
        <v>1010</v>
      </c>
      <c r="K4377" t="s">
        <v>1011</v>
      </c>
      <c r="L4377" t="s">
        <v>1012</v>
      </c>
    </row>
    <row r="4378" spans="1:12">
      <c r="A4378" t="s">
        <v>198</v>
      </c>
      <c r="B4378" t="s">
        <v>197</v>
      </c>
      <c r="C4378">
        <v>968</v>
      </c>
      <c r="D4378" t="s">
        <v>198</v>
      </c>
      <c r="E4378">
        <v>968</v>
      </c>
      <c r="F4378" s="1">
        <v>2E-3</v>
      </c>
      <c r="G4378" s="1">
        <v>2.0400000000000001E-2</v>
      </c>
      <c r="H4378" s="1">
        <v>4.8999999999999998E-3</v>
      </c>
      <c r="I4378" s="1">
        <v>2.7699999999999999E-2</v>
      </c>
      <c r="J4378" s="1">
        <v>5.0000000000000001E-3</v>
      </c>
      <c r="K4378" s="1">
        <v>3.8899999999999997E-2</v>
      </c>
      <c r="L4378" s="1">
        <v>0.90110000000000001</v>
      </c>
    </row>
    <row r="4379" spans="1:12">
      <c r="A4379" t="s">
        <v>235</v>
      </c>
      <c r="B4379" t="s">
        <v>204</v>
      </c>
      <c r="C4379">
        <v>63</v>
      </c>
      <c r="D4379" t="s">
        <v>208</v>
      </c>
      <c r="E4379">
        <v>968</v>
      </c>
      <c r="L4379" s="1">
        <v>1</v>
      </c>
    </row>
    <row r="4380" spans="1:12">
      <c r="A4380" t="s">
        <v>236</v>
      </c>
      <c r="B4380" t="s">
        <v>204</v>
      </c>
      <c r="C4380">
        <v>32</v>
      </c>
      <c r="D4380" t="s">
        <v>205</v>
      </c>
      <c r="E4380">
        <v>968</v>
      </c>
      <c r="F4380" s="1">
        <v>1.37E-2</v>
      </c>
      <c r="G4380" s="1">
        <v>4.7600000000000003E-2</v>
      </c>
      <c r="H4380" s="1">
        <v>0.10290000000000001</v>
      </c>
      <c r="I4380" s="1">
        <v>9.8900000000000002E-2</v>
      </c>
      <c r="K4380" s="1">
        <v>0.1404</v>
      </c>
      <c r="L4380" s="1">
        <v>0.59660000000000002</v>
      </c>
    </row>
    <row r="4381" spans="1:12">
      <c r="A4381" t="s">
        <v>235</v>
      </c>
      <c r="B4381" t="s">
        <v>204</v>
      </c>
      <c r="C4381">
        <v>58</v>
      </c>
      <c r="D4381" t="s">
        <v>205</v>
      </c>
      <c r="E4381">
        <v>968</v>
      </c>
      <c r="G4381" s="1">
        <v>1.8499999999999999E-2</v>
      </c>
      <c r="J4381" s="1">
        <v>3.8999999999999998E-3</v>
      </c>
      <c r="K4381" s="1">
        <v>7.7999999999999996E-3</v>
      </c>
      <c r="L4381" s="1">
        <v>0.96989999999999998</v>
      </c>
    </row>
    <row r="4382" spans="1:12" s="26" customFormat="1">
      <c r="A4382" s="26" t="s">
        <v>236</v>
      </c>
      <c r="B4382" s="26" t="s">
        <v>204</v>
      </c>
      <c r="C4382" s="26">
        <v>21</v>
      </c>
      <c r="D4382" s="26" t="s">
        <v>206</v>
      </c>
      <c r="E4382" s="26">
        <v>968</v>
      </c>
      <c r="G4382" s="27">
        <v>4.2799999999999998E-2</v>
      </c>
      <c r="I4382" s="27">
        <v>5.9700000000000003E-2</v>
      </c>
      <c r="K4382" s="27">
        <v>8.5500000000000007E-2</v>
      </c>
      <c r="L4382" s="27">
        <v>0.81189999999999996</v>
      </c>
    </row>
    <row r="4383" spans="1:12">
      <c r="A4383" t="s">
        <v>235</v>
      </c>
      <c r="B4383" t="s">
        <v>204</v>
      </c>
      <c r="C4383">
        <v>47</v>
      </c>
      <c r="D4383" t="s">
        <v>206</v>
      </c>
      <c r="E4383">
        <v>968</v>
      </c>
      <c r="K4383" s="1">
        <v>4.1200000000000001E-2</v>
      </c>
      <c r="L4383" s="1">
        <v>0.95879999999999999</v>
      </c>
    </row>
    <row r="4384" spans="1:12">
      <c r="A4384" t="s">
        <v>236</v>
      </c>
      <c r="B4384" t="s">
        <v>204</v>
      </c>
      <c r="C4384">
        <v>81</v>
      </c>
      <c r="D4384" t="s">
        <v>207</v>
      </c>
      <c r="E4384">
        <v>968</v>
      </c>
      <c r="G4384" s="1">
        <v>3.0599999999999999E-2</v>
      </c>
      <c r="I4384" s="1">
        <v>0.13880000000000001</v>
      </c>
      <c r="J4384" s="1">
        <v>3.7000000000000002E-3</v>
      </c>
      <c r="K4384" s="1">
        <v>0.1497</v>
      </c>
      <c r="L4384" s="1">
        <v>0.67720000000000002</v>
      </c>
    </row>
    <row r="4385" spans="1:12">
      <c r="A4385" t="s">
        <v>235</v>
      </c>
      <c r="B4385" t="s">
        <v>204</v>
      </c>
      <c r="C4385">
        <v>45</v>
      </c>
      <c r="D4385" t="s">
        <v>207</v>
      </c>
      <c r="E4385">
        <v>968</v>
      </c>
      <c r="K4385" s="1">
        <v>5.8999999999999999E-3</v>
      </c>
      <c r="L4385" s="1">
        <v>0.99409999999999998</v>
      </c>
    </row>
    <row r="4386" spans="1:12" s="26" customFormat="1">
      <c r="A4386" s="26" t="s">
        <v>236</v>
      </c>
      <c r="B4386" s="26" t="s">
        <v>204</v>
      </c>
      <c r="C4386" s="26">
        <v>11</v>
      </c>
      <c r="D4386" s="26" t="s">
        <v>208</v>
      </c>
      <c r="E4386" s="26">
        <v>968</v>
      </c>
      <c r="K4386" s="27">
        <v>0.18179999999999999</v>
      </c>
      <c r="L4386" s="27">
        <v>0.81820000000000004</v>
      </c>
    </row>
    <row r="4387" spans="1:12">
      <c r="A4387" t="s">
        <v>235</v>
      </c>
      <c r="B4387" t="s">
        <v>199</v>
      </c>
      <c r="C4387">
        <v>44</v>
      </c>
      <c r="D4387" t="s">
        <v>203</v>
      </c>
      <c r="E4387">
        <v>968</v>
      </c>
      <c r="H4387" s="1">
        <v>1.18E-2</v>
      </c>
      <c r="I4387" s="1">
        <v>2.3699999999999999E-2</v>
      </c>
      <c r="K4387" s="1">
        <v>3.6799999999999999E-2</v>
      </c>
      <c r="L4387" s="1">
        <v>0.92769999999999997</v>
      </c>
    </row>
    <row r="4388" spans="1:12">
      <c r="A4388" t="s">
        <v>236</v>
      </c>
      <c r="B4388" t="s">
        <v>199</v>
      </c>
      <c r="C4388">
        <v>32</v>
      </c>
      <c r="D4388" t="s">
        <v>203</v>
      </c>
      <c r="E4388">
        <v>968</v>
      </c>
      <c r="G4388" s="1">
        <v>9.9199999999999997E-2</v>
      </c>
      <c r="H4388" s="1">
        <v>5.1299999999999998E-2</v>
      </c>
      <c r="I4388" s="1">
        <v>0.16589999999999999</v>
      </c>
      <c r="K4388" s="1">
        <v>0.35970000000000002</v>
      </c>
      <c r="L4388" s="1">
        <v>0.32390000000000002</v>
      </c>
    </row>
    <row r="4389" spans="1:12">
      <c r="A4389" t="s">
        <v>235</v>
      </c>
      <c r="B4389" t="s">
        <v>199</v>
      </c>
      <c r="C4389">
        <v>60</v>
      </c>
      <c r="D4389" t="s">
        <v>202</v>
      </c>
      <c r="E4389">
        <v>968</v>
      </c>
      <c r="G4389" s="1">
        <v>2.3199999999999998E-2</v>
      </c>
      <c r="J4389" s="1">
        <v>2.3599999999999999E-2</v>
      </c>
      <c r="L4389" s="1">
        <v>0.95320000000000005</v>
      </c>
    </row>
    <row r="4390" spans="1:12" s="26" customFormat="1">
      <c r="A4390" s="26" t="s">
        <v>236</v>
      </c>
      <c r="B4390" s="26" t="s">
        <v>199</v>
      </c>
      <c r="C4390" s="26">
        <v>24</v>
      </c>
      <c r="D4390" s="26" t="s">
        <v>200</v>
      </c>
      <c r="E4390" s="26">
        <v>968</v>
      </c>
      <c r="G4390" s="27">
        <v>0.4259</v>
      </c>
      <c r="H4390" s="27">
        <v>3.3999999999999998E-3</v>
      </c>
      <c r="I4390" s="27">
        <v>0.15570000000000001</v>
      </c>
      <c r="K4390" s="27">
        <v>7.8600000000000003E-2</v>
      </c>
      <c r="L4390" s="27">
        <v>0.33650000000000002</v>
      </c>
    </row>
    <row r="4391" spans="1:12">
      <c r="A4391" t="s">
        <v>235</v>
      </c>
      <c r="B4391" t="s">
        <v>199</v>
      </c>
      <c r="C4391">
        <v>46</v>
      </c>
      <c r="D4391" t="s">
        <v>200</v>
      </c>
      <c r="E4391">
        <v>968</v>
      </c>
      <c r="I4391" s="1">
        <v>6.0000000000000001E-3</v>
      </c>
      <c r="K4391" s="1">
        <v>0.1234</v>
      </c>
      <c r="L4391" s="1">
        <v>0.87060000000000004</v>
      </c>
    </row>
    <row r="4392" spans="1:12">
      <c r="A4392" t="s">
        <v>236</v>
      </c>
      <c r="B4392" t="s">
        <v>199</v>
      </c>
      <c r="C4392">
        <v>37</v>
      </c>
      <c r="D4392" t="s">
        <v>202</v>
      </c>
      <c r="E4392">
        <v>968</v>
      </c>
      <c r="G4392" s="1">
        <v>2.9600000000000001E-2</v>
      </c>
      <c r="I4392" s="1">
        <v>1.0200000000000001E-2</v>
      </c>
      <c r="K4392" s="1">
        <v>2.9600000000000001E-2</v>
      </c>
      <c r="L4392" s="1">
        <v>0.93069999999999997</v>
      </c>
    </row>
    <row r="4393" spans="1:12">
      <c r="A4393" t="s">
        <v>235</v>
      </c>
      <c r="B4393" t="s">
        <v>199</v>
      </c>
      <c r="C4393">
        <v>96</v>
      </c>
      <c r="D4393" t="s">
        <v>201</v>
      </c>
      <c r="E4393">
        <v>968</v>
      </c>
      <c r="J4393" s="1">
        <v>1.04E-2</v>
      </c>
      <c r="L4393" s="1">
        <v>0.98960000000000004</v>
      </c>
    </row>
    <row r="4394" spans="1:12">
      <c r="A4394" t="s">
        <v>236</v>
      </c>
      <c r="B4394" t="s">
        <v>209</v>
      </c>
      <c r="C4394">
        <v>39</v>
      </c>
      <c r="D4394" t="s">
        <v>211</v>
      </c>
      <c r="E4394">
        <v>968</v>
      </c>
      <c r="G4394" s="1">
        <v>5.1299999999999998E-2</v>
      </c>
      <c r="I4394" s="1">
        <v>0.17280000000000001</v>
      </c>
      <c r="K4394" s="1">
        <v>0.2737</v>
      </c>
      <c r="L4394" s="1">
        <v>0.50219999999999998</v>
      </c>
    </row>
    <row r="4395" spans="1:12">
      <c r="A4395" t="s">
        <v>235</v>
      </c>
      <c r="B4395" t="s">
        <v>209</v>
      </c>
      <c r="C4395">
        <v>56</v>
      </c>
      <c r="D4395" t="s">
        <v>211</v>
      </c>
      <c r="E4395">
        <v>968</v>
      </c>
      <c r="G4395" s="1">
        <v>1.38E-2</v>
      </c>
      <c r="H4395" s="1">
        <v>6.8999999999999999E-3</v>
      </c>
      <c r="I4395" s="1">
        <v>5.3100000000000001E-2</v>
      </c>
      <c r="K4395" s="1">
        <v>7.8600000000000003E-2</v>
      </c>
      <c r="L4395" s="1">
        <v>0.84760000000000002</v>
      </c>
    </row>
    <row r="4396" spans="1:12">
      <c r="A4396" t="s">
        <v>235</v>
      </c>
      <c r="B4396" t="s">
        <v>209</v>
      </c>
      <c r="C4396">
        <v>67</v>
      </c>
      <c r="D4396" t="s">
        <v>212</v>
      </c>
      <c r="E4396">
        <v>968</v>
      </c>
      <c r="F4396" s="1">
        <v>1.6199999999999999E-2</v>
      </c>
      <c r="G4396" s="1">
        <v>1.5599999999999999E-2</v>
      </c>
      <c r="I4396" s="1">
        <v>2.8E-3</v>
      </c>
      <c r="K4396" s="1">
        <v>1.6199999999999999E-2</v>
      </c>
      <c r="L4396" s="1">
        <v>0.94910000000000005</v>
      </c>
    </row>
    <row r="4397" spans="1:12" s="26" customFormat="1">
      <c r="A4397" s="26" t="s">
        <v>236</v>
      </c>
      <c r="B4397" s="26" t="s">
        <v>209</v>
      </c>
      <c r="C4397" s="26">
        <v>18</v>
      </c>
      <c r="D4397" s="26" t="s">
        <v>212</v>
      </c>
      <c r="E4397" s="26">
        <v>968</v>
      </c>
      <c r="I4397" s="27">
        <v>0.30409999999999998</v>
      </c>
      <c r="K4397" s="27">
        <v>3.5499999999999997E-2</v>
      </c>
      <c r="L4397" s="27">
        <v>0.66049999999999998</v>
      </c>
    </row>
    <row r="4398" spans="1:12">
      <c r="A4398" t="s">
        <v>236</v>
      </c>
      <c r="B4398" t="s">
        <v>209</v>
      </c>
      <c r="C4398">
        <v>38</v>
      </c>
      <c r="D4398" t="s">
        <v>210</v>
      </c>
      <c r="E4398">
        <v>968</v>
      </c>
      <c r="G4398" s="1">
        <v>4.07E-2</v>
      </c>
      <c r="K4398" s="1">
        <v>0.47970000000000002</v>
      </c>
      <c r="L4398" s="1">
        <v>0.47970000000000002</v>
      </c>
    </row>
    <row r="4399" spans="1:12">
      <c r="A4399" t="s">
        <v>235</v>
      </c>
      <c r="B4399" t="s">
        <v>209</v>
      </c>
      <c r="C4399">
        <v>32</v>
      </c>
      <c r="D4399" t="s">
        <v>210</v>
      </c>
      <c r="E4399">
        <v>968</v>
      </c>
      <c r="I4399" s="1">
        <v>1.5299999999999999E-2</v>
      </c>
      <c r="J4399" s="1">
        <v>3.2300000000000002E-2</v>
      </c>
      <c r="L4399" s="1">
        <v>0.95240000000000002</v>
      </c>
    </row>
    <row r="4401" spans="1:12">
      <c r="A4401" t="s">
        <v>1014</v>
      </c>
    </row>
    <row r="4402" spans="1:12">
      <c r="A4402" t="s">
        <v>189</v>
      </c>
      <c r="B4402" t="s">
        <v>195</v>
      </c>
      <c r="C4402" t="s">
        <v>190</v>
      </c>
      <c r="D4402" t="s">
        <v>196</v>
      </c>
      <c r="E4402" t="s">
        <v>228</v>
      </c>
      <c r="F4402" t="s">
        <v>1015</v>
      </c>
      <c r="G4402" t="s">
        <v>1016</v>
      </c>
      <c r="H4402" t="s">
        <v>1017</v>
      </c>
      <c r="I4402" t="s">
        <v>1018</v>
      </c>
      <c r="J4402" t="s">
        <v>1019</v>
      </c>
      <c r="K4402" t="s">
        <v>1020</v>
      </c>
      <c r="L4402" t="s">
        <v>1021</v>
      </c>
    </row>
    <row r="4403" spans="1:12">
      <c r="A4403" t="s">
        <v>197</v>
      </c>
      <c r="B4403">
        <v>386</v>
      </c>
      <c r="C4403" t="s">
        <v>198</v>
      </c>
      <c r="D4403">
        <v>386</v>
      </c>
      <c r="E4403" s="1">
        <v>7.7999999999999996E-3</v>
      </c>
      <c r="F4403" s="1">
        <v>0.3085</v>
      </c>
      <c r="G4403" s="1">
        <v>0.55910000000000004</v>
      </c>
      <c r="H4403" s="1">
        <v>3.8E-3</v>
      </c>
      <c r="I4403" s="1">
        <v>2.5999999999999999E-3</v>
      </c>
      <c r="J4403" s="1">
        <v>0.1119</v>
      </c>
      <c r="K4403" s="1">
        <v>2.3E-3</v>
      </c>
      <c r="L4403" s="1">
        <v>3.8999999999999998E-3</v>
      </c>
    </row>
    <row r="4404" spans="1:12">
      <c r="A4404" t="s">
        <v>204</v>
      </c>
      <c r="B4404">
        <v>41</v>
      </c>
      <c r="C4404" t="s">
        <v>205</v>
      </c>
      <c r="D4404">
        <v>386</v>
      </c>
      <c r="F4404" s="1">
        <v>0.31130000000000002</v>
      </c>
      <c r="G4404" s="1">
        <v>0.58679999999999999</v>
      </c>
      <c r="J4404" s="1">
        <v>0.1019</v>
      </c>
    </row>
    <row r="4405" spans="1:12" s="26" customFormat="1">
      <c r="A4405" s="26" t="s">
        <v>204</v>
      </c>
      <c r="B4405" s="26">
        <v>27</v>
      </c>
      <c r="C4405" s="26" t="s">
        <v>206</v>
      </c>
      <c r="D4405" s="26">
        <v>386</v>
      </c>
      <c r="F4405" s="27">
        <v>0.39369999999999999</v>
      </c>
      <c r="G4405" s="27">
        <v>0.54179999999999995</v>
      </c>
      <c r="J4405" s="27">
        <v>6.4600000000000005E-2</v>
      </c>
    </row>
    <row r="4406" spans="1:12">
      <c r="A4406" t="s">
        <v>204</v>
      </c>
      <c r="B4406">
        <v>61</v>
      </c>
      <c r="C4406" t="s">
        <v>207</v>
      </c>
      <c r="D4406">
        <v>386</v>
      </c>
      <c r="E4406" s="1">
        <v>2.6100000000000002E-2</v>
      </c>
      <c r="F4406" s="1">
        <v>0.44159999999999999</v>
      </c>
      <c r="G4406" s="1">
        <v>0.31440000000000001</v>
      </c>
      <c r="J4406" s="1">
        <v>0.2039</v>
      </c>
      <c r="K4406" s="1">
        <v>8.5000000000000006E-3</v>
      </c>
      <c r="L4406" s="1">
        <v>5.4999999999999997E-3</v>
      </c>
    </row>
    <row r="4407" spans="1:12" s="26" customFormat="1">
      <c r="A4407" s="26" t="s">
        <v>204</v>
      </c>
      <c r="B4407" s="26">
        <v>22</v>
      </c>
      <c r="C4407" s="26" t="s">
        <v>208</v>
      </c>
      <c r="D4407" s="26">
        <v>386</v>
      </c>
      <c r="F4407" s="27">
        <v>0.13639999999999999</v>
      </c>
      <c r="G4407" s="27">
        <v>0.63639999999999997</v>
      </c>
      <c r="J4407" s="27">
        <v>0.2273</v>
      </c>
    </row>
    <row r="4408" spans="1:12">
      <c r="A4408" t="s">
        <v>199</v>
      </c>
      <c r="B4408">
        <v>59</v>
      </c>
      <c r="C4408" t="s">
        <v>200</v>
      </c>
      <c r="D4408">
        <v>386</v>
      </c>
      <c r="E4408" s="1">
        <v>2.2000000000000001E-3</v>
      </c>
      <c r="F4408" s="1">
        <v>0.2999</v>
      </c>
      <c r="G4408" s="1">
        <v>0.59099999999999997</v>
      </c>
      <c r="H4408" s="1">
        <v>2.1600000000000001E-2</v>
      </c>
      <c r="J4408" s="1">
        <v>8.5400000000000004E-2</v>
      </c>
    </row>
    <row r="4409" spans="1:12" s="26" customFormat="1">
      <c r="A4409" s="26" t="s">
        <v>199</v>
      </c>
      <c r="B4409" s="26">
        <v>1</v>
      </c>
      <c r="C4409" s="26" t="s">
        <v>201</v>
      </c>
      <c r="D4409" s="26">
        <v>386</v>
      </c>
      <c r="G4409" s="27">
        <v>1</v>
      </c>
    </row>
    <row r="4410" spans="1:12" s="26" customFormat="1">
      <c r="A4410" s="26" t="s">
        <v>199</v>
      </c>
      <c r="B4410" s="26">
        <v>27</v>
      </c>
      <c r="C4410" s="26" t="s">
        <v>202</v>
      </c>
      <c r="D4410" s="26">
        <v>386</v>
      </c>
      <c r="F4410" s="27">
        <v>0.35720000000000002</v>
      </c>
      <c r="G4410" s="27">
        <v>0.57840000000000003</v>
      </c>
      <c r="I4410" s="27">
        <v>1.55E-2</v>
      </c>
      <c r="J4410" s="27">
        <v>4.8899999999999999E-2</v>
      </c>
    </row>
    <row r="4411" spans="1:12">
      <c r="A4411" t="s">
        <v>199</v>
      </c>
      <c r="B4411">
        <v>43</v>
      </c>
      <c r="C4411" t="s">
        <v>203</v>
      </c>
      <c r="D4411">
        <v>386</v>
      </c>
      <c r="E4411" s="1">
        <v>3.2300000000000002E-2</v>
      </c>
      <c r="F4411" s="1">
        <v>0.1928</v>
      </c>
      <c r="G4411" s="1">
        <v>0.58389999999999997</v>
      </c>
      <c r="H4411" s="1">
        <v>1.7899999999999999E-2</v>
      </c>
      <c r="J4411" s="1">
        <v>0.13730000000000001</v>
      </c>
      <c r="L4411" s="1">
        <v>3.5799999999999998E-2</v>
      </c>
    </row>
    <row r="4412" spans="1:12">
      <c r="A4412" t="s">
        <v>209</v>
      </c>
      <c r="B4412">
        <v>32</v>
      </c>
      <c r="C4412" t="s">
        <v>210</v>
      </c>
      <c r="D4412">
        <v>386</v>
      </c>
      <c r="F4412" s="1">
        <v>0.1633</v>
      </c>
      <c r="G4412" s="1">
        <v>0.76629999999999998</v>
      </c>
      <c r="J4412" s="1">
        <v>2.2599999999999999E-2</v>
      </c>
      <c r="L4412" s="1">
        <v>4.7800000000000002E-2</v>
      </c>
    </row>
    <row r="4413" spans="1:12">
      <c r="A4413" t="s">
        <v>209</v>
      </c>
      <c r="B4413">
        <v>55</v>
      </c>
      <c r="C4413" t="s">
        <v>211</v>
      </c>
      <c r="D4413">
        <v>386</v>
      </c>
      <c r="E4413" s="1">
        <v>8.5000000000000006E-3</v>
      </c>
      <c r="F4413" s="1">
        <v>0.28720000000000001</v>
      </c>
      <c r="G4413" s="1">
        <v>0.60750000000000004</v>
      </c>
      <c r="H4413" s="1">
        <v>8.5000000000000006E-3</v>
      </c>
      <c r="J4413" s="1">
        <v>7.9899999999999999E-2</v>
      </c>
      <c r="K4413" s="1">
        <v>8.5000000000000006E-3</v>
      </c>
    </row>
    <row r="4414" spans="1:12" s="26" customFormat="1">
      <c r="A4414" s="26" t="s">
        <v>209</v>
      </c>
      <c r="B4414" s="26">
        <v>18</v>
      </c>
      <c r="C4414" s="26" t="s">
        <v>212</v>
      </c>
      <c r="D4414" s="26">
        <v>386</v>
      </c>
      <c r="F4414" s="27">
        <v>0.2321</v>
      </c>
      <c r="G4414" s="27">
        <v>0.75149999999999995</v>
      </c>
      <c r="J4414" s="27">
        <v>1.6400000000000001E-2</v>
      </c>
    </row>
    <row r="4416" spans="1:12">
      <c r="A4416" t="s">
        <v>1022</v>
      </c>
    </row>
    <row r="4417" spans="1:13">
      <c r="A4417" t="s">
        <v>214</v>
      </c>
      <c r="B4417" t="s">
        <v>189</v>
      </c>
      <c r="C4417" t="s">
        <v>195</v>
      </c>
      <c r="D4417" t="s">
        <v>190</v>
      </c>
      <c r="E4417" t="s">
        <v>196</v>
      </c>
      <c r="F4417" t="s">
        <v>228</v>
      </c>
      <c r="G4417" t="s">
        <v>1015</v>
      </c>
      <c r="H4417" t="s">
        <v>1016</v>
      </c>
      <c r="I4417" t="s">
        <v>1017</v>
      </c>
      <c r="J4417" t="s">
        <v>1018</v>
      </c>
      <c r="K4417" t="s">
        <v>1019</v>
      </c>
      <c r="L4417" t="s">
        <v>1020</v>
      </c>
      <c r="M4417" t="s">
        <v>1021</v>
      </c>
    </row>
    <row r="4418" spans="1:13">
      <c r="A4418" t="s">
        <v>198</v>
      </c>
      <c r="B4418" t="s">
        <v>197</v>
      </c>
      <c r="C4418">
        <v>386</v>
      </c>
      <c r="D4418" t="s">
        <v>198</v>
      </c>
      <c r="E4418">
        <v>386</v>
      </c>
      <c r="F4418" s="1">
        <v>7.7999999999999996E-3</v>
      </c>
      <c r="G4418" s="1">
        <v>0.3085</v>
      </c>
      <c r="H4418" s="1">
        <v>0.55910000000000004</v>
      </c>
      <c r="I4418" s="1">
        <v>3.8E-3</v>
      </c>
      <c r="J4418" s="1">
        <v>2.5999999999999999E-3</v>
      </c>
      <c r="K4418" s="1">
        <v>0.1119</v>
      </c>
      <c r="L4418" s="1">
        <v>2.3E-3</v>
      </c>
      <c r="M4418" s="1">
        <v>3.8999999999999998E-3</v>
      </c>
    </row>
    <row r="4419" spans="1:13" s="26" customFormat="1">
      <c r="A4419" s="26" t="s">
        <v>236</v>
      </c>
      <c r="B4419" s="26" t="s">
        <v>204</v>
      </c>
      <c r="C4419" s="26">
        <v>10</v>
      </c>
      <c r="D4419" s="26" t="s">
        <v>208</v>
      </c>
      <c r="E4419" s="26">
        <v>386</v>
      </c>
      <c r="G4419" s="27">
        <v>0.2</v>
      </c>
      <c r="H4419" s="27">
        <v>0.7</v>
      </c>
      <c r="K4419" s="27">
        <v>0.1</v>
      </c>
    </row>
    <row r="4420" spans="1:13" s="26" customFormat="1">
      <c r="A4420" s="26" t="s">
        <v>236</v>
      </c>
      <c r="B4420" s="26" t="s">
        <v>204</v>
      </c>
      <c r="C4420" s="26">
        <v>24</v>
      </c>
      <c r="D4420" s="26" t="s">
        <v>205</v>
      </c>
      <c r="E4420" s="26">
        <v>386</v>
      </c>
      <c r="G4420" s="27">
        <v>0.53620000000000001</v>
      </c>
      <c r="H4420" s="27">
        <v>0.46379999999999999</v>
      </c>
    </row>
    <row r="4421" spans="1:13" s="26" customFormat="1">
      <c r="A4421" s="26" t="s">
        <v>235</v>
      </c>
      <c r="B4421" s="26" t="s">
        <v>204</v>
      </c>
      <c r="C4421" s="26">
        <v>16</v>
      </c>
      <c r="D4421" s="26" t="s">
        <v>205</v>
      </c>
      <c r="E4421" s="26">
        <v>386</v>
      </c>
      <c r="G4421" s="27">
        <v>0.1182</v>
      </c>
      <c r="H4421" s="27">
        <v>0.68820000000000003</v>
      </c>
      <c r="K4421" s="27">
        <v>0.19359999999999999</v>
      </c>
    </row>
    <row r="4422" spans="1:13" s="26" customFormat="1">
      <c r="A4422" s="26" t="s">
        <v>236</v>
      </c>
      <c r="B4422" s="26" t="s">
        <v>204</v>
      </c>
      <c r="C4422" s="26">
        <v>12</v>
      </c>
      <c r="D4422" s="26" t="s">
        <v>206</v>
      </c>
      <c r="E4422" s="26">
        <v>386</v>
      </c>
      <c r="G4422" s="27">
        <v>0.59089999999999998</v>
      </c>
      <c r="H4422" s="27">
        <v>0.40910000000000002</v>
      </c>
    </row>
    <row r="4423" spans="1:13" s="26" customFormat="1">
      <c r="A4423" s="26" t="s">
        <v>235</v>
      </c>
      <c r="B4423" s="26" t="s">
        <v>204</v>
      </c>
      <c r="C4423" s="26">
        <v>13</v>
      </c>
      <c r="D4423" s="26" t="s">
        <v>206</v>
      </c>
      <c r="E4423" s="26">
        <v>386</v>
      </c>
      <c r="G4423" s="27">
        <v>0.2787</v>
      </c>
      <c r="H4423" s="27">
        <v>0.72130000000000005</v>
      </c>
    </row>
    <row r="4424" spans="1:13">
      <c r="A4424" t="s">
        <v>236</v>
      </c>
      <c r="B4424" t="s">
        <v>204</v>
      </c>
      <c r="C4424">
        <v>49</v>
      </c>
      <c r="D4424" t="s">
        <v>207</v>
      </c>
      <c r="E4424">
        <v>386</v>
      </c>
      <c r="F4424" s="1">
        <v>2.8899999999999999E-2</v>
      </c>
      <c r="G4424" s="1">
        <v>0.46920000000000001</v>
      </c>
      <c r="H4424" s="1">
        <v>0.26989999999999997</v>
      </c>
      <c r="K4424" s="1">
        <v>0.2165</v>
      </c>
      <c r="L4424" s="1">
        <v>9.4000000000000004E-3</v>
      </c>
      <c r="M4424" s="1">
        <v>6.1000000000000004E-3</v>
      </c>
    </row>
    <row r="4425" spans="1:13" s="26" customFormat="1">
      <c r="A4425" s="26" t="s">
        <v>235</v>
      </c>
      <c r="B4425" s="26" t="s">
        <v>204</v>
      </c>
      <c r="C4425" s="26">
        <v>9</v>
      </c>
      <c r="D4425" s="26" t="s">
        <v>207</v>
      </c>
      <c r="E4425" s="26">
        <v>386</v>
      </c>
      <c r="G4425" s="27">
        <v>0.27350000000000002</v>
      </c>
      <c r="H4425" s="27">
        <v>0.59860000000000002</v>
      </c>
      <c r="K4425" s="27">
        <v>0.128</v>
      </c>
    </row>
    <row r="4426" spans="1:13" s="26" customFormat="1">
      <c r="A4426" s="26" t="s">
        <v>235</v>
      </c>
      <c r="B4426" s="26" t="s">
        <v>204</v>
      </c>
      <c r="C4426" s="26">
        <v>12</v>
      </c>
      <c r="D4426" s="26" t="s">
        <v>208</v>
      </c>
      <c r="E4426" s="26">
        <v>386</v>
      </c>
      <c r="G4426" s="27">
        <v>8.3299999999999999E-2</v>
      </c>
      <c r="H4426" s="27">
        <v>0.58330000000000004</v>
      </c>
      <c r="K4426" s="27">
        <v>0.33329999999999999</v>
      </c>
    </row>
    <row r="4427" spans="1:13" s="26" customFormat="1">
      <c r="A4427" s="26" t="s">
        <v>236</v>
      </c>
      <c r="B4427" s="26" t="s">
        <v>199</v>
      </c>
      <c r="C4427" s="26">
        <v>23</v>
      </c>
      <c r="D4427" s="26" t="s">
        <v>203</v>
      </c>
      <c r="E4427" s="26">
        <v>386</v>
      </c>
      <c r="F4427" s="27">
        <v>0.03</v>
      </c>
      <c r="G4427" s="27">
        <v>0.25209999999999999</v>
      </c>
      <c r="H4427" s="27">
        <v>0.54259999999999997</v>
      </c>
      <c r="K4427" s="27">
        <v>0.1086</v>
      </c>
      <c r="M4427" s="27">
        <v>6.6699999999999995E-2</v>
      </c>
    </row>
    <row r="4428" spans="1:13" s="26" customFormat="1">
      <c r="A4428" s="26" t="s">
        <v>235</v>
      </c>
      <c r="B4428" s="26" t="s">
        <v>199</v>
      </c>
      <c r="C4428" s="26">
        <v>20</v>
      </c>
      <c r="D4428" s="26" t="s">
        <v>203</v>
      </c>
      <c r="E4428" s="26">
        <v>386</v>
      </c>
      <c r="F4428" s="27">
        <v>3.49E-2</v>
      </c>
      <c r="G4428" s="27">
        <v>0.124</v>
      </c>
      <c r="H4428" s="27">
        <v>0.63170000000000004</v>
      </c>
      <c r="I4428" s="27">
        <v>3.8699999999999998E-2</v>
      </c>
      <c r="K4428" s="27">
        <v>0.17069999999999999</v>
      </c>
    </row>
    <row r="4429" spans="1:13" s="26" customFormat="1">
      <c r="A4429" s="26" t="s">
        <v>235</v>
      </c>
      <c r="B4429" s="26" t="s">
        <v>199</v>
      </c>
      <c r="C4429" s="26">
        <v>8</v>
      </c>
      <c r="D4429" s="26" t="s">
        <v>202</v>
      </c>
      <c r="E4429" s="26">
        <v>386</v>
      </c>
      <c r="G4429" s="27">
        <v>0.43990000000000001</v>
      </c>
      <c r="H4429" s="27">
        <v>0.56010000000000004</v>
      </c>
    </row>
    <row r="4430" spans="1:13">
      <c r="A4430" t="s">
        <v>235</v>
      </c>
      <c r="B4430" t="s">
        <v>199</v>
      </c>
      <c r="C4430">
        <v>33</v>
      </c>
      <c r="D4430" t="s">
        <v>200</v>
      </c>
      <c r="E4430">
        <v>386</v>
      </c>
      <c r="F4430" s="1">
        <v>6.7000000000000002E-3</v>
      </c>
      <c r="G4430" s="1">
        <v>0.2364</v>
      </c>
      <c r="H4430" s="1">
        <v>0.50080000000000002</v>
      </c>
      <c r="K4430" s="1">
        <v>0.25609999999999999</v>
      </c>
    </row>
    <row r="4431" spans="1:13" s="26" customFormat="1">
      <c r="A4431" s="26" t="s">
        <v>236</v>
      </c>
      <c r="B4431" s="26" t="s">
        <v>199</v>
      </c>
      <c r="C4431" s="26">
        <v>24</v>
      </c>
      <c r="D4431" s="26" t="s">
        <v>200</v>
      </c>
      <c r="E4431" s="26">
        <v>386</v>
      </c>
      <c r="G4431" s="27">
        <v>0.33379999999999999</v>
      </c>
      <c r="H4431" s="27">
        <v>0.63360000000000005</v>
      </c>
      <c r="I4431" s="27">
        <v>3.2599999999999997E-2</v>
      </c>
    </row>
    <row r="4432" spans="1:13" s="26" customFormat="1">
      <c r="A4432" s="26" t="s">
        <v>236</v>
      </c>
      <c r="B4432" s="26" t="s">
        <v>199</v>
      </c>
      <c r="C4432" s="26">
        <v>19</v>
      </c>
      <c r="D4432" s="26" t="s">
        <v>202</v>
      </c>
      <c r="E4432" s="26">
        <v>386</v>
      </c>
      <c r="G4432" s="27">
        <v>0.32840000000000003</v>
      </c>
      <c r="H4432" s="27">
        <v>0.58479999999999999</v>
      </c>
      <c r="J4432" s="27">
        <v>2.0899999999999998E-2</v>
      </c>
      <c r="K4432" s="27">
        <v>6.59E-2</v>
      </c>
    </row>
    <row r="4433" spans="1:13" s="26" customFormat="1">
      <c r="A4433" s="26" t="s">
        <v>235</v>
      </c>
      <c r="B4433" s="26" t="s">
        <v>199</v>
      </c>
      <c r="C4433" s="26">
        <v>1</v>
      </c>
      <c r="D4433" s="26" t="s">
        <v>201</v>
      </c>
      <c r="E4433" s="26">
        <v>386</v>
      </c>
      <c r="H4433" s="27">
        <v>1</v>
      </c>
    </row>
    <row r="4434" spans="1:13">
      <c r="A4434" t="s">
        <v>236</v>
      </c>
      <c r="B4434" t="s">
        <v>209</v>
      </c>
      <c r="C4434">
        <v>34</v>
      </c>
      <c r="D4434" t="s">
        <v>211</v>
      </c>
      <c r="E4434">
        <v>386</v>
      </c>
      <c r="F4434" s="1">
        <v>1.43E-2</v>
      </c>
      <c r="G4434" s="1">
        <v>0.34110000000000001</v>
      </c>
      <c r="H4434" s="1">
        <v>0.53280000000000005</v>
      </c>
      <c r="I4434" s="1">
        <v>1.43E-2</v>
      </c>
      <c r="K4434" s="1">
        <v>8.3400000000000002E-2</v>
      </c>
      <c r="L4434" s="1">
        <v>1.43E-2</v>
      </c>
    </row>
    <row r="4435" spans="1:13" s="26" customFormat="1">
      <c r="A4435" s="26" t="s">
        <v>235</v>
      </c>
      <c r="B4435" s="26" t="s">
        <v>209</v>
      </c>
      <c r="C4435" s="26">
        <v>21</v>
      </c>
      <c r="D4435" s="26" t="s">
        <v>211</v>
      </c>
      <c r="E4435" s="26">
        <v>386</v>
      </c>
      <c r="G4435" s="27">
        <v>0.20860000000000001</v>
      </c>
      <c r="H4435" s="27">
        <v>0.71650000000000003</v>
      </c>
      <c r="K4435" s="27">
        <v>7.4899999999999994E-2</v>
      </c>
    </row>
    <row r="4436" spans="1:13" s="26" customFormat="1">
      <c r="A4436" s="26" t="s">
        <v>235</v>
      </c>
      <c r="B4436" s="26" t="s">
        <v>209</v>
      </c>
      <c r="C4436" s="26">
        <v>9</v>
      </c>
      <c r="D4436" s="26" t="s">
        <v>212</v>
      </c>
      <c r="E4436" s="26">
        <v>386</v>
      </c>
      <c r="G4436" s="27">
        <v>0.28089999999999998</v>
      </c>
      <c r="H4436" s="27">
        <v>0.71909999999999996</v>
      </c>
    </row>
    <row r="4437" spans="1:13" s="26" customFormat="1">
      <c r="A4437" s="26" t="s">
        <v>236</v>
      </c>
      <c r="B4437" s="26" t="s">
        <v>209</v>
      </c>
      <c r="C4437" s="26">
        <v>9</v>
      </c>
      <c r="D4437" s="26" t="s">
        <v>212</v>
      </c>
      <c r="E4437" s="26">
        <v>386</v>
      </c>
      <c r="G4437" s="27">
        <v>0.14000000000000001</v>
      </c>
      <c r="H4437" s="27">
        <v>0.81269999999999998</v>
      </c>
      <c r="K4437" s="27">
        <v>4.7300000000000002E-2</v>
      </c>
    </row>
    <row r="4438" spans="1:13" s="26" customFormat="1">
      <c r="A4438" s="26" t="s">
        <v>236</v>
      </c>
      <c r="B4438" s="26" t="s">
        <v>209</v>
      </c>
      <c r="C4438" s="26">
        <v>24</v>
      </c>
      <c r="D4438" s="26" t="s">
        <v>210</v>
      </c>
      <c r="E4438" s="26">
        <v>386</v>
      </c>
      <c r="G4438" s="27">
        <v>0.17299999999999999</v>
      </c>
      <c r="H4438" s="27">
        <v>0.79320000000000002</v>
      </c>
      <c r="K4438" s="27">
        <v>3.3799999999999997E-2</v>
      </c>
    </row>
    <row r="4439" spans="1:13" s="26" customFormat="1">
      <c r="A4439" s="26" t="s">
        <v>235</v>
      </c>
      <c r="B4439" s="26" t="s">
        <v>209</v>
      </c>
      <c r="C4439" s="26">
        <v>5</v>
      </c>
      <c r="D4439" s="26" t="s">
        <v>210</v>
      </c>
      <c r="E4439" s="26">
        <v>386</v>
      </c>
      <c r="G4439" s="27">
        <v>0.2</v>
      </c>
      <c r="H4439" s="27">
        <v>0.6</v>
      </c>
      <c r="M4439" s="27">
        <v>0.2</v>
      </c>
    </row>
    <row r="4441" spans="1:13">
      <c r="A4441" t="s">
        <v>1023</v>
      </c>
    </row>
    <row r="4442" spans="1:13">
      <c r="A4442" t="s">
        <v>189</v>
      </c>
      <c r="B4442" t="s">
        <v>195</v>
      </c>
      <c r="C4442" t="s">
        <v>190</v>
      </c>
      <c r="D4442" t="s">
        <v>196</v>
      </c>
      <c r="E4442" t="s">
        <v>228</v>
      </c>
      <c r="F4442" t="s">
        <v>215</v>
      </c>
      <c r="G4442" t="s">
        <v>223</v>
      </c>
      <c r="H4442" t="s">
        <v>216</v>
      </c>
    </row>
    <row r="4443" spans="1:13">
      <c r="A4443" t="s">
        <v>197</v>
      </c>
      <c r="B4443">
        <v>968</v>
      </c>
      <c r="C4443" t="s">
        <v>198</v>
      </c>
      <c r="D4443">
        <v>968</v>
      </c>
      <c r="E4443" s="1">
        <v>2.2800000000000001E-2</v>
      </c>
      <c r="F4443" s="1">
        <v>0.46360000000000001</v>
      </c>
      <c r="G4443" s="1">
        <v>7.1999999999999998E-3</v>
      </c>
      <c r="H4443" s="1">
        <v>0.50629999999999997</v>
      </c>
    </row>
    <row r="4444" spans="1:13">
      <c r="A4444" t="s">
        <v>204</v>
      </c>
      <c r="B4444">
        <v>91</v>
      </c>
      <c r="C4444" t="s">
        <v>205</v>
      </c>
      <c r="D4444">
        <v>968</v>
      </c>
      <c r="E4444" s="1">
        <v>5.5999999999999999E-3</v>
      </c>
      <c r="F4444" s="1">
        <v>0.45610000000000001</v>
      </c>
      <c r="G4444" s="1">
        <v>2.3999999999999998E-3</v>
      </c>
      <c r="H4444" s="1">
        <v>0.53590000000000004</v>
      </c>
    </row>
    <row r="4445" spans="1:13">
      <c r="A4445" t="s">
        <v>204</v>
      </c>
      <c r="B4445">
        <v>72</v>
      </c>
      <c r="C4445" t="s">
        <v>206</v>
      </c>
      <c r="D4445">
        <v>968</v>
      </c>
      <c r="E4445" s="1">
        <v>1.6299999999999999E-2</v>
      </c>
      <c r="F4445" s="1">
        <v>0.4698</v>
      </c>
      <c r="H4445" s="1">
        <v>0.51400000000000001</v>
      </c>
    </row>
    <row r="4446" spans="1:13">
      <c r="A4446" t="s">
        <v>204</v>
      </c>
      <c r="B4446">
        <v>131</v>
      </c>
      <c r="C4446" t="s">
        <v>207</v>
      </c>
      <c r="D4446">
        <v>968</v>
      </c>
      <c r="E4446" s="1">
        <v>4.5499999999999999E-2</v>
      </c>
      <c r="F4446" s="1">
        <v>0.47010000000000002</v>
      </c>
      <c r="G4446" s="1">
        <v>8.5000000000000006E-3</v>
      </c>
      <c r="H4446" s="1">
        <v>0.47599999999999998</v>
      </c>
    </row>
    <row r="4447" spans="1:13">
      <c r="A4447" t="s">
        <v>204</v>
      </c>
      <c r="B4447">
        <v>74</v>
      </c>
      <c r="C4447" t="s">
        <v>208</v>
      </c>
      <c r="D4447">
        <v>968</v>
      </c>
      <c r="E4447" s="1">
        <v>4.0500000000000001E-2</v>
      </c>
      <c r="F4447" s="1">
        <v>0.32429999999999998</v>
      </c>
      <c r="G4447" s="1">
        <v>1.35E-2</v>
      </c>
      <c r="H4447" s="1">
        <v>0.62160000000000004</v>
      </c>
    </row>
    <row r="4448" spans="1:13">
      <c r="A4448" t="s">
        <v>199</v>
      </c>
      <c r="B4448">
        <v>73</v>
      </c>
      <c r="C4448" t="s">
        <v>200</v>
      </c>
      <c r="D4448">
        <v>968</v>
      </c>
      <c r="F4448" s="1">
        <v>0.31769999999999998</v>
      </c>
      <c r="H4448" s="1">
        <v>0.68230000000000002</v>
      </c>
    </row>
    <row r="4449" spans="1:9">
      <c r="A4449" t="s">
        <v>199</v>
      </c>
      <c r="B4449">
        <v>96</v>
      </c>
      <c r="C4449" t="s">
        <v>201</v>
      </c>
      <c r="D4449">
        <v>968</v>
      </c>
      <c r="E4449" s="1">
        <v>1.04E-2</v>
      </c>
      <c r="F4449" s="1">
        <v>0.55210000000000004</v>
      </c>
      <c r="H4449" s="1">
        <v>0.4375</v>
      </c>
    </row>
    <row r="4450" spans="1:9">
      <c r="A4450" t="s">
        <v>199</v>
      </c>
      <c r="B4450">
        <v>98</v>
      </c>
      <c r="C4450" t="s">
        <v>202</v>
      </c>
      <c r="D4450">
        <v>968</v>
      </c>
      <c r="E4450" s="1">
        <v>3.4299999999999997E-2</v>
      </c>
      <c r="F4450" s="1">
        <v>0.48620000000000002</v>
      </c>
      <c r="G4450" s="1">
        <v>1.8100000000000002E-2</v>
      </c>
      <c r="H4450" s="1">
        <v>0.46150000000000002</v>
      </c>
    </row>
    <row r="4451" spans="1:9">
      <c r="A4451" t="s">
        <v>199</v>
      </c>
      <c r="B4451">
        <v>77</v>
      </c>
      <c r="C4451" t="s">
        <v>203</v>
      </c>
      <c r="D4451">
        <v>968</v>
      </c>
      <c r="F4451" s="1">
        <v>0.40150000000000002</v>
      </c>
      <c r="G4451" s="1">
        <v>9.4999999999999998E-3</v>
      </c>
      <c r="H4451" s="1">
        <v>0.58899999999999997</v>
      </c>
    </row>
    <row r="4452" spans="1:9">
      <c r="A4452" t="s">
        <v>209</v>
      </c>
      <c r="B4452">
        <v>74</v>
      </c>
      <c r="C4452" t="s">
        <v>210</v>
      </c>
      <c r="D4452">
        <v>968</v>
      </c>
      <c r="E4452" s="1">
        <v>1.77E-2</v>
      </c>
      <c r="F4452" s="1">
        <v>0.50470000000000004</v>
      </c>
      <c r="H4452" s="1">
        <v>0.47770000000000001</v>
      </c>
    </row>
    <row r="4453" spans="1:9">
      <c r="A4453" t="s">
        <v>209</v>
      </c>
      <c r="B4453">
        <v>97</v>
      </c>
      <c r="C4453" t="s">
        <v>211</v>
      </c>
      <c r="D4453">
        <v>968</v>
      </c>
      <c r="E4453" s="1">
        <v>3.61E-2</v>
      </c>
      <c r="F4453" s="1">
        <v>0.4511</v>
      </c>
      <c r="H4453" s="1">
        <v>0.51280000000000003</v>
      </c>
    </row>
    <row r="4454" spans="1:9">
      <c r="A4454" t="s">
        <v>209</v>
      </c>
      <c r="B4454">
        <v>85</v>
      </c>
      <c r="C4454" t="s">
        <v>212</v>
      </c>
      <c r="D4454">
        <v>968</v>
      </c>
      <c r="E4454" s="1">
        <v>2.7900000000000001E-2</v>
      </c>
      <c r="F4454" s="1">
        <v>0.42449999999999999</v>
      </c>
      <c r="G4454" s="1">
        <v>1.4E-2</v>
      </c>
      <c r="H4454" s="1">
        <v>0.53349999999999997</v>
      </c>
    </row>
    <row r="4456" spans="1:9">
      <c r="A4456" t="s">
        <v>1024</v>
      </c>
    </row>
    <row r="4457" spans="1:9">
      <c r="A4457" t="s">
        <v>214</v>
      </c>
      <c r="B4457" t="s">
        <v>189</v>
      </c>
      <c r="C4457" t="s">
        <v>195</v>
      </c>
      <c r="D4457" t="s">
        <v>190</v>
      </c>
      <c r="E4457" t="s">
        <v>196</v>
      </c>
      <c r="F4457" t="s">
        <v>228</v>
      </c>
      <c r="G4457" t="s">
        <v>215</v>
      </c>
      <c r="H4457" t="s">
        <v>223</v>
      </c>
      <c r="I4457" t="s">
        <v>216</v>
      </c>
    </row>
    <row r="4458" spans="1:9">
      <c r="A4458" t="s">
        <v>198</v>
      </c>
      <c r="B4458" t="s">
        <v>197</v>
      </c>
      <c r="C4458">
        <v>968</v>
      </c>
      <c r="D4458" t="s">
        <v>198</v>
      </c>
      <c r="E4458">
        <v>968</v>
      </c>
      <c r="F4458" s="1">
        <v>2.2800000000000001E-2</v>
      </c>
      <c r="G4458" s="1">
        <v>0.46360000000000001</v>
      </c>
      <c r="H4458" s="1">
        <v>7.1999999999999998E-3</v>
      </c>
      <c r="I4458" s="1">
        <v>0.50629999999999997</v>
      </c>
    </row>
    <row r="4459" spans="1:9">
      <c r="A4459" t="s">
        <v>235</v>
      </c>
      <c r="B4459" t="s">
        <v>204</v>
      </c>
      <c r="C4459">
        <v>63</v>
      </c>
      <c r="D4459" t="s">
        <v>208</v>
      </c>
      <c r="E4459">
        <v>968</v>
      </c>
      <c r="F4459" s="1">
        <v>3.1699999999999999E-2</v>
      </c>
      <c r="G4459" s="1">
        <v>0.3175</v>
      </c>
      <c r="H4459" s="1">
        <v>1.5900000000000001E-2</v>
      </c>
      <c r="I4459" s="1">
        <v>0.63490000000000002</v>
      </c>
    </row>
    <row r="4460" spans="1:9">
      <c r="A4460" t="s">
        <v>236</v>
      </c>
      <c r="B4460" t="s">
        <v>204</v>
      </c>
      <c r="C4460">
        <v>32</v>
      </c>
      <c r="D4460" t="s">
        <v>205</v>
      </c>
      <c r="E4460">
        <v>968</v>
      </c>
      <c r="F4460" s="1">
        <v>1.37E-2</v>
      </c>
      <c r="G4460" s="1">
        <v>0.48259999999999997</v>
      </c>
      <c r="H4460" s="1">
        <v>1.37E-2</v>
      </c>
      <c r="I4460" s="1">
        <v>0.49009999999999998</v>
      </c>
    </row>
    <row r="4461" spans="1:9">
      <c r="A4461" t="s">
        <v>235</v>
      </c>
      <c r="B4461" t="s">
        <v>204</v>
      </c>
      <c r="C4461">
        <v>58</v>
      </c>
      <c r="D4461" t="s">
        <v>205</v>
      </c>
      <c r="E4461">
        <v>968</v>
      </c>
      <c r="F4461" s="1">
        <v>3.8999999999999998E-3</v>
      </c>
      <c r="G4461" s="1">
        <v>0.45169999999999999</v>
      </c>
      <c r="I4461" s="1">
        <v>0.5444</v>
      </c>
    </row>
    <row r="4462" spans="1:9" s="26" customFormat="1">
      <c r="A4462" s="26" t="s">
        <v>236</v>
      </c>
      <c r="B4462" s="26" t="s">
        <v>204</v>
      </c>
      <c r="C4462" s="26">
        <v>21</v>
      </c>
      <c r="D4462" s="26" t="s">
        <v>206</v>
      </c>
      <c r="E4462" s="26">
        <v>968</v>
      </c>
      <c r="G4462" s="27">
        <v>0.3931</v>
      </c>
      <c r="I4462" s="27">
        <v>0.6069</v>
      </c>
    </row>
    <row r="4463" spans="1:9">
      <c r="A4463" t="s">
        <v>235</v>
      </c>
      <c r="B4463" t="s">
        <v>204</v>
      </c>
      <c r="C4463">
        <v>47</v>
      </c>
      <c r="D4463" t="s">
        <v>206</v>
      </c>
      <c r="E4463">
        <v>968</v>
      </c>
      <c r="F4463" s="1">
        <v>2.4E-2</v>
      </c>
      <c r="G4463" s="1">
        <v>0.47770000000000001</v>
      </c>
      <c r="I4463" s="1">
        <v>0.49819999999999998</v>
      </c>
    </row>
    <row r="4464" spans="1:9">
      <c r="A4464" t="s">
        <v>236</v>
      </c>
      <c r="B4464" t="s">
        <v>204</v>
      </c>
      <c r="C4464">
        <v>81</v>
      </c>
      <c r="D4464" t="s">
        <v>207</v>
      </c>
      <c r="E4464">
        <v>968</v>
      </c>
      <c r="F4464" s="1">
        <v>0.11210000000000001</v>
      </c>
      <c r="G4464" s="1">
        <v>0.38150000000000001</v>
      </c>
      <c r="H4464" s="1">
        <v>2.1000000000000001E-2</v>
      </c>
      <c r="I4464" s="1">
        <v>0.48549999999999999</v>
      </c>
    </row>
    <row r="4465" spans="1:9">
      <c r="A4465" t="s">
        <v>235</v>
      </c>
      <c r="B4465" t="s">
        <v>204</v>
      </c>
      <c r="C4465">
        <v>45</v>
      </c>
      <c r="D4465" t="s">
        <v>207</v>
      </c>
      <c r="E4465">
        <v>968</v>
      </c>
      <c r="G4465" s="1">
        <v>0.53859999999999997</v>
      </c>
      <c r="I4465" s="1">
        <v>0.46139999999999998</v>
      </c>
    </row>
    <row r="4466" spans="1:9" s="26" customFormat="1">
      <c r="A4466" s="26" t="s">
        <v>236</v>
      </c>
      <c r="B4466" s="26" t="s">
        <v>204</v>
      </c>
      <c r="C4466" s="26">
        <v>11</v>
      </c>
      <c r="D4466" s="26" t="s">
        <v>208</v>
      </c>
      <c r="E4466" s="26">
        <v>968</v>
      </c>
      <c r="F4466" s="27">
        <v>9.0899999999999995E-2</v>
      </c>
      <c r="G4466" s="27">
        <v>0.36359999999999998</v>
      </c>
      <c r="I4466" s="27">
        <v>0.54549999999999998</v>
      </c>
    </row>
    <row r="4467" spans="1:9">
      <c r="A4467" t="s">
        <v>235</v>
      </c>
      <c r="B4467" t="s">
        <v>199</v>
      </c>
      <c r="C4467">
        <v>44</v>
      </c>
      <c r="D4467" t="s">
        <v>203</v>
      </c>
      <c r="E4467">
        <v>968</v>
      </c>
      <c r="G4467" s="1">
        <v>0.34689999999999999</v>
      </c>
      <c r="H4467" s="1">
        <v>1.5100000000000001E-2</v>
      </c>
      <c r="I4467" s="1">
        <v>0.63790000000000002</v>
      </c>
    </row>
    <row r="4468" spans="1:9">
      <c r="A4468" t="s">
        <v>236</v>
      </c>
      <c r="B4468" t="s">
        <v>199</v>
      </c>
      <c r="C4468">
        <v>32</v>
      </c>
      <c r="D4468" t="s">
        <v>203</v>
      </c>
      <c r="E4468">
        <v>968</v>
      </c>
      <c r="G4468" s="1">
        <v>0.45400000000000001</v>
      </c>
      <c r="I4468" s="1">
        <v>0.54600000000000004</v>
      </c>
    </row>
    <row r="4469" spans="1:9">
      <c r="A4469" t="s">
        <v>235</v>
      </c>
      <c r="B4469" t="s">
        <v>199</v>
      </c>
      <c r="C4469">
        <v>60</v>
      </c>
      <c r="D4469" t="s">
        <v>202</v>
      </c>
      <c r="E4469">
        <v>968</v>
      </c>
      <c r="F4469" s="1">
        <v>3.61E-2</v>
      </c>
      <c r="G4469" s="1">
        <v>0.54190000000000005</v>
      </c>
      <c r="H4469" s="1">
        <v>1.5800000000000002E-2</v>
      </c>
      <c r="I4469" s="1">
        <v>0.40620000000000001</v>
      </c>
    </row>
    <row r="4470" spans="1:9" s="26" customFormat="1">
      <c r="A4470" s="26" t="s">
        <v>236</v>
      </c>
      <c r="B4470" s="26" t="s">
        <v>199</v>
      </c>
      <c r="C4470" s="26">
        <v>24</v>
      </c>
      <c r="D4470" s="26" t="s">
        <v>200</v>
      </c>
      <c r="E4470" s="26">
        <v>968</v>
      </c>
      <c r="G4470" s="27">
        <v>0.30049999999999999</v>
      </c>
      <c r="I4470" s="27">
        <v>0.69950000000000001</v>
      </c>
    </row>
    <row r="4471" spans="1:9">
      <c r="A4471" t="s">
        <v>235</v>
      </c>
      <c r="B4471" t="s">
        <v>199</v>
      </c>
      <c r="C4471">
        <v>46</v>
      </c>
      <c r="D4471" t="s">
        <v>200</v>
      </c>
      <c r="E4471">
        <v>968</v>
      </c>
      <c r="G4471" s="1">
        <v>0.33589999999999998</v>
      </c>
      <c r="I4471" s="1">
        <v>0.66410000000000002</v>
      </c>
    </row>
    <row r="4472" spans="1:9">
      <c r="A4472" t="s">
        <v>236</v>
      </c>
      <c r="B4472" t="s">
        <v>199</v>
      </c>
      <c r="C4472">
        <v>37</v>
      </c>
      <c r="D4472" t="s">
        <v>202</v>
      </c>
      <c r="E4472">
        <v>968</v>
      </c>
      <c r="F4472" s="1">
        <v>3.2800000000000003E-2</v>
      </c>
      <c r="G4472" s="1">
        <v>0.42480000000000001</v>
      </c>
      <c r="H4472" s="1">
        <v>2.1899999999999999E-2</v>
      </c>
      <c r="I4472" s="1">
        <v>0.52059999999999995</v>
      </c>
    </row>
    <row r="4473" spans="1:9">
      <c r="A4473" t="s">
        <v>235</v>
      </c>
      <c r="B4473" t="s">
        <v>199</v>
      </c>
      <c r="C4473">
        <v>96</v>
      </c>
      <c r="D4473" t="s">
        <v>201</v>
      </c>
      <c r="E4473">
        <v>968</v>
      </c>
      <c r="F4473" s="1">
        <v>1.04E-2</v>
      </c>
      <c r="G4473" s="1">
        <v>0.55210000000000004</v>
      </c>
      <c r="I4473" s="1">
        <v>0.4375</v>
      </c>
    </row>
    <row r="4474" spans="1:9">
      <c r="A4474" t="s">
        <v>236</v>
      </c>
      <c r="B4474" t="s">
        <v>209</v>
      </c>
      <c r="C4474">
        <v>39</v>
      </c>
      <c r="D4474" t="s">
        <v>211</v>
      </c>
      <c r="E4474">
        <v>968</v>
      </c>
      <c r="G4474" s="1">
        <v>0.33110000000000001</v>
      </c>
      <c r="I4474" s="1">
        <v>0.66890000000000005</v>
      </c>
    </row>
    <row r="4475" spans="1:9">
      <c r="A4475" t="s">
        <v>235</v>
      </c>
      <c r="B4475" t="s">
        <v>209</v>
      </c>
      <c r="C4475">
        <v>56</v>
      </c>
      <c r="D4475" t="s">
        <v>211</v>
      </c>
      <c r="E4475">
        <v>968</v>
      </c>
      <c r="F4475" s="1">
        <v>5.8900000000000001E-2</v>
      </c>
      <c r="G4475" s="1">
        <v>0.49399999999999999</v>
      </c>
      <c r="I4475" s="1">
        <v>0.4471</v>
      </c>
    </row>
    <row r="4476" spans="1:9">
      <c r="A4476" t="s">
        <v>235</v>
      </c>
      <c r="B4476" t="s">
        <v>209</v>
      </c>
      <c r="C4476">
        <v>67</v>
      </c>
      <c r="D4476" t="s">
        <v>212</v>
      </c>
      <c r="E4476">
        <v>968</v>
      </c>
      <c r="F4476" s="1">
        <v>3.2399999999999998E-2</v>
      </c>
      <c r="G4476" s="1">
        <v>0.41820000000000002</v>
      </c>
      <c r="H4476" s="1">
        <v>1.6199999999999999E-2</v>
      </c>
      <c r="I4476" s="1">
        <v>0.53320000000000001</v>
      </c>
    </row>
    <row r="4477" spans="1:9" s="26" customFormat="1">
      <c r="A4477" s="26" t="s">
        <v>236</v>
      </c>
      <c r="B4477" s="26" t="s">
        <v>209</v>
      </c>
      <c r="C4477" s="26">
        <v>18</v>
      </c>
      <c r="D4477" s="26" t="s">
        <v>212</v>
      </c>
      <c r="E4477" s="26">
        <v>968</v>
      </c>
      <c r="G4477" s="27">
        <v>0.46439999999999998</v>
      </c>
      <c r="I4477" s="27">
        <v>0.53559999999999997</v>
      </c>
    </row>
    <row r="4478" spans="1:9">
      <c r="A4478" t="s">
        <v>236</v>
      </c>
      <c r="B4478" t="s">
        <v>209</v>
      </c>
      <c r="C4478">
        <v>38</v>
      </c>
      <c r="D4478" t="s">
        <v>210</v>
      </c>
      <c r="E4478">
        <v>968</v>
      </c>
      <c r="G4478" s="1">
        <v>0.50239999999999996</v>
      </c>
      <c r="I4478" s="1">
        <v>0.49759999999999999</v>
      </c>
    </row>
    <row r="4479" spans="1:9">
      <c r="A4479" t="s">
        <v>235</v>
      </c>
      <c r="B4479" t="s">
        <v>209</v>
      </c>
      <c r="C4479">
        <v>32</v>
      </c>
      <c r="D4479" t="s">
        <v>210</v>
      </c>
      <c r="E4479">
        <v>968</v>
      </c>
      <c r="F4479" s="1">
        <v>3.2300000000000002E-2</v>
      </c>
      <c r="G4479" s="1">
        <v>0.4677</v>
      </c>
      <c r="I4479" s="1">
        <v>0.5</v>
      </c>
    </row>
    <row r="4481" spans="1:14">
      <c r="A4481" t="s">
        <v>1025</v>
      </c>
    </row>
    <row r="4482" spans="1:14">
      <c r="A4482" t="s">
        <v>189</v>
      </c>
      <c r="B4482" t="s">
        <v>195</v>
      </c>
      <c r="C4482" t="s">
        <v>190</v>
      </c>
      <c r="D4482" t="s">
        <v>196</v>
      </c>
      <c r="E4482" t="s">
        <v>1026</v>
      </c>
      <c r="F4482" t="s">
        <v>1027</v>
      </c>
      <c r="G4482" t="s">
        <v>228</v>
      </c>
      <c r="H4482" t="s">
        <v>1028</v>
      </c>
      <c r="I4482" t="s">
        <v>278</v>
      </c>
      <c r="J4482" t="s">
        <v>1029</v>
      </c>
      <c r="K4482" t="s">
        <v>1030</v>
      </c>
      <c r="L4482" t="s">
        <v>1031</v>
      </c>
      <c r="M4482" t="s">
        <v>1032</v>
      </c>
      <c r="N4482" t="s">
        <v>1033</v>
      </c>
    </row>
    <row r="4483" spans="1:14">
      <c r="A4483" t="s">
        <v>197</v>
      </c>
      <c r="B4483">
        <v>502</v>
      </c>
      <c r="C4483" t="s">
        <v>198</v>
      </c>
      <c r="D4483">
        <v>502</v>
      </c>
      <c r="E4483" s="1">
        <v>0.1348</v>
      </c>
      <c r="F4483" s="1">
        <v>5.4800000000000001E-2</v>
      </c>
      <c r="G4483" s="1">
        <v>7.0000000000000001E-3</v>
      </c>
      <c r="H4483" s="1">
        <v>0.18640000000000001</v>
      </c>
      <c r="I4483" s="1">
        <v>9.1000000000000004E-3</v>
      </c>
      <c r="J4483" s="1">
        <v>0.32829999999999998</v>
      </c>
      <c r="K4483" s="1">
        <v>0.65959999999999996</v>
      </c>
      <c r="L4483" s="1">
        <v>0.37709999999999999</v>
      </c>
      <c r="M4483" s="1">
        <v>1.6999999999999999E-3</v>
      </c>
      <c r="N4483" s="1">
        <v>3.7000000000000002E-3</v>
      </c>
    </row>
    <row r="4484" spans="1:14">
      <c r="A4484" t="s">
        <v>204</v>
      </c>
      <c r="B4484">
        <v>49</v>
      </c>
      <c r="C4484" t="s">
        <v>205</v>
      </c>
      <c r="D4484">
        <v>502</v>
      </c>
      <c r="E4484" s="1">
        <v>0.17530000000000001</v>
      </c>
      <c r="F4484" s="1">
        <v>5.1400000000000001E-2</v>
      </c>
      <c r="H4484" s="1">
        <v>0.10589999999999999</v>
      </c>
      <c r="J4484" s="1">
        <v>0.26229999999999998</v>
      </c>
      <c r="K4484" s="1">
        <v>0.72509999999999997</v>
      </c>
      <c r="L4484" s="1">
        <v>0.38600000000000001</v>
      </c>
    </row>
    <row r="4485" spans="1:14">
      <c r="A4485" t="s">
        <v>204</v>
      </c>
      <c r="B4485">
        <v>37</v>
      </c>
      <c r="C4485" t="s">
        <v>206</v>
      </c>
      <c r="D4485">
        <v>502</v>
      </c>
      <c r="E4485" s="1">
        <v>3.1600000000000003E-2</v>
      </c>
      <c r="F4485" s="1">
        <v>0.12659999999999999</v>
      </c>
      <c r="H4485" s="1">
        <v>0.1719</v>
      </c>
      <c r="J4485" s="1">
        <v>0.19020000000000001</v>
      </c>
      <c r="K4485" s="1">
        <v>0.57030000000000003</v>
      </c>
      <c r="L4485" s="1">
        <v>0.32579999999999998</v>
      </c>
    </row>
    <row r="4486" spans="1:14">
      <c r="A4486" t="s">
        <v>204</v>
      </c>
      <c r="B4486">
        <v>68</v>
      </c>
      <c r="C4486" t="s">
        <v>207</v>
      </c>
      <c r="D4486">
        <v>502</v>
      </c>
      <c r="E4486" s="1">
        <v>0.15290000000000001</v>
      </c>
      <c r="F4486" s="1">
        <v>2.35E-2</v>
      </c>
      <c r="G4486" s="1">
        <v>1.2500000000000001E-2</v>
      </c>
      <c r="H4486" s="1">
        <v>0.35299999999999998</v>
      </c>
      <c r="I4486" s="1">
        <v>5.3E-3</v>
      </c>
      <c r="J4486" s="1">
        <v>0.42099999999999999</v>
      </c>
      <c r="K4486" s="1">
        <v>0.78520000000000001</v>
      </c>
      <c r="L4486" s="1">
        <v>0.25850000000000001</v>
      </c>
    </row>
    <row r="4487" spans="1:14">
      <c r="A4487" t="s">
        <v>204</v>
      </c>
      <c r="B4487">
        <v>45</v>
      </c>
      <c r="C4487" t="s">
        <v>208</v>
      </c>
      <c r="D4487">
        <v>502</v>
      </c>
      <c r="E4487" s="1">
        <v>0.1111</v>
      </c>
      <c r="F4487" s="1">
        <v>8.8900000000000007E-2</v>
      </c>
      <c r="G4487" s="1">
        <v>2.2200000000000001E-2</v>
      </c>
      <c r="H4487" s="1">
        <v>0.22220000000000001</v>
      </c>
      <c r="I4487" s="1">
        <v>2.2200000000000001E-2</v>
      </c>
      <c r="J4487" s="1">
        <v>0.4889</v>
      </c>
      <c r="K4487" s="1">
        <v>0.71109999999999995</v>
      </c>
      <c r="L4487" s="1">
        <v>0.2</v>
      </c>
      <c r="M4487" s="1">
        <v>2.2200000000000001E-2</v>
      </c>
    </row>
    <row r="4488" spans="1:14">
      <c r="A4488" t="s">
        <v>199</v>
      </c>
      <c r="B4488">
        <v>44</v>
      </c>
      <c r="C4488" t="s">
        <v>200</v>
      </c>
      <c r="D4488">
        <v>502</v>
      </c>
      <c r="E4488" s="1">
        <v>9.5299999999999996E-2</v>
      </c>
      <c r="G4488" s="1">
        <v>2.3E-3</v>
      </c>
      <c r="H4488" s="1">
        <v>0.31859999999999999</v>
      </c>
      <c r="I4488" s="1">
        <v>2.3E-3</v>
      </c>
      <c r="J4488" s="1">
        <v>0.51319999999999999</v>
      </c>
      <c r="K4488" s="1">
        <v>0.7107</v>
      </c>
      <c r="L4488" s="1">
        <v>0.22459999999999999</v>
      </c>
      <c r="N4488" s="1">
        <v>0.1004</v>
      </c>
    </row>
    <row r="4489" spans="1:14">
      <c r="A4489" t="s">
        <v>199</v>
      </c>
      <c r="B4489">
        <v>42</v>
      </c>
      <c r="C4489" t="s">
        <v>201</v>
      </c>
      <c r="D4489">
        <v>502</v>
      </c>
      <c r="E4489" s="1">
        <v>0.1429</v>
      </c>
      <c r="F4489" s="1">
        <v>9.5200000000000007E-2</v>
      </c>
      <c r="H4489" s="1">
        <v>0.1429</v>
      </c>
      <c r="J4489" s="1">
        <v>0.28570000000000001</v>
      </c>
      <c r="K4489" s="1">
        <v>0.54759999999999998</v>
      </c>
      <c r="L4489" s="1">
        <v>0.52380000000000004</v>
      </c>
    </row>
    <row r="4490" spans="1:14">
      <c r="A4490" t="s">
        <v>199</v>
      </c>
      <c r="B4490">
        <v>40</v>
      </c>
      <c r="C4490" t="s">
        <v>202</v>
      </c>
      <c r="D4490">
        <v>502</v>
      </c>
      <c r="E4490" s="1">
        <v>0.1138</v>
      </c>
      <c r="F4490" s="1">
        <v>5.6899999999999999E-2</v>
      </c>
      <c r="H4490" s="1">
        <v>0.1186</v>
      </c>
      <c r="J4490" s="1">
        <v>0.33529999999999999</v>
      </c>
      <c r="K4490" s="1">
        <v>0.63990000000000002</v>
      </c>
      <c r="L4490" s="1">
        <v>0.42570000000000002</v>
      </c>
    </row>
    <row r="4491" spans="1:14">
      <c r="A4491" t="s">
        <v>199</v>
      </c>
      <c r="B4491">
        <v>47</v>
      </c>
      <c r="C4491" t="s">
        <v>203</v>
      </c>
      <c r="D4491">
        <v>502</v>
      </c>
      <c r="E4491" s="1">
        <v>6.7299999999999999E-2</v>
      </c>
      <c r="F4491" s="1">
        <v>5.1200000000000002E-2</v>
      </c>
      <c r="H4491" s="1">
        <v>0.26860000000000001</v>
      </c>
      <c r="I4491" s="1">
        <v>1.26E-2</v>
      </c>
      <c r="J4491" s="1">
        <v>0.35830000000000001</v>
      </c>
      <c r="K4491" s="1">
        <v>0.60240000000000005</v>
      </c>
      <c r="L4491" s="1">
        <v>0.4244</v>
      </c>
    </row>
    <row r="4492" spans="1:14">
      <c r="A4492" t="s">
        <v>209</v>
      </c>
      <c r="B4492">
        <v>34</v>
      </c>
      <c r="C4492" t="s">
        <v>210</v>
      </c>
      <c r="D4492">
        <v>502</v>
      </c>
      <c r="E4492" s="1">
        <v>7.7700000000000005E-2</v>
      </c>
      <c r="F4492" s="1">
        <v>7.7700000000000005E-2</v>
      </c>
      <c r="H4492" s="1">
        <v>0.39510000000000001</v>
      </c>
      <c r="J4492" s="1">
        <v>0.35289999999999999</v>
      </c>
      <c r="K4492" s="1">
        <v>0.4728</v>
      </c>
      <c r="L4492" s="1">
        <v>0.33189999999999997</v>
      </c>
    </row>
    <row r="4493" spans="1:14">
      <c r="A4493" t="s">
        <v>209</v>
      </c>
      <c r="B4493">
        <v>53</v>
      </c>
      <c r="C4493" t="s">
        <v>211</v>
      </c>
      <c r="D4493">
        <v>502</v>
      </c>
      <c r="E4493" s="1">
        <v>0.20830000000000001</v>
      </c>
      <c r="F4493" s="1">
        <v>5.5100000000000003E-2</v>
      </c>
      <c r="G4493" s="1">
        <v>8.2000000000000007E-3</v>
      </c>
      <c r="H4493" s="1">
        <v>0.20119999999999999</v>
      </c>
      <c r="J4493" s="1">
        <v>0.33839999999999998</v>
      </c>
      <c r="K4493" s="1">
        <v>0.56859999999999999</v>
      </c>
      <c r="L4493" s="1">
        <v>0.315</v>
      </c>
    </row>
    <row r="4494" spans="1:14">
      <c r="A4494" t="s">
        <v>209</v>
      </c>
      <c r="B4494">
        <v>43</v>
      </c>
      <c r="C4494" t="s">
        <v>212</v>
      </c>
      <c r="D4494">
        <v>502</v>
      </c>
      <c r="E4494" s="1">
        <v>8.3199999999999996E-2</v>
      </c>
      <c r="F4494" s="1">
        <v>2.6200000000000001E-2</v>
      </c>
      <c r="G4494" s="1">
        <v>2.6200000000000001E-2</v>
      </c>
      <c r="H4494" s="1">
        <v>0.16189999999999999</v>
      </c>
      <c r="I4494" s="1">
        <v>5.2400000000000002E-2</v>
      </c>
      <c r="J4494" s="1">
        <v>0.2213</v>
      </c>
      <c r="K4494" s="1">
        <v>0.58830000000000005</v>
      </c>
      <c r="L4494" s="1">
        <v>0.42449999999999999</v>
      </c>
    </row>
    <row r="4496" spans="1:14">
      <c r="A4496" t="s">
        <v>1034</v>
      </c>
    </row>
    <row r="4497" spans="1:15">
      <c r="A4497" t="s">
        <v>214</v>
      </c>
      <c r="B4497" t="s">
        <v>189</v>
      </c>
      <c r="C4497" t="s">
        <v>195</v>
      </c>
      <c r="D4497" t="s">
        <v>190</v>
      </c>
      <c r="E4497" t="s">
        <v>196</v>
      </c>
      <c r="F4497" t="s">
        <v>1026</v>
      </c>
      <c r="G4497" t="s">
        <v>1027</v>
      </c>
      <c r="H4497" t="s">
        <v>228</v>
      </c>
      <c r="I4497" t="s">
        <v>1028</v>
      </c>
      <c r="J4497" t="s">
        <v>278</v>
      </c>
      <c r="K4497" t="s">
        <v>1029</v>
      </c>
      <c r="L4497" t="s">
        <v>1030</v>
      </c>
      <c r="M4497" t="s">
        <v>1031</v>
      </c>
      <c r="N4497" t="s">
        <v>1032</v>
      </c>
      <c r="O4497" t="s">
        <v>1033</v>
      </c>
    </row>
    <row r="4498" spans="1:15">
      <c r="A4498" t="s">
        <v>198</v>
      </c>
      <c r="B4498" t="s">
        <v>197</v>
      </c>
      <c r="C4498">
        <v>502</v>
      </c>
      <c r="D4498" t="s">
        <v>198</v>
      </c>
      <c r="E4498">
        <v>502</v>
      </c>
      <c r="F4498" s="1">
        <v>0.1348</v>
      </c>
      <c r="G4498" s="1">
        <v>5.4800000000000001E-2</v>
      </c>
      <c r="H4498" s="1">
        <v>7.0000000000000001E-3</v>
      </c>
      <c r="I4498" s="1">
        <v>0.18640000000000001</v>
      </c>
      <c r="J4498" s="1">
        <v>9.1000000000000004E-3</v>
      </c>
      <c r="K4498" s="1">
        <v>0.32829999999999998</v>
      </c>
      <c r="L4498" s="1">
        <v>0.65959999999999996</v>
      </c>
      <c r="M4498" s="1">
        <v>0.37709999999999999</v>
      </c>
      <c r="N4498" s="1">
        <v>1.6999999999999999E-3</v>
      </c>
      <c r="O4498" s="1">
        <v>3.7000000000000002E-3</v>
      </c>
    </row>
    <row r="4499" spans="1:15" s="26" customFormat="1">
      <c r="A4499" s="26" t="s">
        <v>236</v>
      </c>
      <c r="B4499" s="26" t="s">
        <v>204</v>
      </c>
      <c r="C4499" s="26">
        <v>6</v>
      </c>
      <c r="D4499" s="26" t="s">
        <v>208</v>
      </c>
      <c r="E4499" s="26">
        <v>502</v>
      </c>
      <c r="F4499" s="27">
        <v>0.16669999999999999</v>
      </c>
      <c r="G4499" s="27">
        <v>0.16669999999999999</v>
      </c>
      <c r="I4499" s="27">
        <v>0.5</v>
      </c>
      <c r="K4499" s="27">
        <v>0.5</v>
      </c>
      <c r="L4499" s="27">
        <v>0.33329999999999999</v>
      </c>
    </row>
    <row r="4500" spans="1:15" s="26" customFormat="1">
      <c r="A4500" s="26" t="s">
        <v>236</v>
      </c>
      <c r="B4500" s="26" t="s">
        <v>204</v>
      </c>
      <c r="C4500" s="26">
        <v>18</v>
      </c>
      <c r="D4500" s="26" t="s">
        <v>205</v>
      </c>
      <c r="E4500" s="26">
        <v>502</v>
      </c>
      <c r="F4500" s="27">
        <v>0.36420000000000002</v>
      </c>
      <c r="G4500" s="27">
        <v>0.2792</v>
      </c>
      <c r="I4500" s="27">
        <v>0.22209999999999999</v>
      </c>
      <c r="K4500" s="27">
        <v>0.1807</v>
      </c>
      <c r="L4500" s="27">
        <v>0.65649999999999997</v>
      </c>
      <c r="M4500" s="27">
        <v>0.32279999999999998</v>
      </c>
    </row>
    <row r="4501" spans="1:15">
      <c r="A4501" t="s">
        <v>235</v>
      </c>
      <c r="B4501" t="s">
        <v>204</v>
      </c>
      <c r="C4501">
        <v>30</v>
      </c>
      <c r="D4501" t="s">
        <v>205</v>
      </c>
      <c r="E4501">
        <v>502</v>
      </c>
      <c r="F4501" s="1">
        <v>0.13930000000000001</v>
      </c>
      <c r="G4501" s="1">
        <v>7.1000000000000004E-3</v>
      </c>
      <c r="I4501" s="1">
        <v>8.3799999999999999E-2</v>
      </c>
      <c r="K4501" s="1">
        <v>0.2742</v>
      </c>
      <c r="L4501" s="1">
        <v>0.74250000000000005</v>
      </c>
      <c r="M4501" s="1">
        <v>0.40050000000000002</v>
      </c>
    </row>
    <row r="4502" spans="1:15" s="26" customFormat="1">
      <c r="A4502" s="26" t="s">
        <v>236</v>
      </c>
      <c r="B4502" s="26" t="s">
        <v>204</v>
      </c>
      <c r="C4502" s="26">
        <v>13</v>
      </c>
      <c r="D4502" s="26" t="s">
        <v>206</v>
      </c>
      <c r="E4502" s="26">
        <v>502</v>
      </c>
      <c r="G4502" s="27">
        <v>0.1968</v>
      </c>
      <c r="I4502" s="27">
        <v>7.0499999999999993E-2</v>
      </c>
      <c r="K4502" s="27">
        <v>0.2394</v>
      </c>
      <c r="L4502" s="27">
        <v>0.69020000000000004</v>
      </c>
      <c r="M4502" s="27">
        <v>0.50670000000000004</v>
      </c>
    </row>
    <row r="4503" spans="1:15" s="26" customFormat="1">
      <c r="A4503" s="26" t="s">
        <v>235</v>
      </c>
      <c r="B4503" s="26" t="s">
        <v>204</v>
      </c>
      <c r="C4503" s="26">
        <v>23</v>
      </c>
      <c r="D4503" s="26" t="s">
        <v>206</v>
      </c>
      <c r="E4503" s="26">
        <v>502</v>
      </c>
      <c r="F4503" s="27">
        <v>4.82E-2</v>
      </c>
      <c r="G4503" s="27">
        <v>9.6500000000000002E-2</v>
      </c>
      <c r="I4503" s="27">
        <v>0.22750000000000001</v>
      </c>
      <c r="K4503" s="27">
        <v>0.13819999999999999</v>
      </c>
      <c r="L4503" s="27">
        <v>0.49669999999999997</v>
      </c>
      <c r="M4503" s="27">
        <v>0.24840000000000001</v>
      </c>
    </row>
    <row r="4504" spans="1:15">
      <c r="A4504" t="s">
        <v>236</v>
      </c>
      <c r="B4504" t="s">
        <v>204</v>
      </c>
      <c r="C4504">
        <v>43</v>
      </c>
      <c r="D4504" t="s">
        <v>207</v>
      </c>
      <c r="E4504">
        <v>502</v>
      </c>
      <c r="F4504" s="1">
        <v>6.8400000000000002E-2</v>
      </c>
      <c r="G4504" s="1">
        <v>3.9100000000000003E-2</v>
      </c>
      <c r="H4504" s="1">
        <v>4.7999999999999996E-3</v>
      </c>
      <c r="I4504" s="1">
        <v>0.34889999999999999</v>
      </c>
      <c r="J4504" s="1">
        <v>1.2999999999999999E-2</v>
      </c>
      <c r="K4504" s="1">
        <v>0.46760000000000002</v>
      </c>
      <c r="L4504" s="1">
        <v>0.56489999999999996</v>
      </c>
      <c r="M4504" s="1">
        <v>0.35420000000000001</v>
      </c>
    </row>
    <row r="4505" spans="1:15" s="26" customFormat="1">
      <c r="A4505" s="26" t="s">
        <v>235</v>
      </c>
      <c r="B4505" s="26" t="s">
        <v>204</v>
      </c>
      <c r="C4505" s="26">
        <v>21</v>
      </c>
      <c r="D4505" s="26" t="s">
        <v>207</v>
      </c>
      <c r="E4505" s="26">
        <v>502</v>
      </c>
      <c r="F4505" s="27">
        <v>0.19670000000000001</v>
      </c>
      <c r="G4505" s="27">
        <v>1.34E-2</v>
      </c>
      <c r="H4505" s="27">
        <v>1.8599999999999998E-2</v>
      </c>
      <c r="I4505" s="27">
        <v>0.36120000000000002</v>
      </c>
      <c r="K4505" s="27">
        <v>0.39589999999999997</v>
      </c>
      <c r="L4505" s="27">
        <v>0.95189999999999997</v>
      </c>
      <c r="M4505" s="27">
        <v>0.18240000000000001</v>
      </c>
    </row>
    <row r="4506" spans="1:15">
      <c r="A4506" t="s">
        <v>235</v>
      </c>
      <c r="B4506" t="s">
        <v>204</v>
      </c>
      <c r="C4506">
        <v>39</v>
      </c>
      <c r="D4506" t="s">
        <v>208</v>
      </c>
      <c r="E4506">
        <v>502</v>
      </c>
      <c r="F4506" s="1">
        <v>0.1026</v>
      </c>
      <c r="G4506" s="1">
        <v>7.6899999999999996E-2</v>
      </c>
      <c r="H4506" s="1">
        <v>2.5600000000000001E-2</v>
      </c>
      <c r="I4506" s="1">
        <v>0.17949999999999999</v>
      </c>
      <c r="J4506" s="1">
        <v>2.5600000000000001E-2</v>
      </c>
      <c r="K4506" s="1">
        <v>0.48720000000000002</v>
      </c>
      <c r="L4506" s="1">
        <v>0.76919999999999999</v>
      </c>
      <c r="M4506" s="1">
        <v>0.23080000000000001</v>
      </c>
      <c r="N4506" s="1">
        <v>2.5600000000000001E-2</v>
      </c>
    </row>
    <row r="4507" spans="1:15" s="26" customFormat="1">
      <c r="A4507" s="26" t="s">
        <v>236</v>
      </c>
      <c r="B4507" s="26" t="s">
        <v>199</v>
      </c>
      <c r="C4507" s="26">
        <v>19</v>
      </c>
      <c r="D4507" s="26" t="s">
        <v>203</v>
      </c>
      <c r="E4507" s="26">
        <v>502</v>
      </c>
      <c r="F4507" s="27">
        <v>0.1444</v>
      </c>
      <c r="G4507" s="27">
        <v>0.1094</v>
      </c>
      <c r="I4507" s="27">
        <v>0.41349999999999998</v>
      </c>
      <c r="K4507" s="27">
        <v>0.41810000000000003</v>
      </c>
      <c r="L4507" s="27">
        <v>0.42220000000000002</v>
      </c>
      <c r="M4507" s="27">
        <v>0.14000000000000001</v>
      </c>
    </row>
    <row r="4508" spans="1:15" s="26" customFormat="1">
      <c r="A4508" s="26" t="s">
        <v>235</v>
      </c>
      <c r="B4508" s="26" t="s">
        <v>199</v>
      </c>
      <c r="C4508" s="26">
        <v>28</v>
      </c>
      <c r="D4508" s="26" t="s">
        <v>203</v>
      </c>
      <c r="E4508" s="26">
        <v>502</v>
      </c>
      <c r="F4508" s="27">
        <v>3.1E-2</v>
      </c>
      <c r="G4508" s="27">
        <v>2.3699999999999999E-2</v>
      </c>
      <c r="I4508" s="27">
        <v>0.20019999999999999</v>
      </c>
      <c r="J4508" s="27">
        <v>1.8599999999999998E-2</v>
      </c>
      <c r="K4508" s="27">
        <v>0.3301</v>
      </c>
      <c r="L4508" s="27">
        <v>0.68740000000000001</v>
      </c>
      <c r="M4508" s="27">
        <v>0.5585</v>
      </c>
    </row>
    <row r="4509" spans="1:15" s="26" customFormat="1">
      <c r="A4509" s="26" t="s">
        <v>235</v>
      </c>
      <c r="B4509" s="26" t="s">
        <v>199</v>
      </c>
      <c r="C4509" s="26">
        <v>21</v>
      </c>
      <c r="D4509" s="26" t="s">
        <v>202</v>
      </c>
      <c r="E4509" s="26">
        <v>502</v>
      </c>
      <c r="F4509" s="27">
        <v>0.109</v>
      </c>
      <c r="G4509" s="27">
        <v>0.115</v>
      </c>
      <c r="I4509" s="27">
        <v>0.1187</v>
      </c>
      <c r="K4509" s="27">
        <v>0.3201</v>
      </c>
      <c r="L4509" s="27">
        <v>0.69010000000000005</v>
      </c>
      <c r="M4509" s="27">
        <v>0.43869999999999998</v>
      </c>
    </row>
    <row r="4510" spans="1:15" s="26" customFormat="1">
      <c r="A4510" s="26" t="s">
        <v>236</v>
      </c>
      <c r="B4510" s="26" t="s">
        <v>199</v>
      </c>
      <c r="C4510" s="26">
        <v>14</v>
      </c>
      <c r="D4510" s="26" t="s">
        <v>200</v>
      </c>
      <c r="E4510" s="26">
        <v>502</v>
      </c>
      <c r="F4510" s="27">
        <v>4.6600000000000003E-2</v>
      </c>
      <c r="H4510" s="27">
        <v>4.7999999999999996E-3</v>
      </c>
      <c r="I4510" s="27">
        <v>0.30130000000000001</v>
      </c>
      <c r="K4510" s="27">
        <v>0.85060000000000002</v>
      </c>
      <c r="L4510" s="27">
        <v>0.73570000000000002</v>
      </c>
      <c r="M4510" s="27">
        <v>0.13980000000000001</v>
      </c>
      <c r="O4510" s="27">
        <v>0.20810000000000001</v>
      </c>
    </row>
    <row r="4511" spans="1:15" s="26" customFormat="1">
      <c r="A4511" s="26" t="s">
        <v>235</v>
      </c>
      <c r="B4511" s="26" t="s">
        <v>199</v>
      </c>
      <c r="C4511" s="26">
        <v>27</v>
      </c>
      <c r="D4511" s="26" t="s">
        <v>200</v>
      </c>
      <c r="E4511" s="26">
        <v>502</v>
      </c>
      <c r="F4511" s="27">
        <v>0.1426</v>
      </c>
      <c r="I4511" s="27">
        <v>0.3392</v>
      </c>
      <c r="J4511" s="27">
        <v>4.4999999999999997E-3</v>
      </c>
      <c r="K4511" s="27">
        <v>0.1923</v>
      </c>
      <c r="L4511" s="27">
        <v>0.69669999999999999</v>
      </c>
      <c r="M4511" s="27">
        <v>0.29870000000000002</v>
      </c>
    </row>
    <row r="4512" spans="1:15" s="26" customFormat="1">
      <c r="A4512" s="26" t="s">
        <v>236</v>
      </c>
      <c r="B4512" s="26" t="s">
        <v>199</v>
      </c>
      <c r="C4512" s="26">
        <v>18</v>
      </c>
      <c r="D4512" s="26" t="s">
        <v>202</v>
      </c>
      <c r="E4512" s="26">
        <v>502</v>
      </c>
      <c r="F4512" s="27">
        <v>0.126</v>
      </c>
      <c r="I4512" s="27">
        <v>0.126</v>
      </c>
      <c r="K4512" s="27">
        <v>0.37219999999999998</v>
      </c>
      <c r="L4512" s="27">
        <v>0.56479999999999997</v>
      </c>
      <c r="M4512" s="27">
        <v>0.376</v>
      </c>
    </row>
    <row r="4513" spans="1:13">
      <c r="A4513" t="s">
        <v>235</v>
      </c>
      <c r="B4513" t="s">
        <v>199</v>
      </c>
      <c r="C4513">
        <v>42</v>
      </c>
      <c r="D4513" t="s">
        <v>201</v>
      </c>
      <c r="E4513">
        <v>502</v>
      </c>
      <c r="F4513" s="1">
        <v>0.1429</v>
      </c>
      <c r="G4513" s="1">
        <v>9.5200000000000007E-2</v>
      </c>
      <c r="I4513" s="1">
        <v>0.1429</v>
      </c>
      <c r="K4513" s="1">
        <v>0.28570000000000001</v>
      </c>
      <c r="L4513" s="1">
        <v>0.54759999999999998</v>
      </c>
      <c r="M4513" s="1">
        <v>0.52380000000000004</v>
      </c>
    </row>
    <row r="4514" spans="1:13" s="26" customFormat="1">
      <c r="A4514" s="26" t="s">
        <v>236</v>
      </c>
      <c r="B4514" s="26" t="s">
        <v>209</v>
      </c>
      <c r="C4514" s="26">
        <v>27</v>
      </c>
      <c r="D4514" s="26" t="s">
        <v>211</v>
      </c>
      <c r="E4514" s="26">
        <v>502</v>
      </c>
      <c r="F4514" s="27">
        <v>0.15079999999999999</v>
      </c>
      <c r="G4514" s="27">
        <v>0.10050000000000001</v>
      </c>
      <c r="I4514" s="27">
        <v>0.18</v>
      </c>
      <c r="K4514" s="27">
        <v>0.3427</v>
      </c>
      <c r="L4514" s="27">
        <v>0.63070000000000004</v>
      </c>
      <c r="M4514" s="27">
        <v>0.29110000000000003</v>
      </c>
    </row>
    <row r="4515" spans="1:13" s="26" customFormat="1">
      <c r="A4515" s="26" t="s">
        <v>235</v>
      </c>
      <c r="B4515" s="26" t="s">
        <v>209</v>
      </c>
      <c r="C4515" s="26">
        <v>26</v>
      </c>
      <c r="D4515" s="26" t="s">
        <v>211</v>
      </c>
      <c r="E4515" s="26">
        <v>502</v>
      </c>
      <c r="F4515" s="27">
        <v>0.25850000000000001</v>
      </c>
      <c r="G4515" s="27">
        <v>1.55E-2</v>
      </c>
      <c r="H4515" s="27">
        <v>1.55E-2</v>
      </c>
      <c r="I4515" s="27">
        <v>0.21970000000000001</v>
      </c>
      <c r="K4515" s="27">
        <v>0.33460000000000001</v>
      </c>
      <c r="L4515" s="27">
        <v>0.51439999999999997</v>
      </c>
      <c r="M4515" s="27">
        <v>0.33589999999999998</v>
      </c>
    </row>
    <row r="4516" spans="1:13">
      <c r="A4516" t="s">
        <v>235</v>
      </c>
      <c r="B4516" t="s">
        <v>209</v>
      </c>
      <c r="C4516">
        <v>34</v>
      </c>
      <c r="D4516" t="s">
        <v>212</v>
      </c>
      <c r="E4516">
        <v>502</v>
      </c>
      <c r="F4516" s="1">
        <v>9.6500000000000002E-2</v>
      </c>
      <c r="H4516" s="1">
        <v>3.04E-2</v>
      </c>
      <c r="I4516" s="1">
        <v>0.15740000000000001</v>
      </c>
      <c r="J4516" s="1">
        <v>6.08E-2</v>
      </c>
      <c r="K4516" s="1">
        <v>0.18129999999999999</v>
      </c>
      <c r="L4516" s="1">
        <v>0.53979999999999995</v>
      </c>
      <c r="M4516" s="1">
        <v>0.38769999999999999</v>
      </c>
    </row>
    <row r="4517" spans="1:13" s="26" customFormat="1">
      <c r="A4517" s="26" t="s">
        <v>236</v>
      </c>
      <c r="B4517" s="26" t="s">
        <v>209</v>
      </c>
      <c r="C4517" s="26">
        <v>9</v>
      </c>
      <c r="D4517" s="26" t="s">
        <v>212</v>
      </c>
      <c r="E4517" s="26">
        <v>502</v>
      </c>
      <c r="G4517" s="27">
        <v>0.18909999999999999</v>
      </c>
      <c r="I4517" s="27">
        <v>0.1898</v>
      </c>
      <c r="K4517" s="27">
        <v>0.47010000000000002</v>
      </c>
      <c r="L4517" s="27">
        <v>0.89019999999999999</v>
      </c>
      <c r="M4517" s="27">
        <v>0.65339999999999998</v>
      </c>
    </row>
    <row r="4518" spans="1:13" s="26" customFormat="1">
      <c r="A4518" s="26" t="s">
        <v>236</v>
      </c>
      <c r="B4518" s="26" t="s">
        <v>209</v>
      </c>
      <c r="C4518" s="26">
        <v>20</v>
      </c>
      <c r="D4518" s="26" t="s">
        <v>210</v>
      </c>
      <c r="E4518" s="26">
        <v>502</v>
      </c>
      <c r="F4518" s="27">
        <v>8.1699999999999995E-2</v>
      </c>
      <c r="G4518" s="27">
        <v>8.1699999999999995E-2</v>
      </c>
      <c r="I4518" s="27">
        <v>0.38219999999999998</v>
      </c>
      <c r="K4518" s="27">
        <v>0.33169999999999999</v>
      </c>
      <c r="L4518" s="27">
        <v>0.33169999999999999</v>
      </c>
      <c r="M4518" s="27">
        <v>0.28610000000000002</v>
      </c>
    </row>
    <row r="4519" spans="1:13" s="26" customFormat="1">
      <c r="A4519" s="26" t="s">
        <v>235</v>
      </c>
      <c r="B4519" s="26" t="s">
        <v>209</v>
      </c>
      <c r="C4519" s="26">
        <v>14</v>
      </c>
      <c r="D4519" s="26" t="s">
        <v>210</v>
      </c>
      <c r="E4519" s="26">
        <v>502</v>
      </c>
      <c r="F4519" s="27">
        <v>7.4200000000000002E-2</v>
      </c>
      <c r="G4519" s="27">
        <v>7.4200000000000002E-2</v>
      </c>
      <c r="I4519" s="27">
        <v>0.40620000000000001</v>
      </c>
      <c r="K4519" s="27">
        <v>0.37109999999999999</v>
      </c>
      <c r="L4519" s="27">
        <v>0.59379999999999999</v>
      </c>
      <c r="M4519" s="27">
        <v>0.37109999999999999</v>
      </c>
    </row>
    <row r="4521" spans="1:13">
      <c r="A4521" t="s">
        <v>1035</v>
      </c>
    </row>
    <row r="4522" spans="1:13">
      <c r="A4522" t="s">
        <v>189</v>
      </c>
      <c r="B4522" t="s">
        <v>195</v>
      </c>
      <c r="C4522" t="s">
        <v>190</v>
      </c>
      <c r="D4522" t="s">
        <v>196</v>
      </c>
      <c r="E4522" t="s">
        <v>1036</v>
      </c>
      <c r="F4522" t="s">
        <v>1037</v>
      </c>
      <c r="G4522" t="s">
        <v>1038</v>
      </c>
    </row>
    <row r="4523" spans="1:13">
      <c r="A4523" t="s">
        <v>197</v>
      </c>
      <c r="B4523">
        <v>796</v>
      </c>
      <c r="C4523" t="s">
        <v>198</v>
      </c>
      <c r="D4523">
        <v>796</v>
      </c>
      <c r="E4523" s="1">
        <v>8.9700000000000002E-2</v>
      </c>
      <c r="F4523" s="1">
        <v>0.59050000000000002</v>
      </c>
      <c r="G4523" s="1">
        <v>0.31979999999999997</v>
      </c>
    </row>
    <row r="4524" spans="1:13">
      <c r="A4524" t="s">
        <v>204</v>
      </c>
      <c r="B4524">
        <v>78</v>
      </c>
      <c r="C4524" t="s">
        <v>205</v>
      </c>
      <c r="D4524">
        <v>796</v>
      </c>
      <c r="E4524" s="1">
        <v>7.8299999999999995E-2</v>
      </c>
      <c r="F4524" s="1">
        <v>0.60460000000000003</v>
      </c>
      <c r="G4524" s="1">
        <v>0.31719999999999998</v>
      </c>
    </row>
    <row r="4525" spans="1:13">
      <c r="A4525" t="s">
        <v>204</v>
      </c>
      <c r="B4525">
        <v>55</v>
      </c>
      <c r="C4525" t="s">
        <v>206</v>
      </c>
      <c r="D4525">
        <v>796</v>
      </c>
      <c r="E4525" s="1">
        <v>0.1028</v>
      </c>
      <c r="F4525" s="1">
        <v>0.61319999999999997</v>
      </c>
      <c r="G4525" s="1">
        <v>0.28399999999999997</v>
      </c>
    </row>
    <row r="4526" spans="1:13">
      <c r="A4526" t="s">
        <v>204</v>
      </c>
      <c r="B4526">
        <v>113</v>
      </c>
      <c r="C4526" t="s">
        <v>207</v>
      </c>
      <c r="D4526">
        <v>796</v>
      </c>
      <c r="E4526" s="1">
        <v>7.2400000000000006E-2</v>
      </c>
      <c r="F4526" s="1">
        <v>0.60070000000000001</v>
      </c>
      <c r="G4526" s="1">
        <v>0.32690000000000002</v>
      </c>
    </row>
    <row r="4527" spans="1:13">
      <c r="A4527" t="s">
        <v>204</v>
      </c>
      <c r="B4527">
        <v>56</v>
      </c>
      <c r="C4527" t="s">
        <v>208</v>
      </c>
      <c r="D4527">
        <v>796</v>
      </c>
      <c r="E4527" s="1">
        <v>0.16070000000000001</v>
      </c>
      <c r="F4527" s="1">
        <v>0.44640000000000002</v>
      </c>
      <c r="G4527" s="1">
        <v>0.39290000000000003</v>
      </c>
    </row>
    <row r="4528" spans="1:13">
      <c r="A4528" t="s">
        <v>199</v>
      </c>
      <c r="B4528">
        <v>60</v>
      </c>
      <c r="C4528" t="s">
        <v>200</v>
      </c>
      <c r="D4528">
        <v>796</v>
      </c>
      <c r="E4528" s="1">
        <v>8.0999999999999996E-3</v>
      </c>
      <c r="F4528" s="1">
        <v>0.57420000000000004</v>
      </c>
      <c r="G4528" s="1">
        <v>0.41770000000000002</v>
      </c>
    </row>
    <row r="4529" spans="1:8">
      <c r="A4529" t="s">
        <v>199</v>
      </c>
      <c r="B4529">
        <v>84</v>
      </c>
      <c r="C4529" t="s">
        <v>201</v>
      </c>
      <c r="D4529">
        <v>796</v>
      </c>
      <c r="E4529" s="1">
        <v>5.9499999999999997E-2</v>
      </c>
      <c r="F4529" s="1">
        <v>0.66669999999999996</v>
      </c>
      <c r="G4529" s="1">
        <v>0.27379999999999999</v>
      </c>
    </row>
    <row r="4530" spans="1:8">
      <c r="A4530" t="s">
        <v>199</v>
      </c>
      <c r="B4530">
        <v>82</v>
      </c>
      <c r="C4530" t="s">
        <v>202</v>
      </c>
      <c r="D4530">
        <v>796</v>
      </c>
      <c r="E4530" s="1">
        <v>9.4299999999999995E-2</v>
      </c>
      <c r="F4530" s="1">
        <v>0.60150000000000003</v>
      </c>
      <c r="G4530" s="1">
        <v>0.30420000000000003</v>
      </c>
    </row>
    <row r="4531" spans="1:8">
      <c r="A4531" t="s">
        <v>199</v>
      </c>
      <c r="B4531">
        <v>54</v>
      </c>
      <c r="C4531" t="s">
        <v>203</v>
      </c>
      <c r="D4531">
        <v>796</v>
      </c>
      <c r="E4531" s="1">
        <v>0.1105</v>
      </c>
      <c r="F4531" s="1">
        <v>0.51219999999999999</v>
      </c>
      <c r="G4531" s="1">
        <v>0.37730000000000002</v>
      </c>
    </row>
    <row r="4532" spans="1:8">
      <c r="A4532" t="s">
        <v>209</v>
      </c>
      <c r="B4532">
        <v>59</v>
      </c>
      <c r="C4532" t="s">
        <v>210</v>
      </c>
      <c r="D4532">
        <v>796</v>
      </c>
      <c r="E4532" s="1">
        <v>5.3400000000000003E-2</v>
      </c>
      <c r="F4532" s="1">
        <v>0.63070000000000004</v>
      </c>
      <c r="G4532" s="1">
        <v>0.316</v>
      </c>
    </row>
    <row r="4533" spans="1:8">
      <c r="A4533" t="s">
        <v>209</v>
      </c>
      <c r="B4533">
        <v>82</v>
      </c>
      <c r="C4533" t="s">
        <v>211</v>
      </c>
      <c r="D4533">
        <v>796</v>
      </c>
      <c r="E4533" s="1">
        <v>0.1086</v>
      </c>
      <c r="F4533" s="1">
        <v>0.52969999999999995</v>
      </c>
      <c r="G4533" s="1">
        <v>0.36170000000000002</v>
      </c>
    </row>
    <row r="4534" spans="1:8">
      <c r="A4534" t="s">
        <v>209</v>
      </c>
      <c r="B4534">
        <v>73</v>
      </c>
      <c r="C4534" t="s">
        <v>212</v>
      </c>
      <c r="D4534">
        <v>796</v>
      </c>
      <c r="E4534" s="1">
        <v>0.16120000000000001</v>
      </c>
      <c r="F4534" s="1">
        <v>0.5161</v>
      </c>
      <c r="G4534" s="1">
        <v>0.32269999999999999</v>
      </c>
    </row>
    <row r="4536" spans="1:8">
      <c r="A4536" t="s">
        <v>1039</v>
      </c>
    </row>
    <row r="4537" spans="1:8">
      <c r="A4537" t="s">
        <v>214</v>
      </c>
      <c r="B4537" t="s">
        <v>189</v>
      </c>
      <c r="C4537" t="s">
        <v>195</v>
      </c>
      <c r="D4537" t="s">
        <v>190</v>
      </c>
      <c r="E4537" t="s">
        <v>196</v>
      </c>
      <c r="F4537" t="s">
        <v>1036</v>
      </c>
      <c r="G4537" t="s">
        <v>1037</v>
      </c>
      <c r="H4537" t="s">
        <v>1038</v>
      </c>
    </row>
    <row r="4538" spans="1:8">
      <c r="A4538" t="s">
        <v>198</v>
      </c>
      <c r="B4538" t="s">
        <v>197</v>
      </c>
      <c r="C4538">
        <v>796</v>
      </c>
      <c r="D4538" t="s">
        <v>198</v>
      </c>
      <c r="E4538">
        <v>796</v>
      </c>
      <c r="F4538" s="1">
        <v>8.9700000000000002E-2</v>
      </c>
      <c r="G4538" s="1">
        <v>0.59050000000000002</v>
      </c>
      <c r="H4538" s="1">
        <v>0.31979999999999997</v>
      </c>
    </row>
    <row r="4539" spans="1:8">
      <c r="A4539" t="s">
        <v>235</v>
      </c>
      <c r="B4539" t="s">
        <v>204</v>
      </c>
      <c r="C4539">
        <v>46</v>
      </c>
      <c r="D4539" t="s">
        <v>208</v>
      </c>
      <c r="E4539">
        <v>796</v>
      </c>
      <c r="F4539" s="1">
        <v>0.1522</v>
      </c>
      <c r="G4539" s="1">
        <v>0.41299999999999998</v>
      </c>
      <c r="H4539" s="1">
        <v>0.43480000000000002</v>
      </c>
    </row>
    <row r="4540" spans="1:8" s="26" customFormat="1">
      <c r="A4540" s="26" t="s">
        <v>236</v>
      </c>
      <c r="B4540" s="26" t="s">
        <v>204</v>
      </c>
      <c r="C4540" s="26">
        <v>25</v>
      </c>
      <c r="D4540" s="26" t="s">
        <v>205</v>
      </c>
      <c r="E4540" s="26">
        <v>796</v>
      </c>
      <c r="F4540" s="27">
        <v>0.15720000000000001</v>
      </c>
      <c r="G4540" s="27">
        <v>0.60150000000000003</v>
      </c>
      <c r="H4540" s="27">
        <v>0.24129999999999999</v>
      </c>
    </row>
    <row r="4541" spans="1:8">
      <c r="A4541" t="s">
        <v>235</v>
      </c>
      <c r="B4541" t="s">
        <v>204</v>
      </c>
      <c r="C4541">
        <v>52</v>
      </c>
      <c r="D4541" t="s">
        <v>205</v>
      </c>
      <c r="E4541">
        <v>796</v>
      </c>
      <c r="F4541" s="1">
        <v>6.1899999999999997E-2</v>
      </c>
      <c r="G4541" s="1">
        <v>0.60719999999999996</v>
      </c>
      <c r="H4541" s="1">
        <v>0.33090000000000003</v>
      </c>
    </row>
    <row r="4542" spans="1:8" s="26" customFormat="1">
      <c r="A4542" s="26" t="s">
        <v>236</v>
      </c>
      <c r="B4542" s="26" t="s">
        <v>204</v>
      </c>
      <c r="C4542" s="26">
        <v>15</v>
      </c>
      <c r="D4542" s="26" t="s">
        <v>206</v>
      </c>
      <c r="E4542" s="26">
        <v>796</v>
      </c>
      <c r="F4542" s="27">
        <v>0.1206</v>
      </c>
      <c r="G4542" s="27">
        <v>0.49380000000000002</v>
      </c>
      <c r="H4542" s="27">
        <v>0.38569999999999999</v>
      </c>
    </row>
    <row r="4543" spans="1:8">
      <c r="A4543" t="s">
        <v>235</v>
      </c>
      <c r="B4543" t="s">
        <v>204</v>
      </c>
      <c r="C4543">
        <v>38</v>
      </c>
      <c r="D4543" t="s">
        <v>206</v>
      </c>
      <c r="E4543">
        <v>796</v>
      </c>
      <c r="F4543" s="1">
        <v>0.1017</v>
      </c>
      <c r="G4543" s="1">
        <v>0.63560000000000005</v>
      </c>
      <c r="H4543" s="1">
        <v>0.26269999999999999</v>
      </c>
    </row>
    <row r="4544" spans="1:8">
      <c r="A4544" t="s">
        <v>236</v>
      </c>
      <c r="B4544" t="s">
        <v>204</v>
      </c>
      <c r="C4544">
        <v>74</v>
      </c>
      <c r="D4544" t="s">
        <v>207</v>
      </c>
      <c r="E4544">
        <v>796</v>
      </c>
      <c r="F4544" s="1">
        <v>3.7199999999999997E-2</v>
      </c>
      <c r="G4544" s="1">
        <v>0.63139999999999996</v>
      </c>
      <c r="H4544" s="1">
        <v>0.33139999999999997</v>
      </c>
    </row>
    <row r="4545" spans="1:8">
      <c r="A4545" t="s">
        <v>235</v>
      </c>
      <c r="B4545" t="s">
        <v>204</v>
      </c>
      <c r="C4545">
        <v>34</v>
      </c>
      <c r="D4545" t="s">
        <v>207</v>
      </c>
      <c r="E4545">
        <v>796</v>
      </c>
      <c r="F4545" s="1">
        <v>0.1009</v>
      </c>
      <c r="G4545" s="1">
        <v>0.5837</v>
      </c>
      <c r="H4545" s="1">
        <v>0.3155</v>
      </c>
    </row>
    <row r="4546" spans="1:8" s="26" customFormat="1">
      <c r="A4546" s="26" t="s">
        <v>236</v>
      </c>
      <c r="B4546" s="26" t="s">
        <v>204</v>
      </c>
      <c r="C4546" s="26">
        <v>10</v>
      </c>
      <c r="D4546" s="26" t="s">
        <v>208</v>
      </c>
      <c r="E4546" s="26">
        <v>796</v>
      </c>
      <c r="F4546" s="27">
        <v>0.2</v>
      </c>
      <c r="G4546" s="27">
        <v>0.6</v>
      </c>
      <c r="H4546" s="27">
        <v>0.2</v>
      </c>
    </row>
    <row r="4547" spans="1:8" s="26" customFormat="1">
      <c r="A4547" s="26" t="s">
        <v>235</v>
      </c>
      <c r="B4547" s="26" t="s">
        <v>199</v>
      </c>
      <c r="C4547" s="26">
        <v>29</v>
      </c>
      <c r="D4547" s="26" t="s">
        <v>203</v>
      </c>
      <c r="E4547" s="26">
        <v>796</v>
      </c>
      <c r="F4547" s="27">
        <v>8.6800000000000002E-2</v>
      </c>
      <c r="G4547" s="27">
        <v>0.46489999999999998</v>
      </c>
      <c r="H4547" s="27">
        <v>0.44829999999999998</v>
      </c>
    </row>
    <row r="4548" spans="1:8" s="26" customFormat="1">
      <c r="A4548" s="26" t="s">
        <v>236</v>
      </c>
      <c r="B4548" s="26" t="s">
        <v>199</v>
      </c>
      <c r="C4548" s="26">
        <v>24</v>
      </c>
      <c r="D4548" s="26" t="s">
        <v>203</v>
      </c>
      <c r="E4548" s="26">
        <v>796</v>
      </c>
      <c r="F4548" s="27">
        <v>0.17319999999999999</v>
      </c>
      <c r="G4548" s="27">
        <v>0.5423</v>
      </c>
      <c r="H4548" s="27">
        <v>0.28449999999999998</v>
      </c>
    </row>
    <row r="4549" spans="1:8">
      <c r="A4549" t="s">
        <v>235</v>
      </c>
      <c r="B4549" t="s">
        <v>199</v>
      </c>
      <c r="C4549">
        <v>50</v>
      </c>
      <c r="D4549" t="s">
        <v>202</v>
      </c>
      <c r="E4549">
        <v>796</v>
      </c>
      <c r="F4549" s="1">
        <v>8.8700000000000001E-2</v>
      </c>
      <c r="G4549" s="1">
        <v>0.57650000000000001</v>
      </c>
      <c r="H4549" s="1">
        <v>0.33489999999999998</v>
      </c>
    </row>
    <row r="4550" spans="1:8" s="26" customFormat="1">
      <c r="A4550" s="26" t="s">
        <v>236</v>
      </c>
      <c r="B4550" s="26" t="s">
        <v>199</v>
      </c>
      <c r="C4550" s="26">
        <v>21</v>
      </c>
      <c r="D4550" s="26" t="s">
        <v>200</v>
      </c>
      <c r="E4550" s="26">
        <v>796</v>
      </c>
      <c r="G4550" s="27">
        <v>0.66010000000000002</v>
      </c>
      <c r="H4550" s="27">
        <v>0.33989999999999998</v>
      </c>
    </row>
    <row r="4551" spans="1:8">
      <c r="A4551" t="s">
        <v>235</v>
      </c>
      <c r="B4551" t="s">
        <v>199</v>
      </c>
      <c r="C4551">
        <v>37</v>
      </c>
      <c r="D4551" t="s">
        <v>200</v>
      </c>
      <c r="E4551">
        <v>796</v>
      </c>
      <c r="F4551" s="1">
        <v>1.54E-2</v>
      </c>
      <c r="G4551" s="1">
        <v>0.49669999999999997</v>
      </c>
      <c r="H4551" s="1">
        <v>0.4879</v>
      </c>
    </row>
    <row r="4552" spans="1:8">
      <c r="A4552" t="s">
        <v>236</v>
      </c>
      <c r="B4552" t="s">
        <v>199</v>
      </c>
      <c r="C4552">
        <v>31</v>
      </c>
      <c r="D4552" t="s">
        <v>202</v>
      </c>
      <c r="E4552">
        <v>796</v>
      </c>
      <c r="F4552" s="1">
        <v>0.10589999999999999</v>
      </c>
      <c r="G4552" s="1">
        <v>0.6603</v>
      </c>
      <c r="H4552" s="1">
        <v>0.23380000000000001</v>
      </c>
    </row>
    <row r="4553" spans="1:8">
      <c r="A4553" t="s">
        <v>235</v>
      </c>
      <c r="B4553" t="s">
        <v>199</v>
      </c>
      <c r="C4553">
        <v>84</v>
      </c>
      <c r="D4553" t="s">
        <v>201</v>
      </c>
      <c r="E4553">
        <v>796</v>
      </c>
      <c r="F4553" s="1">
        <v>5.9499999999999997E-2</v>
      </c>
      <c r="G4553" s="1">
        <v>0.66669999999999996</v>
      </c>
      <c r="H4553" s="1">
        <v>0.27379999999999999</v>
      </c>
    </row>
    <row r="4554" spans="1:8">
      <c r="A4554" t="s">
        <v>236</v>
      </c>
      <c r="B4554" t="s">
        <v>209</v>
      </c>
      <c r="C4554">
        <v>30</v>
      </c>
      <c r="D4554" t="s">
        <v>211</v>
      </c>
      <c r="E4554">
        <v>796</v>
      </c>
      <c r="F4554" s="1">
        <v>5.9900000000000002E-2</v>
      </c>
      <c r="G4554" s="1">
        <v>0.44040000000000001</v>
      </c>
      <c r="H4554" s="1">
        <v>0.49980000000000002</v>
      </c>
    </row>
    <row r="4555" spans="1:8">
      <c r="A4555" t="s">
        <v>235</v>
      </c>
      <c r="B4555" t="s">
        <v>209</v>
      </c>
      <c r="C4555">
        <v>50</v>
      </c>
      <c r="D4555" t="s">
        <v>211</v>
      </c>
      <c r="E4555">
        <v>796</v>
      </c>
      <c r="F4555" s="1">
        <v>0.1111</v>
      </c>
      <c r="G4555" s="1">
        <v>0.60419999999999996</v>
      </c>
      <c r="H4555" s="1">
        <v>0.28470000000000001</v>
      </c>
    </row>
    <row r="4556" spans="1:8">
      <c r="A4556" t="s">
        <v>235</v>
      </c>
      <c r="B4556" t="s">
        <v>209</v>
      </c>
      <c r="C4556">
        <v>58</v>
      </c>
      <c r="D4556" t="s">
        <v>212</v>
      </c>
      <c r="E4556">
        <v>796</v>
      </c>
      <c r="F4556" s="1">
        <v>0.17460000000000001</v>
      </c>
      <c r="G4556" s="1">
        <v>0.52049999999999996</v>
      </c>
      <c r="H4556" s="1">
        <v>0.30499999999999999</v>
      </c>
    </row>
    <row r="4557" spans="1:8" s="26" customFormat="1">
      <c r="A4557" s="26" t="s">
        <v>236</v>
      </c>
      <c r="B4557" s="26" t="s">
        <v>209</v>
      </c>
      <c r="C4557" s="26">
        <v>15</v>
      </c>
      <c r="D4557" s="26" t="s">
        <v>212</v>
      </c>
      <c r="E4557" s="26">
        <v>796</v>
      </c>
      <c r="F4557" s="27">
        <v>6.7900000000000002E-2</v>
      </c>
      <c r="G4557" s="27">
        <v>0.4854</v>
      </c>
      <c r="H4557" s="27">
        <v>0.44679999999999997</v>
      </c>
    </row>
    <row r="4558" spans="1:8" s="26" customFormat="1">
      <c r="A4558" s="26" t="s">
        <v>235</v>
      </c>
      <c r="B4558" s="26" t="s">
        <v>209</v>
      </c>
      <c r="C4558" s="26">
        <v>25</v>
      </c>
      <c r="D4558" s="26" t="s">
        <v>210</v>
      </c>
      <c r="E4558" s="26">
        <v>796</v>
      </c>
      <c r="F4558" s="27">
        <v>4.0899999999999999E-2</v>
      </c>
      <c r="G4558" s="27">
        <v>0.59140000000000004</v>
      </c>
      <c r="H4558" s="27">
        <v>0.36780000000000002</v>
      </c>
    </row>
    <row r="4559" spans="1:8">
      <c r="A4559" t="s">
        <v>236</v>
      </c>
      <c r="B4559" t="s">
        <v>209</v>
      </c>
      <c r="C4559">
        <v>31</v>
      </c>
      <c r="D4559" t="s">
        <v>210</v>
      </c>
      <c r="E4559">
        <v>796</v>
      </c>
      <c r="F4559" s="1">
        <v>7.51E-2</v>
      </c>
      <c r="G4559" s="1">
        <v>0.6966</v>
      </c>
      <c r="H4559" s="1">
        <v>0.2283</v>
      </c>
    </row>
    <row r="4561" spans="1:7">
      <c r="A4561" t="s">
        <v>1040</v>
      </c>
    </row>
    <row r="4562" spans="1:7">
      <c r="A4562" t="s">
        <v>189</v>
      </c>
      <c r="B4562" t="s">
        <v>195</v>
      </c>
      <c r="C4562" t="s">
        <v>190</v>
      </c>
      <c r="D4562" t="s">
        <v>196</v>
      </c>
      <c r="E4562" t="s">
        <v>870</v>
      </c>
      <c r="F4562" t="s">
        <v>1041</v>
      </c>
      <c r="G4562" t="s">
        <v>1042</v>
      </c>
    </row>
    <row r="4563" spans="1:7">
      <c r="A4563" t="s">
        <v>197</v>
      </c>
      <c r="B4563">
        <v>968</v>
      </c>
      <c r="C4563" t="s">
        <v>198</v>
      </c>
      <c r="D4563">
        <v>968</v>
      </c>
      <c r="E4563" s="1">
        <v>1.2699999999999999E-2</v>
      </c>
      <c r="F4563" s="1">
        <v>0.97850000000000004</v>
      </c>
      <c r="G4563" s="1">
        <v>8.8000000000000005E-3</v>
      </c>
    </row>
    <row r="4564" spans="1:7">
      <c r="A4564" t="s">
        <v>204</v>
      </c>
      <c r="B4564">
        <v>91</v>
      </c>
      <c r="C4564" t="s">
        <v>205</v>
      </c>
      <c r="D4564">
        <v>968</v>
      </c>
      <c r="E4564" s="1">
        <v>4.8999999999999998E-3</v>
      </c>
      <c r="F4564" s="1">
        <v>0.97430000000000005</v>
      </c>
      <c r="G4564" s="1">
        <v>2.0899999999999998E-2</v>
      </c>
    </row>
    <row r="4565" spans="1:7">
      <c r="A4565" t="s">
        <v>204</v>
      </c>
      <c r="B4565">
        <v>72</v>
      </c>
      <c r="C4565" t="s">
        <v>206</v>
      </c>
      <c r="D4565">
        <v>968</v>
      </c>
      <c r="E4565" s="1">
        <v>8.8300000000000003E-2</v>
      </c>
      <c r="F4565" s="1">
        <v>0.91169999999999995</v>
      </c>
    </row>
    <row r="4566" spans="1:7">
      <c r="A4566" t="s">
        <v>204</v>
      </c>
      <c r="B4566">
        <v>131</v>
      </c>
      <c r="C4566" t="s">
        <v>207</v>
      </c>
      <c r="D4566">
        <v>968</v>
      </c>
      <c r="E4566" s="1">
        <v>3.5999999999999999E-3</v>
      </c>
      <c r="F4566" s="1">
        <v>0.99639999999999995</v>
      </c>
    </row>
    <row r="4567" spans="1:7">
      <c r="A4567" t="s">
        <v>204</v>
      </c>
      <c r="B4567">
        <v>74</v>
      </c>
      <c r="C4567" t="s">
        <v>208</v>
      </c>
      <c r="D4567">
        <v>968</v>
      </c>
      <c r="E4567" s="1">
        <v>4.0500000000000001E-2</v>
      </c>
      <c r="F4567" s="1">
        <v>0.94589999999999996</v>
      </c>
      <c r="G4567" s="1">
        <v>1.35E-2</v>
      </c>
    </row>
    <row r="4568" spans="1:7">
      <c r="A4568" t="s">
        <v>199</v>
      </c>
      <c r="B4568">
        <v>73</v>
      </c>
      <c r="C4568" t="s">
        <v>200</v>
      </c>
      <c r="D4568">
        <v>968</v>
      </c>
      <c r="F4568" s="1">
        <v>1</v>
      </c>
    </row>
    <row r="4569" spans="1:7">
      <c r="A4569" t="s">
        <v>199</v>
      </c>
      <c r="B4569">
        <v>96</v>
      </c>
      <c r="C4569" t="s">
        <v>201</v>
      </c>
      <c r="D4569">
        <v>968</v>
      </c>
      <c r="E4569" s="1">
        <v>1.04E-2</v>
      </c>
      <c r="F4569" s="1">
        <v>0.98960000000000004</v>
      </c>
    </row>
    <row r="4570" spans="1:7">
      <c r="A4570" t="s">
        <v>199</v>
      </c>
      <c r="B4570">
        <v>98</v>
      </c>
      <c r="C4570" t="s">
        <v>202</v>
      </c>
      <c r="D4570">
        <v>968</v>
      </c>
      <c r="E4570" s="1">
        <v>1.3299999999999999E-2</v>
      </c>
      <c r="F4570" s="1">
        <v>0.98670000000000002</v>
      </c>
    </row>
    <row r="4571" spans="1:7">
      <c r="A4571" t="s">
        <v>199</v>
      </c>
      <c r="B4571">
        <v>77</v>
      </c>
      <c r="C4571" t="s">
        <v>203</v>
      </c>
      <c r="D4571">
        <v>968</v>
      </c>
      <c r="E4571" s="1">
        <v>1.5699999999999999E-2</v>
      </c>
      <c r="F4571" s="1">
        <v>0.98429999999999995</v>
      </c>
    </row>
    <row r="4572" spans="1:7">
      <c r="A4572" t="s">
        <v>209</v>
      </c>
      <c r="B4572">
        <v>74</v>
      </c>
      <c r="C4572" t="s">
        <v>210</v>
      </c>
      <c r="D4572">
        <v>968</v>
      </c>
      <c r="E4572" s="1">
        <v>4.3700000000000003E-2</v>
      </c>
      <c r="F4572" s="1">
        <v>0.94799999999999995</v>
      </c>
      <c r="G4572" s="1">
        <v>8.3000000000000001E-3</v>
      </c>
    </row>
    <row r="4573" spans="1:7">
      <c r="A4573" t="s">
        <v>209</v>
      </c>
      <c r="B4573">
        <v>97</v>
      </c>
      <c r="C4573" t="s">
        <v>211</v>
      </c>
      <c r="D4573">
        <v>968</v>
      </c>
      <c r="F4573" s="1">
        <v>0.98799999999999999</v>
      </c>
      <c r="G4573" s="1">
        <v>1.2E-2</v>
      </c>
    </row>
    <row r="4574" spans="1:7">
      <c r="A4574" t="s">
        <v>209</v>
      </c>
      <c r="B4574">
        <v>85</v>
      </c>
      <c r="C4574" t="s">
        <v>212</v>
      </c>
      <c r="D4574">
        <v>968</v>
      </c>
      <c r="E4574" s="1">
        <v>2.5600000000000001E-2</v>
      </c>
      <c r="F4574" s="1">
        <v>0.94650000000000001</v>
      </c>
      <c r="G4574" s="1">
        <v>2.7900000000000001E-2</v>
      </c>
    </row>
    <row r="4576" spans="1:7">
      <c r="A4576" t="s">
        <v>1043</v>
      </c>
    </row>
    <row r="4577" spans="1:8">
      <c r="A4577" t="s">
        <v>214</v>
      </c>
      <c r="B4577" t="s">
        <v>189</v>
      </c>
      <c r="C4577" t="s">
        <v>195</v>
      </c>
      <c r="D4577" t="s">
        <v>190</v>
      </c>
      <c r="E4577" t="s">
        <v>196</v>
      </c>
      <c r="F4577" t="s">
        <v>870</v>
      </c>
      <c r="G4577" t="s">
        <v>1041</v>
      </c>
      <c r="H4577" t="s">
        <v>1042</v>
      </c>
    </row>
    <row r="4578" spans="1:8">
      <c r="A4578" t="s">
        <v>198</v>
      </c>
      <c r="B4578" t="s">
        <v>197</v>
      </c>
      <c r="C4578">
        <v>968</v>
      </c>
      <c r="D4578" t="s">
        <v>198</v>
      </c>
      <c r="E4578">
        <v>968</v>
      </c>
      <c r="F4578" s="1">
        <v>1.2699999999999999E-2</v>
      </c>
      <c r="G4578" s="1">
        <v>0.97850000000000004</v>
      </c>
      <c r="H4578" s="1">
        <v>8.8000000000000005E-3</v>
      </c>
    </row>
    <row r="4579" spans="1:8">
      <c r="A4579" t="s">
        <v>235</v>
      </c>
      <c r="B4579" t="s">
        <v>204</v>
      </c>
      <c r="C4579">
        <v>63</v>
      </c>
      <c r="D4579" t="s">
        <v>208</v>
      </c>
      <c r="E4579">
        <v>968</v>
      </c>
      <c r="F4579" s="1">
        <v>3.1699999999999999E-2</v>
      </c>
      <c r="G4579" s="1">
        <v>0.95240000000000002</v>
      </c>
      <c r="H4579" s="1">
        <v>1.5900000000000001E-2</v>
      </c>
    </row>
    <row r="4580" spans="1:8">
      <c r="A4580" t="s">
        <v>236</v>
      </c>
      <c r="B4580" t="s">
        <v>204</v>
      </c>
      <c r="C4580">
        <v>32</v>
      </c>
      <c r="D4580" t="s">
        <v>205</v>
      </c>
      <c r="E4580">
        <v>968</v>
      </c>
      <c r="F4580" s="1">
        <v>1.37E-2</v>
      </c>
      <c r="G4580" s="1">
        <v>0.98629999999999995</v>
      </c>
    </row>
    <row r="4581" spans="1:8">
      <c r="A4581" t="s">
        <v>235</v>
      </c>
      <c r="B4581" t="s">
        <v>204</v>
      </c>
      <c r="C4581">
        <v>58</v>
      </c>
      <c r="D4581" t="s">
        <v>205</v>
      </c>
      <c r="E4581">
        <v>968</v>
      </c>
      <c r="F4581" s="1">
        <v>3.0000000000000001E-3</v>
      </c>
      <c r="G4581" s="1">
        <v>0.97160000000000002</v>
      </c>
      <c r="H4581" s="1">
        <v>2.5499999999999998E-2</v>
      </c>
    </row>
    <row r="4582" spans="1:8" s="26" customFormat="1">
      <c r="A4582" s="26" t="s">
        <v>236</v>
      </c>
      <c r="B4582" s="26" t="s">
        <v>204</v>
      </c>
      <c r="C4582" s="26">
        <v>21</v>
      </c>
      <c r="D4582" s="26" t="s">
        <v>206</v>
      </c>
      <c r="E4582" s="26">
        <v>968</v>
      </c>
      <c r="F4582" s="27">
        <v>0.10249999999999999</v>
      </c>
      <c r="G4582" s="27">
        <v>0.89749999999999996</v>
      </c>
    </row>
    <row r="4583" spans="1:8">
      <c r="A4583" t="s">
        <v>235</v>
      </c>
      <c r="B4583" t="s">
        <v>204</v>
      </c>
      <c r="C4583">
        <v>47</v>
      </c>
      <c r="D4583" t="s">
        <v>206</v>
      </c>
      <c r="E4583">
        <v>968</v>
      </c>
      <c r="F4583" s="1">
        <v>8.9300000000000004E-2</v>
      </c>
      <c r="G4583" s="1">
        <v>0.91069999999999995</v>
      </c>
    </row>
    <row r="4584" spans="1:8">
      <c r="A4584" t="s">
        <v>236</v>
      </c>
      <c r="B4584" t="s">
        <v>204</v>
      </c>
      <c r="C4584">
        <v>81</v>
      </c>
      <c r="D4584" t="s">
        <v>207</v>
      </c>
      <c r="E4584">
        <v>968</v>
      </c>
      <c r="F4584" s="1">
        <v>8.8000000000000005E-3</v>
      </c>
      <c r="G4584" s="1">
        <v>0.99119999999999997</v>
      </c>
    </row>
    <row r="4585" spans="1:8">
      <c r="A4585" t="s">
        <v>235</v>
      </c>
      <c r="B4585" t="s">
        <v>204</v>
      </c>
      <c r="C4585">
        <v>45</v>
      </c>
      <c r="D4585" t="s">
        <v>207</v>
      </c>
      <c r="E4585">
        <v>968</v>
      </c>
      <c r="G4585" s="1">
        <v>1</v>
      </c>
    </row>
    <row r="4586" spans="1:8" s="26" customFormat="1">
      <c r="A4586" s="26" t="s">
        <v>236</v>
      </c>
      <c r="B4586" s="26" t="s">
        <v>204</v>
      </c>
      <c r="C4586" s="26">
        <v>11</v>
      </c>
      <c r="D4586" s="26" t="s">
        <v>208</v>
      </c>
      <c r="E4586" s="26">
        <v>968</v>
      </c>
      <c r="F4586" s="27">
        <v>9.0899999999999995E-2</v>
      </c>
      <c r="G4586" s="27">
        <v>0.90910000000000002</v>
      </c>
    </row>
    <row r="4587" spans="1:8">
      <c r="A4587" t="s">
        <v>235</v>
      </c>
      <c r="B4587" t="s">
        <v>199</v>
      </c>
      <c r="C4587">
        <v>44</v>
      </c>
      <c r="D4587" t="s">
        <v>203</v>
      </c>
      <c r="E4587">
        <v>968</v>
      </c>
      <c r="F4587" s="1">
        <v>1.18E-2</v>
      </c>
      <c r="G4587" s="1">
        <v>0.98819999999999997</v>
      </c>
    </row>
    <row r="4588" spans="1:8">
      <c r="A4588" t="s">
        <v>236</v>
      </c>
      <c r="B4588" t="s">
        <v>199</v>
      </c>
      <c r="C4588">
        <v>32</v>
      </c>
      <c r="D4588" t="s">
        <v>203</v>
      </c>
      <c r="E4588">
        <v>968</v>
      </c>
      <c r="F4588" s="1">
        <v>2.3900000000000001E-2</v>
      </c>
      <c r="G4588" s="1">
        <v>0.97609999999999997</v>
      </c>
    </row>
    <row r="4589" spans="1:8">
      <c r="A4589" t="s">
        <v>235</v>
      </c>
      <c r="B4589" t="s">
        <v>199</v>
      </c>
      <c r="C4589">
        <v>60</v>
      </c>
      <c r="D4589" t="s">
        <v>202</v>
      </c>
      <c r="E4589">
        <v>968</v>
      </c>
      <c r="F4589" s="1">
        <v>2.3199999999999998E-2</v>
      </c>
      <c r="G4589" s="1">
        <v>0.9768</v>
      </c>
    </row>
    <row r="4590" spans="1:8" s="26" customFormat="1">
      <c r="A4590" s="26" t="s">
        <v>236</v>
      </c>
      <c r="B4590" s="26" t="s">
        <v>199</v>
      </c>
      <c r="C4590" s="26">
        <v>24</v>
      </c>
      <c r="D4590" s="26" t="s">
        <v>200</v>
      </c>
      <c r="E4590" s="26">
        <v>968</v>
      </c>
      <c r="G4590" s="27">
        <v>1</v>
      </c>
    </row>
    <row r="4591" spans="1:8">
      <c r="A4591" t="s">
        <v>235</v>
      </c>
      <c r="B4591" t="s">
        <v>199</v>
      </c>
      <c r="C4591">
        <v>46</v>
      </c>
      <c r="D4591" t="s">
        <v>200</v>
      </c>
      <c r="E4591">
        <v>968</v>
      </c>
      <c r="G4591" s="1">
        <v>1</v>
      </c>
    </row>
    <row r="4592" spans="1:8">
      <c r="A4592" t="s">
        <v>236</v>
      </c>
      <c r="B4592" t="s">
        <v>199</v>
      </c>
      <c r="C4592">
        <v>37</v>
      </c>
      <c r="D4592" t="s">
        <v>202</v>
      </c>
      <c r="E4592">
        <v>968</v>
      </c>
      <c r="G4592" s="1">
        <v>1</v>
      </c>
    </row>
    <row r="4593" spans="1:8">
      <c r="A4593" t="s">
        <v>235</v>
      </c>
      <c r="B4593" t="s">
        <v>199</v>
      </c>
      <c r="C4593">
        <v>96</v>
      </c>
      <c r="D4593" t="s">
        <v>201</v>
      </c>
      <c r="E4593">
        <v>968</v>
      </c>
      <c r="F4593" s="1">
        <v>1.04E-2</v>
      </c>
      <c r="G4593" s="1">
        <v>0.98960000000000004</v>
      </c>
    </row>
    <row r="4594" spans="1:8">
      <c r="A4594" t="s">
        <v>236</v>
      </c>
      <c r="B4594" t="s">
        <v>209</v>
      </c>
      <c r="C4594">
        <v>39</v>
      </c>
      <c r="D4594" t="s">
        <v>211</v>
      </c>
      <c r="E4594">
        <v>968</v>
      </c>
      <c r="G4594" s="1">
        <v>1</v>
      </c>
    </row>
    <row r="4595" spans="1:8">
      <c r="A4595" t="s">
        <v>235</v>
      </c>
      <c r="B4595" t="s">
        <v>209</v>
      </c>
      <c r="C4595">
        <v>56</v>
      </c>
      <c r="D4595" t="s">
        <v>211</v>
      </c>
      <c r="E4595">
        <v>968</v>
      </c>
      <c r="G4595" s="1">
        <v>0.98040000000000005</v>
      </c>
      <c r="H4595" s="1">
        <v>1.9599999999999999E-2</v>
      </c>
    </row>
    <row r="4596" spans="1:8">
      <c r="A4596" t="s">
        <v>235</v>
      </c>
      <c r="B4596" t="s">
        <v>209</v>
      </c>
      <c r="C4596">
        <v>67</v>
      </c>
      <c r="D4596" t="s">
        <v>212</v>
      </c>
      <c r="E4596">
        <v>968</v>
      </c>
      <c r="F4596" s="1">
        <v>2.9600000000000001E-2</v>
      </c>
      <c r="G4596" s="1">
        <v>0.93789999999999996</v>
      </c>
      <c r="H4596" s="1">
        <v>3.2399999999999998E-2</v>
      </c>
    </row>
    <row r="4597" spans="1:8" s="26" customFormat="1">
      <c r="A4597" s="26" t="s">
        <v>236</v>
      </c>
      <c r="B4597" s="26" t="s">
        <v>209</v>
      </c>
      <c r="C4597" s="26">
        <v>18</v>
      </c>
      <c r="D4597" s="26" t="s">
        <v>212</v>
      </c>
      <c r="E4597" s="26">
        <v>968</v>
      </c>
      <c r="G4597" s="27">
        <v>1</v>
      </c>
    </row>
    <row r="4598" spans="1:8">
      <c r="A4598" t="s">
        <v>236</v>
      </c>
      <c r="B4598" t="s">
        <v>209</v>
      </c>
      <c r="C4598">
        <v>38</v>
      </c>
      <c r="D4598" t="s">
        <v>210</v>
      </c>
      <c r="E4598">
        <v>968</v>
      </c>
      <c r="F4598" s="1">
        <v>2.0299999999999999E-2</v>
      </c>
      <c r="G4598" s="1">
        <v>0.95930000000000004</v>
      </c>
      <c r="H4598" s="1">
        <v>2.0299999999999999E-2</v>
      </c>
    </row>
    <row r="4599" spans="1:8">
      <c r="A4599" t="s">
        <v>235</v>
      </c>
      <c r="B4599" t="s">
        <v>209</v>
      </c>
      <c r="C4599">
        <v>32</v>
      </c>
      <c r="D4599" t="s">
        <v>210</v>
      </c>
      <c r="E4599">
        <v>968</v>
      </c>
      <c r="F4599" s="1">
        <v>6.4600000000000005E-2</v>
      </c>
      <c r="G4599" s="1">
        <v>0.93540000000000001</v>
      </c>
    </row>
    <row r="4601" spans="1:8">
      <c r="A4601" t="s">
        <v>1044</v>
      </c>
    </row>
    <row r="4602" spans="1:8">
      <c r="A4602" t="s">
        <v>190</v>
      </c>
      <c r="B4602" t="s">
        <v>705</v>
      </c>
      <c r="C4602" t="s">
        <v>1045</v>
      </c>
      <c r="D4602" t="s">
        <v>1046</v>
      </c>
      <c r="E4602" t="s">
        <v>1047</v>
      </c>
      <c r="F4602" t="s">
        <v>716</v>
      </c>
      <c r="G4602" t="s">
        <v>195</v>
      </c>
      <c r="H4602" t="s">
        <v>196</v>
      </c>
    </row>
    <row r="4603" spans="1:8">
      <c r="A4603" t="s">
        <v>198</v>
      </c>
      <c r="B4603" t="s">
        <v>1048</v>
      </c>
      <c r="C4603" s="1">
        <v>4.5999999999999999E-3</v>
      </c>
      <c r="D4603" s="1">
        <v>2.3300000000000001E-2</v>
      </c>
      <c r="E4603" s="1">
        <v>3.1399999999999997E-2</v>
      </c>
      <c r="F4603">
        <v>757</v>
      </c>
      <c r="G4603">
        <v>757</v>
      </c>
      <c r="H4603">
        <v>757</v>
      </c>
    </row>
    <row r="4604" spans="1:8">
      <c r="A4604" t="s">
        <v>198</v>
      </c>
      <c r="B4604" t="s">
        <v>228</v>
      </c>
      <c r="C4604" s="1">
        <v>6.1999999999999998E-3</v>
      </c>
      <c r="D4604" s="1">
        <v>3.2000000000000001E-2</v>
      </c>
      <c r="E4604" s="1">
        <v>5.3100000000000001E-2</v>
      </c>
      <c r="F4604">
        <v>757</v>
      </c>
      <c r="G4604">
        <v>757</v>
      </c>
      <c r="H4604">
        <v>757</v>
      </c>
    </row>
    <row r="4605" spans="1:8">
      <c r="A4605" t="s">
        <v>198</v>
      </c>
      <c r="B4605" t="s">
        <v>1049</v>
      </c>
      <c r="C4605" s="1">
        <v>7.1999999999999998E-3</v>
      </c>
      <c r="D4605" s="1">
        <v>7.6100000000000001E-2</v>
      </c>
      <c r="E4605" s="1">
        <v>7.4899999999999994E-2</v>
      </c>
      <c r="F4605">
        <v>757</v>
      </c>
      <c r="G4605">
        <v>757</v>
      </c>
      <c r="H4605">
        <v>757</v>
      </c>
    </row>
    <row r="4606" spans="1:8">
      <c r="A4606" t="s">
        <v>198</v>
      </c>
      <c r="B4606" t="s">
        <v>1050</v>
      </c>
      <c r="C4606" s="1">
        <v>3.0000000000000001E-3</v>
      </c>
      <c r="D4606" s="1">
        <v>1.44E-2</v>
      </c>
      <c r="E4606" s="1">
        <v>1.41E-2</v>
      </c>
      <c r="F4606">
        <v>757</v>
      </c>
      <c r="G4606">
        <v>757</v>
      </c>
      <c r="H4606">
        <v>757</v>
      </c>
    </row>
    <row r="4607" spans="1:8">
      <c r="A4607" t="s">
        <v>198</v>
      </c>
      <c r="B4607" t="s">
        <v>1051</v>
      </c>
      <c r="C4607" s="1">
        <v>7.8799999999999995E-2</v>
      </c>
      <c r="D4607" s="1">
        <v>9.7699999999999995E-2</v>
      </c>
      <c r="E4607" s="1">
        <v>6.8699999999999997E-2</v>
      </c>
      <c r="F4607">
        <v>757</v>
      </c>
      <c r="G4607">
        <v>757</v>
      </c>
      <c r="H4607">
        <v>757</v>
      </c>
    </row>
    <row r="4608" spans="1:8">
      <c r="A4608" t="s">
        <v>198</v>
      </c>
      <c r="B4608" t="s">
        <v>1052</v>
      </c>
      <c r="C4608" s="1">
        <v>5.9999999999999995E-4</v>
      </c>
      <c r="D4608" s="1">
        <v>8.0000000000000004E-4</v>
      </c>
      <c r="E4608" s="1">
        <v>3.8E-3</v>
      </c>
      <c r="F4608">
        <v>757</v>
      </c>
      <c r="G4608">
        <v>757</v>
      </c>
      <c r="H4608">
        <v>757</v>
      </c>
    </row>
    <row r="4609" spans="1:8">
      <c r="A4609" t="s">
        <v>198</v>
      </c>
      <c r="B4609" t="s">
        <v>1053</v>
      </c>
      <c r="C4609" s="1">
        <v>4.4999999999999998E-2</v>
      </c>
      <c r="D4609" s="1">
        <v>9.3299999999999994E-2</v>
      </c>
      <c r="E4609" s="1">
        <v>9.5100000000000004E-2</v>
      </c>
      <c r="F4609">
        <v>757</v>
      </c>
      <c r="G4609">
        <v>757</v>
      </c>
      <c r="H4609">
        <v>757</v>
      </c>
    </row>
    <row r="4610" spans="1:8">
      <c r="A4610" t="s">
        <v>198</v>
      </c>
      <c r="B4610" t="s">
        <v>1054</v>
      </c>
      <c r="C4610" s="1">
        <v>2.41E-2</v>
      </c>
      <c r="D4610" s="1">
        <v>5.96E-2</v>
      </c>
      <c r="E4610" s="1">
        <v>4.8399999999999999E-2</v>
      </c>
      <c r="F4610">
        <v>757</v>
      </c>
      <c r="G4610">
        <v>757</v>
      </c>
      <c r="H4610">
        <v>757</v>
      </c>
    </row>
    <row r="4611" spans="1:8">
      <c r="A4611" t="s">
        <v>198</v>
      </c>
      <c r="B4611" t="s">
        <v>1055</v>
      </c>
      <c r="C4611" s="1">
        <v>4.0000000000000001E-3</v>
      </c>
      <c r="D4611" s="1">
        <v>8.9999999999999998E-4</v>
      </c>
      <c r="E4611" s="1">
        <v>8.0999999999999996E-3</v>
      </c>
      <c r="F4611">
        <v>757</v>
      </c>
      <c r="G4611">
        <v>757</v>
      </c>
      <c r="H4611">
        <v>757</v>
      </c>
    </row>
    <row r="4612" spans="1:8">
      <c r="A4612" t="s">
        <v>198</v>
      </c>
      <c r="B4612" t="s">
        <v>1056</v>
      </c>
      <c r="C4612" s="1">
        <v>3.8999999999999998E-3</v>
      </c>
      <c r="D4612" s="1">
        <v>6.4000000000000003E-3</v>
      </c>
      <c r="E4612" s="1">
        <v>5.0000000000000001E-3</v>
      </c>
      <c r="F4612">
        <v>757</v>
      </c>
      <c r="G4612">
        <v>757</v>
      </c>
      <c r="H4612">
        <v>757</v>
      </c>
    </row>
    <row r="4613" spans="1:8">
      <c r="A4613" t="s">
        <v>198</v>
      </c>
      <c r="B4613" t="s">
        <v>1057</v>
      </c>
      <c r="C4613" s="1">
        <v>1.5E-3</v>
      </c>
      <c r="D4613" s="1">
        <v>2.3900000000000001E-2</v>
      </c>
      <c r="E4613" s="1">
        <v>3.0700000000000002E-2</v>
      </c>
      <c r="F4613">
        <v>757</v>
      </c>
      <c r="G4613">
        <v>757</v>
      </c>
      <c r="H4613">
        <v>757</v>
      </c>
    </row>
    <row r="4614" spans="1:8">
      <c r="A4614" t="s">
        <v>198</v>
      </c>
      <c r="B4614" t="s">
        <v>1058</v>
      </c>
      <c r="C4614" s="1">
        <v>3.32E-2</v>
      </c>
      <c r="D4614" s="1">
        <v>0.10390000000000001</v>
      </c>
      <c r="E4614" s="1">
        <v>0.15029999999999999</v>
      </c>
      <c r="F4614">
        <v>757</v>
      </c>
      <c r="G4614">
        <v>757</v>
      </c>
      <c r="H4614">
        <v>757</v>
      </c>
    </row>
    <row r="4615" spans="1:8">
      <c r="A4615" t="s">
        <v>198</v>
      </c>
      <c r="B4615" t="s">
        <v>1059</v>
      </c>
      <c r="C4615" s="1">
        <v>4.5999999999999999E-3</v>
      </c>
      <c r="D4615" s="1">
        <v>8.8999999999999999E-3</v>
      </c>
      <c r="E4615" s="1">
        <v>1.38E-2</v>
      </c>
      <c r="F4615">
        <v>757</v>
      </c>
      <c r="G4615">
        <v>757</v>
      </c>
      <c r="H4615">
        <v>757</v>
      </c>
    </row>
    <row r="4616" spans="1:8">
      <c r="A4616" t="s">
        <v>198</v>
      </c>
      <c r="B4616" t="s">
        <v>1060</v>
      </c>
      <c r="C4616" s="1">
        <v>1.84E-2</v>
      </c>
      <c r="D4616" s="1">
        <v>4.5699999999999998E-2</v>
      </c>
      <c r="E4616" s="1">
        <v>0.1041</v>
      </c>
      <c r="F4616">
        <v>757</v>
      </c>
      <c r="G4616">
        <v>757</v>
      </c>
      <c r="H4616">
        <v>757</v>
      </c>
    </row>
    <row r="4617" spans="1:8">
      <c r="A4617" t="s">
        <v>198</v>
      </c>
      <c r="B4617" t="s">
        <v>1061</v>
      </c>
      <c r="C4617" s="1">
        <v>8.9999999999999998E-4</v>
      </c>
      <c r="D4617" s="1">
        <v>2.8E-3</v>
      </c>
      <c r="E4617" s="1">
        <v>1.0999999999999999E-2</v>
      </c>
      <c r="F4617">
        <v>757</v>
      </c>
      <c r="G4617">
        <v>757</v>
      </c>
      <c r="H4617">
        <v>757</v>
      </c>
    </row>
    <row r="4618" spans="1:8">
      <c r="A4618" t="s">
        <v>198</v>
      </c>
      <c r="B4618" t="s">
        <v>1062</v>
      </c>
      <c r="C4618" s="1">
        <v>0.01</v>
      </c>
      <c r="D4618" s="1">
        <v>1.8599999999999998E-2</v>
      </c>
      <c r="E4618" s="1">
        <v>3.6600000000000001E-2</v>
      </c>
      <c r="F4618">
        <v>757</v>
      </c>
      <c r="G4618">
        <v>757</v>
      </c>
      <c r="H4618">
        <v>757</v>
      </c>
    </row>
    <row r="4619" spans="1:8">
      <c r="A4619" t="s">
        <v>198</v>
      </c>
      <c r="B4619" t="s">
        <v>1063</v>
      </c>
      <c r="C4619" s="1">
        <v>9.4000000000000004E-3</v>
      </c>
      <c r="D4619" s="1">
        <v>2.07E-2</v>
      </c>
      <c r="E4619" s="1">
        <v>2.4799999999999999E-2</v>
      </c>
      <c r="F4619">
        <v>757</v>
      </c>
      <c r="G4619">
        <v>757</v>
      </c>
      <c r="H4619">
        <v>757</v>
      </c>
    </row>
    <row r="4620" spans="1:8">
      <c r="A4620" t="s">
        <v>198</v>
      </c>
      <c r="B4620" t="s">
        <v>1064</v>
      </c>
      <c r="C4620" s="1">
        <v>0.40770000000000001</v>
      </c>
      <c r="D4620" s="1">
        <v>0.2545</v>
      </c>
      <c r="E4620" s="1">
        <v>0.13250000000000001</v>
      </c>
      <c r="F4620">
        <v>757</v>
      </c>
      <c r="G4620">
        <v>757</v>
      </c>
      <c r="H4620">
        <v>757</v>
      </c>
    </row>
    <row r="4621" spans="1:8">
      <c r="A4621" t="s">
        <v>198</v>
      </c>
      <c r="B4621" t="s">
        <v>1065</v>
      </c>
      <c r="C4621" s="1">
        <v>0.33500000000000002</v>
      </c>
      <c r="D4621" s="1">
        <v>0.10440000000000001</v>
      </c>
      <c r="E4621" s="1">
        <v>4.6699999999999998E-2</v>
      </c>
      <c r="F4621">
        <v>757</v>
      </c>
      <c r="G4621">
        <v>757</v>
      </c>
      <c r="H4621">
        <v>757</v>
      </c>
    </row>
    <row r="4622" spans="1:8">
      <c r="A4622" t="s">
        <v>198</v>
      </c>
      <c r="B4622" t="s">
        <v>278</v>
      </c>
      <c r="C4622" s="1">
        <v>1.9E-3</v>
      </c>
      <c r="D4622" s="1">
        <v>8.0000000000000002E-3</v>
      </c>
      <c r="E4622" s="1">
        <v>3.3999999999999998E-3</v>
      </c>
      <c r="F4622">
        <v>757</v>
      </c>
      <c r="G4622">
        <v>757</v>
      </c>
      <c r="H4622">
        <v>757</v>
      </c>
    </row>
    <row r="4623" spans="1:8">
      <c r="A4623" t="s">
        <v>198</v>
      </c>
      <c r="B4623" t="s">
        <v>223</v>
      </c>
      <c r="C4623" s="1">
        <v>1E-4</v>
      </c>
      <c r="D4623" s="1">
        <v>1E-4</v>
      </c>
      <c r="E4623" s="1">
        <v>8.9999999999999998E-4</v>
      </c>
      <c r="F4623">
        <v>757</v>
      </c>
      <c r="G4623">
        <v>757</v>
      </c>
      <c r="H4623">
        <v>757</v>
      </c>
    </row>
    <row r="4624" spans="1:8">
      <c r="A4624" t="s">
        <v>200</v>
      </c>
      <c r="B4624" t="s">
        <v>228</v>
      </c>
      <c r="C4624" s="1">
        <v>3.8E-3</v>
      </c>
      <c r="D4624" s="1">
        <v>6.4000000000000003E-3</v>
      </c>
      <c r="E4624" s="1">
        <v>4.4000000000000003E-3</v>
      </c>
      <c r="F4624">
        <v>17</v>
      </c>
      <c r="G4624">
        <v>59</v>
      </c>
      <c r="H4624">
        <v>757</v>
      </c>
    </row>
    <row r="4625" spans="1:8">
      <c r="A4625" t="s">
        <v>200</v>
      </c>
      <c r="B4625" t="s">
        <v>1050</v>
      </c>
      <c r="C4625" s="1">
        <v>3.8E-3</v>
      </c>
      <c r="E4625" s="1">
        <v>4.4000000000000003E-3</v>
      </c>
      <c r="F4625">
        <v>17</v>
      </c>
      <c r="G4625">
        <v>59</v>
      </c>
      <c r="H4625">
        <v>757</v>
      </c>
    </row>
    <row r="4626" spans="1:8">
      <c r="A4626" t="s">
        <v>200</v>
      </c>
      <c r="B4626" t="s">
        <v>1051</v>
      </c>
      <c r="C4626" s="1">
        <v>6.8000000000000005E-2</v>
      </c>
      <c r="D4626" s="1">
        <v>3.1199999999999999E-2</v>
      </c>
      <c r="E4626" s="1">
        <v>0.1845</v>
      </c>
      <c r="F4626">
        <v>17</v>
      </c>
      <c r="G4626">
        <v>59</v>
      </c>
      <c r="H4626">
        <v>757</v>
      </c>
    </row>
    <row r="4627" spans="1:8">
      <c r="A4627" t="s">
        <v>200</v>
      </c>
      <c r="B4627" t="s">
        <v>1053</v>
      </c>
      <c r="C4627" s="1">
        <v>1.9E-3</v>
      </c>
      <c r="D4627" s="1">
        <v>0.10639999999999999</v>
      </c>
      <c r="E4627" s="1">
        <v>0.29620000000000002</v>
      </c>
      <c r="F4627">
        <v>17</v>
      </c>
      <c r="G4627">
        <v>59</v>
      </c>
      <c r="H4627">
        <v>757</v>
      </c>
    </row>
    <row r="4628" spans="1:8">
      <c r="A4628" t="s">
        <v>200</v>
      </c>
      <c r="B4628" t="s">
        <v>1054</v>
      </c>
      <c r="C4628" s="1">
        <v>1.9E-3</v>
      </c>
      <c r="D4628" s="1">
        <v>0.10059999999999999</v>
      </c>
      <c r="F4628">
        <v>17</v>
      </c>
      <c r="G4628">
        <v>59</v>
      </c>
      <c r="H4628">
        <v>757</v>
      </c>
    </row>
    <row r="4629" spans="1:8">
      <c r="A4629" t="s">
        <v>200</v>
      </c>
      <c r="B4629" t="s">
        <v>1055</v>
      </c>
      <c r="C4629" s="1">
        <v>8.3199999999999996E-2</v>
      </c>
      <c r="F4629">
        <v>17</v>
      </c>
      <c r="G4629">
        <v>59</v>
      </c>
      <c r="H4629">
        <v>757</v>
      </c>
    </row>
    <row r="4630" spans="1:8">
      <c r="A4630" t="s">
        <v>200</v>
      </c>
      <c r="B4630" t="s">
        <v>1056</v>
      </c>
      <c r="C4630" s="1">
        <v>1.9E-3</v>
      </c>
      <c r="F4630">
        <v>17</v>
      </c>
      <c r="G4630">
        <v>59</v>
      </c>
      <c r="H4630">
        <v>757</v>
      </c>
    </row>
    <row r="4631" spans="1:8">
      <c r="A4631" t="s">
        <v>200</v>
      </c>
      <c r="B4631" t="s">
        <v>1057</v>
      </c>
      <c r="C4631" s="1">
        <v>1.9E-3</v>
      </c>
      <c r="D4631" s="1">
        <v>2.0999999999999999E-3</v>
      </c>
      <c r="E4631" s="1">
        <v>4.4000000000000003E-3</v>
      </c>
      <c r="F4631">
        <v>17</v>
      </c>
      <c r="G4631">
        <v>59</v>
      </c>
      <c r="H4631">
        <v>757</v>
      </c>
    </row>
    <row r="4632" spans="1:8">
      <c r="A4632" t="s">
        <v>200</v>
      </c>
      <c r="B4632" t="s">
        <v>1058</v>
      </c>
      <c r="C4632" s="1">
        <v>1.9E-3</v>
      </c>
      <c r="D4632" s="1">
        <v>0.50129999999999997</v>
      </c>
      <c r="E4632" s="1">
        <v>0.1138</v>
      </c>
      <c r="F4632">
        <v>17</v>
      </c>
      <c r="G4632">
        <v>59</v>
      </c>
      <c r="H4632">
        <v>757</v>
      </c>
    </row>
    <row r="4633" spans="1:8">
      <c r="A4633" t="s">
        <v>200</v>
      </c>
      <c r="B4633" t="s">
        <v>1061</v>
      </c>
      <c r="C4633" s="1">
        <v>1.9E-3</v>
      </c>
      <c r="F4633">
        <v>17</v>
      </c>
      <c r="G4633">
        <v>59</v>
      </c>
      <c r="H4633">
        <v>757</v>
      </c>
    </row>
    <row r="4634" spans="1:8">
      <c r="A4634" t="s">
        <v>200</v>
      </c>
      <c r="B4634" t="s">
        <v>1062</v>
      </c>
      <c r="C4634" s="1">
        <v>1.9E-3</v>
      </c>
      <c r="D4634" s="1">
        <v>2.0999999999999999E-3</v>
      </c>
      <c r="E4634" s="1">
        <v>9.69E-2</v>
      </c>
      <c r="F4634">
        <v>17</v>
      </c>
      <c r="G4634">
        <v>59</v>
      </c>
      <c r="H4634">
        <v>757</v>
      </c>
    </row>
    <row r="4635" spans="1:8">
      <c r="A4635" t="s">
        <v>200</v>
      </c>
      <c r="B4635" t="s">
        <v>1064</v>
      </c>
      <c r="C4635" s="1">
        <v>0.65310000000000001</v>
      </c>
      <c r="D4635" s="1">
        <v>0.11219999999999999</v>
      </c>
      <c r="E4635" s="1">
        <v>8.7599999999999997E-2</v>
      </c>
      <c r="F4635">
        <v>17</v>
      </c>
      <c r="G4635">
        <v>59</v>
      </c>
      <c r="H4635">
        <v>757</v>
      </c>
    </row>
    <row r="4636" spans="1:8">
      <c r="A4636" t="s">
        <v>200</v>
      </c>
      <c r="B4636" t="s">
        <v>1065</v>
      </c>
      <c r="C4636" s="1">
        <v>0.17460000000000001</v>
      </c>
      <c r="D4636" s="1">
        <v>6.6699999999999995E-2</v>
      </c>
      <c r="F4636">
        <v>17</v>
      </c>
      <c r="G4636">
        <v>59</v>
      </c>
      <c r="H4636">
        <v>757</v>
      </c>
    </row>
    <row r="4637" spans="1:8">
      <c r="A4637" t="s">
        <v>201</v>
      </c>
      <c r="B4637" t="s">
        <v>1048</v>
      </c>
      <c r="C4637" s="1">
        <v>1.35E-2</v>
      </c>
      <c r="D4637" s="1">
        <v>2.1299999999999999E-2</v>
      </c>
      <c r="E4637" s="1">
        <v>3.4500000000000003E-2</v>
      </c>
      <c r="F4637">
        <v>110</v>
      </c>
      <c r="G4637">
        <v>74</v>
      </c>
      <c r="H4637">
        <v>757</v>
      </c>
    </row>
    <row r="4638" spans="1:8">
      <c r="A4638" t="s">
        <v>201</v>
      </c>
      <c r="B4638" t="s">
        <v>1049</v>
      </c>
      <c r="C4638" s="1">
        <v>1.35E-2</v>
      </c>
      <c r="D4638" s="1">
        <v>4.2599999999999999E-2</v>
      </c>
      <c r="E4638" s="1">
        <v>0.1724</v>
      </c>
      <c r="F4638">
        <v>110</v>
      </c>
      <c r="G4638">
        <v>74</v>
      </c>
      <c r="H4638">
        <v>757</v>
      </c>
    </row>
    <row r="4639" spans="1:8">
      <c r="A4639" t="s">
        <v>201</v>
      </c>
      <c r="B4639" t="s">
        <v>1051</v>
      </c>
      <c r="C4639" s="1">
        <v>9.4600000000000004E-2</v>
      </c>
      <c r="D4639" s="1">
        <v>4.2599999999999999E-2</v>
      </c>
      <c r="E4639" s="1">
        <v>6.9000000000000006E-2</v>
      </c>
      <c r="F4639">
        <v>110</v>
      </c>
      <c r="G4639">
        <v>74</v>
      </c>
      <c r="H4639">
        <v>757</v>
      </c>
    </row>
    <row r="4640" spans="1:8">
      <c r="A4640" t="s">
        <v>201</v>
      </c>
      <c r="B4640" t="s">
        <v>1053</v>
      </c>
      <c r="C4640" s="1">
        <v>9.4600000000000004E-2</v>
      </c>
      <c r="D4640" s="1">
        <v>0.17019999999999999</v>
      </c>
      <c r="E4640" s="1">
        <v>0.13789999999999999</v>
      </c>
      <c r="F4640">
        <v>110</v>
      </c>
      <c r="G4640">
        <v>74</v>
      </c>
      <c r="H4640">
        <v>757</v>
      </c>
    </row>
    <row r="4641" spans="1:8">
      <c r="A4641" t="s">
        <v>201</v>
      </c>
      <c r="B4641" t="s">
        <v>1054</v>
      </c>
      <c r="C4641" s="1">
        <v>5.4100000000000002E-2</v>
      </c>
      <c r="D4641" s="1">
        <v>0.10639999999999999</v>
      </c>
      <c r="E4641" s="1">
        <v>0.10340000000000001</v>
      </c>
      <c r="F4641">
        <v>110</v>
      </c>
      <c r="G4641">
        <v>74</v>
      </c>
      <c r="H4641">
        <v>757</v>
      </c>
    </row>
    <row r="4642" spans="1:8">
      <c r="A4642" t="s">
        <v>201</v>
      </c>
      <c r="B4642" t="s">
        <v>1058</v>
      </c>
      <c r="C4642" s="1">
        <v>6.7599999999999993E-2</v>
      </c>
      <c r="D4642" s="1">
        <v>4.2599999999999999E-2</v>
      </c>
      <c r="F4642">
        <v>110</v>
      </c>
      <c r="G4642">
        <v>74</v>
      </c>
      <c r="H4642">
        <v>757</v>
      </c>
    </row>
    <row r="4643" spans="1:8">
      <c r="A4643" t="s">
        <v>201</v>
      </c>
      <c r="B4643" t="s">
        <v>1059</v>
      </c>
      <c r="C4643" s="1">
        <v>1.35E-2</v>
      </c>
      <c r="F4643">
        <v>110</v>
      </c>
      <c r="G4643">
        <v>74</v>
      </c>
      <c r="H4643">
        <v>757</v>
      </c>
    </row>
    <row r="4644" spans="1:8">
      <c r="A4644" t="s">
        <v>201</v>
      </c>
      <c r="B4644" t="s">
        <v>1060</v>
      </c>
      <c r="C4644" s="1">
        <v>1.35E-2</v>
      </c>
      <c r="D4644" s="1">
        <v>6.3799999999999996E-2</v>
      </c>
      <c r="F4644">
        <v>110</v>
      </c>
      <c r="G4644">
        <v>74</v>
      </c>
      <c r="H4644">
        <v>757</v>
      </c>
    </row>
    <row r="4645" spans="1:8">
      <c r="A4645" t="s">
        <v>201</v>
      </c>
      <c r="B4645" t="s">
        <v>1062</v>
      </c>
      <c r="C4645" s="1">
        <v>1.35E-2</v>
      </c>
      <c r="E4645" s="1">
        <v>6.9000000000000006E-2</v>
      </c>
      <c r="F4645">
        <v>110</v>
      </c>
      <c r="G4645">
        <v>74</v>
      </c>
      <c r="H4645">
        <v>757</v>
      </c>
    </row>
    <row r="4646" spans="1:8">
      <c r="A4646" t="s">
        <v>201</v>
      </c>
      <c r="B4646" t="s">
        <v>1063</v>
      </c>
      <c r="C4646" s="1">
        <v>2.7E-2</v>
      </c>
      <c r="D4646" s="1">
        <v>4.2599999999999999E-2</v>
      </c>
      <c r="E4646" s="1">
        <v>3.4500000000000003E-2</v>
      </c>
      <c r="F4646">
        <v>110</v>
      </c>
      <c r="G4646">
        <v>74</v>
      </c>
      <c r="H4646">
        <v>757</v>
      </c>
    </row>
    <row r="4647" spans="1:8">
      <c r="A4647" t="s">
        <v>201</v>
      </c>
      <c r="B4647" t="s">
        <v>1064</v>
      </c>
      <c r="C4647" s="1">
        <v>0.3649</v>
      </c>
      <c r="D4647" s="1">
        <v>0.31909999999999999</v>
      </c>
      <c r="E4647" s="1">
        <v>0.13789999999999999</v>
      </c>
      <c r="F4647">
        <v>110</v>
      </c>
      <c r="G4647">
        <v>74</v>
      </c>
      <c r="H4647">
        <v>757</v>
      </c>
    </row>
    <row r="4648" spans="1:8">
      <c r="A4648" t="s">
        <v>201</v>
      </c>
      <c r="B4648" t="s">
        <v>1065</v>
      </c>
      <c r="C4648" s="1">
        <v>0.22969999999999999</v>
      </c>
      <c r="D4648" s="1">
        <v>4.2599999999999999E-2</v>
      </c>
      <c r="E4648" s="1">
        <v>3.4500000000000003E-2</v>
      </c>
      <c r="F4648">
        <v>110</v>
      </c>
      <c r="G4648">
        <v>74</v>
      </c>
      <c r="H4648">
        <v>757</v>
      </c>
    </row>
    <row r="4649" spans="1:8">
      <c r="A4649" t="s">
        <v>202</v>
      </c>
      <c r="B4649" t="s">
        <v>228</v>
      </c>
      <c r="C4649" s="1">
        <v>1.29E-2</v>
      </c>
      <c r="D4649" s="1">
        <v>4.6699999999999998E-2</v>
      </c>
      <c r="E4649" s="1">
        <v>0.13969999999999999</v>
      </c>
      <c r="F4649">
        <v>73</v>
      </c>
      <c r="G4649">
        <v>61</v>
      </c>
      <c r="H4649">
        <v>757</v>
      </c>
    </row>
    <row r="4650" spans="1:8">
      <c r="A4650" t="s">
        <v>202</v>
      </c>
      <c r="B4650" t="s">
        <v>1049</v>
      </c>
      <c r="C4650" s="1">
        <v>6.4000000000000003E-3</v>
      </c>
      <c r="D4650" s="1">
        <v>5.8700000000000002E-2</v>
      </c>
      <c r="E4650" s="1">
        <v>5.5300000000000002E-2</v>
      </c>
      <c r="F4650">
        <v>73</v>
      </c>
      <c r="G4650">
        <v>61</v>
      </c>
      <c r="H4650">
        <v>757</v>
      </c>
    </row>
    <row r="4651" spans="1:8">
      <c r="A4651" t="s">
        <v>202</v>
      </c>
      <c r="B4651" t="s">
        <v>1051</v>
      </c>
      <c r="C4651" s="1">
        <v>0.156</v>
      </c>
      <c r="D4651" s="1">
        <v>0.1103</v>
      </c>
      <c r="E4651" s="1">
        <v>5.11E-2</v>
      </c>
      <c r="F4651">
        <v>73</v>
      </c>
      <c r="G4651">
        <v>61</v>
      </c>
      <c r="H4651">
        <v>757</v>
      </c>
    </row>
    <row r="4652" spans="1:8">
      <c r="A4652" t="s">
        <v>202</v>
      </c>
      <c r="B4652" t="s">
        <v>1053</v>
      </c>
      <c r="C4652" s="1">
        <v>5.9400000000000001E-2</v>
      </c>
      <c r="D4652" s="1">
        <v>0.1346</v>
      </c>
      <c r="E4652" s="1">
        <v>2.64E-2</v>
      </c>
      <c r="F4652">
        <v>73</v>
      </c>
      <c r="G4652">
        <v>61</v>
      </c>
      <c r="H4652">
        <v>757</v>
      </c>
    </row>
    <row r="4653" spans="1:8">
      <c r="A4653" t="s">
        <v>202</v>
      </c>
      <c r="B4653" t="s">
        <v>1054</v>
      </c>
      <c r="C4653" s="1">
        <v>1.29E-2</v>
      </c>
      <c r="D4653" s="1">
        <v>9.4100000000000003E-2</v>
      </c>
      <c r="E4653" s="1">
        <v>4.2099999999999999E-2</v>
      </c>
      <c r="F4653">
        <v>73</v>
      </c>
      <c r="G4653">
        <v>61</v>
      </c>
      <c r="H4653">
        <v>757</v>
      </c>
    </row>
    <row r="4654" spans="1:8">
      <c r="A4654" t="s">
        <v>202</v>
      </c>
      <c r="B4654" t="s">
        <v>1058</v>
      </c>
      <c r="C4654" s="1">
        <v>2.01E-2</v>
      </c>
      <c r="D4654" s="1">
        <v>7.1999999999999995E-2</v>
      </c>
      <c r="E4654" s="1">
        <v>0.22090000000000001</v>
      </c>
      <c r="F4654">
        <v>73</v>
      </c>
      <c r="G4654">
        <v>61</v>
      </c>
      <c r="H4654">
        <v>757</v>
      </c>
    </row>
    <row r="4655" spans="1:8">
      <c r="A4655" t="s">
        <v>202</v>
      </c>
      <c r="B4655" t="s">
        <v>1060</v>
      </c>
      <c r="C4655" s="1">
        <v>1.46E-2</v>
      </c>
      <c r="D4655" s="1">
        <v>5.8099999999999999E-2</v>
      </c>
      <c r="E4655" s="1">
        <v>9.8299999999999998E-2</v>
      </c>
      <c r="F4655">
        <v>73</v>
      </c>
      <c r="G4655">
        <v>61</v>
      </c>
      <c r="H4655">
        <v>757</v>
      </c>
    </row>
    <row r="4656" spans="1:8">
      <c r="A4656" t="s">
        <v>202</v>
      </c>
      <c r="B4656" t="s">
        <v>1064</v>
      </c>
      <c r="C4656" s="1">
        <v>0.33310000000000001</v>
      </c>
      <c r="D4656" s="1">
        <v>0.23930000000000001</v>
      </c>
      <c r="E4656" s="1">
        <v>0.16520000000000001</v>
      </c>
      <c r="F4656">
        <v>73</v>
      </c>
      <c r="G4656">
        <v>61</v>
      </c>
      <c r="H4656">
        <v>757</v>
      </c>
    </row>
    <row r="4657" spans="1:8">
      <c r="A4657" t="s">
        <v>202</v>
      </c>
      <c r="B4657" t="s">
        <v>1065</v>
      </c>
      <c r="C4657" s="1">
        <v>0.37159999999999999</v>
      </c>
      <c r="D4657" s="1">
        <v>7.6600000000000001E-2</v>
      </c>
      <c r="E4657" s="1">
        <v>2.64E-2</v>
      </c>
      <c r="F4657">
        <v>73</v>
      </c>
      <c r="G4657">
        <v>61</v>
      </c>
      <c r="H4657">
        <v>757</v>
      </c>
    </row>
    <row r="4658" spans="1:8">
      <c r="A4658" t="s">
        <v>202</v>
      </c>
      <c r="B4658" t="s">
        <v>278</v>
      </c>
      <c r="C4658" s="1">
        <v>1.29E-2</v>
      </c>
      <c r="D4658" s="1">
        <v>2.5899999999999999E-2</v>
      </c>
      <c r="F4658">
        <v>73</v>
      </c>
      <c r="G4658">
        <v>61</v>
      </c>
      <c r="H4658">
        <v>757</v>
      </c>
    </row>
    <row r="4659" spans="1:8">
      <c r="A4659" t="s">
        <v>203</v>
      </c>
      <c r="B4659" t="s">
        <v>228</v>
      </c>
      <c r="C4659" s="1">
        <v>2.6200000000000001E-2</v>
      </c>
      <c r="D4659" s="1">
        <v>2.81E-2</v>
      </c>
      <c r="E4659" s="1">
        <v>4.1599999999999998E-2</v>
      </c>
      <c r="F4659">
        <v>20</v>
      </c>
      <c r="G4659">
        <v>60</v>
      </c>
      <c r="H4659">
        <v>757</v>
      </c>
    </row>
    <row r="4660" spans="1:8">
      <c r="A4660" t="s">
        <v>203</v>
      </c>
      <c r="B4660" t="s">
        <v>1050</v>
      </c>
      <c r="C4660" s="1">
        <v>1.0200000000000001E-2</v>
      </c>
      <c r="D4660" s="1">
        <v>3.0300000000000001E-2</v>
      </c>
      <c r="F4660">
        <v>20</v>
      </c>
      <c r="G4660">
        <v>60</v>
      </c>
      <c r="H4660">
        <v>757</v>
      </c>
    </row>
    <row r="4661" spans="1:8">
      <c r="A4661" t="s">
        <v>203</v>
      </c>
      <c r="B4661" t="s">
        <v>1051</v>
      </c>
      <c r="C4661" s="1">
        <v>3.1800000000000002E-2</v>
      </c>
      <c r="D4661" s="1">
        <v>0.1</v>
      </c>
      <c r="F4661">
        <v>20</v>
      </c>
      <c r="G4661">
        <v>60</v>
      </c>
      <c r="H4661">
        <v>757</v>
      </c>
    </row>
    <row r="4662" spans="1:8">
      <c r="A4662" t="s">
        <v>203</v>
      </c>
      <c r="B4662" t="s">
        <v>1053</v>
      </c>
      <c r="C4662" s="1">
        <v>1.0200000000000001E-2</v>
      </c>
      <c r="D4662" s="1">
        <v>9.3700000000000006E-2</v>
      </c>
      <c r="E4662" s="1">
        <v>0.11890000000000001</v>
      </c>
      <c r="F4662">
        <v>20</v>
      </c>
      <c r="G4662">
        <v>60</v>
      </c>
      <c r="H4662">
        <v>757</v>
      </c>
    </row>
    <row r="4663" spans="1:8">
      <c r="A4663" t="s">
        <v>203</v>
      </c>
      <c r="B4663" t="s">
        <v>1054</v>
      </c>
      <c r="C4663" s="1">
        <v>2.4400000000000002E-2</v>
      </c>
      <c r="D4663" s="1">
        <v>3.0300000000000001E-2</v>
      </c>
      <c r="E4663" s="1">
        <v>0.1142</v>
      </c>
      <c r="F4663">
        <v>20</v>
      </c>
      <c r="G4663">
        <v>60</v>
      </c>
      <c r="H4663">
        <v>757</v>
      </c>
    </row>
    <row r="4664" spans="1:8">
      <c r="A4664" t="s">
        <v>203</v>
      </c>
      <c r="B4664" t="s">
        <v>1058</v>
      </c>
      <c r="C4664" s="1">
        <v>2.6200000000000001E-2</v>
      </c>
      <c r="D4664" s="1">
        <v>0.15210000000000001</v>
      </c>
      <c r="E4664" s="1">
        <v>6.6699999999999995E-2</v>
      </c>
      <c r="F4664">
        <v>20</v>
      </c>
      <c r="G4664">
        <v>60</v>
      </c>
      <c r="H4664">
        <v>757</v>
      </c>
    </row>
    <row r="4665" spans="1:8">
      <c r="A4665" t="s">
        <v>203</v>
      </c>
      <c r="B4665" t="s">
        <v>1063</v>
      </c>
      <c r="C4665" s="1">
        <v>3.6999999999999998E-2</v>
      </c>
      <c r="D4665" s="1">
        <v>1.41E-2</v>
      </c>
      <c r="E4665" s="1">
        <v>8.5199999999999998E-2</v>
      </c>
      <c r="F4665">
        <v>20</v>
      </c>
      <c r="G4665">
        <v>60</v>
      </c>
      <c r="H4665">
        <v>757</v>
      </c>
    </row>
    <row r="4666" spans="1:8">
      <c r="A4666" t="s">
        <v>203</v>
      </c>
      <c r="B4666" t="s">
        <v>1064</v>
      </c>
      <c r="C4666" s="1">
        <v>0.51370000000000005</v>
      </c>
      <c r="D4666" s="1">
        <v>0.15290000000000001</v>
      </c>
      <c r="E4666" s="1">
        <v>5.7000000000000002E-2</v>
      </c>
      <c r="F4666">
        <v>20</v>
      </c>
      <c r="G4666">
        <v>60</v>
      </c>
      <c r="H4666">
        <v>757</v>
      </c>
    </row>
    <row r="4667" spans="1:8">
      <c r="A4667" t="s">
        <v>203</v>
      </c>
      <c r="B4667" t="s">
        <v>1065</v>
      </c>
      <c r="C4667" s="1">
        <v>0.31009999999999999</v>
      </c>
      <c r="D4667" s="1">
        <v>8.7300000000000003E-2</v>
      </c>
      <c r="E4667" s="1">
        <v>0.1547</v>
      </c>
      <c r="F4667">
        <v>20</v>
      </c>
      <c r="G4667">
        <v>60</v>
      </c>
      <c r="H4667">
        <v>757</v>
      </c>
    </row>
    <row r="4668" spans="1:8">
      <c r="A4668" t="s">
        <v>203</v>
      </c>
      <c r="B4668" t="s">
        <v>278</v>
      </c>
      <c r="C4668" s="1">
        <v>1.0200000000000001E-2</v>
      </c>
      <c r="F4668">
        <v>20</v>
      </c>
      <c r="G4668">
        <v>60</v>
      </c>
      <c r="H4668">
        <v>757</v>
      </c>
    </row>
    <row r="4669" spans="1:8">
      <c r="A4669" t="s">
        <v>205</v>
      </c>
      <c r="B4669" t="s">
        <v>1049</v>
      </c>
      <c r="C4669" s="1">
        <v>3.3E-3</v>
      </c>
      <c r="D4669" s="1">
        <v>4.6600000000000003E-2</v>
      </c>
      <c r="E4669" s="1">
        <v>2.2100000000000002E-2</v>
      </c>
      <c r="F4669">
        <v>115</v>
      </c>
      <c r="G4669">
        <v>68</v>
      </c>
      <c r="H4669">
        <v>757</v>
      </c>
    </row>
    <row r="4670" spans="1:8">
      <c r="A4670" t="s">
        <v>205</v>
      </c>
      <c r="B4670" t="s">
        <v>1051</v>
      </c>
      <c r="C4670" s="1">
        <v>9.1899999999999996E-2</v>
      </c>
      <c r="D4670" s="1">
        <v>0.20799999999999999</v>
      </c>
      <c r="E4670" s="1">
        <v>0.12720000000000001</v>
      </c>
      <c r="F4670">
        <v>115</v>
      </c>
      <c r="G4670">
        <v>68</v>
      </c>
      <c r="H4670">
        <v>757</v>
      </c>
    </row>
    <row r="4671" spans="1:8">
      <c r="A4671" t="s">
        <v>205</v>
      </c>
      <c r="B4671" t="s">
        <v>1053</v>
      </c>
      <c r="C4671" s="1">
        <v>4.7899999999999998E-2</v>
      </c>
      <c r="D4671" s="1">
        <v>6.0400000000000002E-2</v>
      </c>
      <c r="E4671" s="1">
        <v>4.1399999999999999E-2</v>
      </c>
      <c r="F4671">
        <v>115</v>
      </c>
      <c r="G4671">
        <v>68</v>
      </c>
      <c r="H4671">
        <v>757</v>
      </c>
    </row>
    <row r="4672" spans="1:8">
      <c r="A4672" t="s">
        <v>205</v>
      </c>
      <c r="B4672" t="s">
        <v>1054</v>
      </c>
      <c r="C4672" s="1">
        <v>1.7999999999999999E-2</v>
      </c>
      <c r="D4672" s="1">
        <v>1.4500000000000001E-2</v>
      </c>
      <c r="E4672" s="1">
        <v>8.3000000000000001E-3</v>
      </c>
      <c r="F4672">
        <v>115</v>
      </c>
      <c r="G4672">
        <v>68</v>
      </c>
      <c r="H4672">
        <v>757</v>
      </c>
    </row>
    <row r="4673" spans="1:8">
      <c r="A4673" t="s">
        <v>205</v>
      </c>
      <c r="B4673" t="s">
        <v>1056</v>
      </c>
      <c r="C4673" s="1">
        <v>1.7999999999999999E-2</v>
      </c>
      <c r="D4673" s="1">
        <v>2.3E-2</v>
      </c>
      <c r="E4673" s="1">
        <v>8.3000000000000001E-3</v>
      </c>
      <c r="F4673">
        <v>115</v>
      </c>
      <c r="G4673">
        <v>68</v>
      </c>
      <c r="H4673">
        <v>757</v>
      </c>
    </row>
    <row r="4674" spans="1:8">
      <c r="A4674" t="s">
        <v>205</v>
      </c>
      <c r="B4674" t="s">
        <v>1057</v>
      </c>
      <c r="C4674" s="1">
        <v>4.3E-3</v>
      </c>
      <c r="D4674" s="1">
        <v>1.9900000000000001E-2</v>
      </c>
      <c r="F4674">
        <v>115</v>
      </c>
      <c r="G4674">
        <v>68</v>
      </c>
      <c r="H4674">
        <v>757</v>
      </c>
    </row>
    <row r="4675" spans="1:8">
      <c r="A4675" t="s">
        <v>205</v>
      </c>
      <c r="B4675" t="s">
        <v>1058</v>
      </c>
      <c r="C4675" s="1">
        <v>2.2700000000000001E-2</v>
      </c>
      <c r="D4675" s="1">
        <v>0.17069999999999999</v>
      </c>
      <c r="E4675" s="1">
        <v>0.1477</v>
      </c>
      <c r="F4675">
        <v>115</v>
      </c>
      <c r="G4675">
        <v>68</v>
      </c>
      <c r="H4675">
        <v>757</v>
      </c>
    </row>
    <row r="4676" spans="1:8">
      <c r="A4676" t="s">
        <v>205</v>
      </c>
      <c r="B4676" t="s">
        <v>1060</v>
      </c>
      <c r="C4676" s="1">
        <v>1.0800000000000001E-2</v>
      </c>
      <c r="D4676" s="1">
        <v>5.4000000000000003E-3</v>
      </c>
      <c r="E4676" s="1">
        <v>0.16400000000000001</v>
      </c>
      <c r="F4676">
        <v>115</v>
      </c>
      <c r="G4676">
        <v>68</v>
      </c>
      <c r="H4676">
        <v>757</v>
      </c>
    </row>
    <row r="4677" spans="1:8">
      <c r="A4677" t="s">
        <v>205</v>
      </c>
      <c r="B4677" t="s">
        <v>1061</v>
      </c>
      <c r="C4677" s="1">
        <v>4.3E-3</v>
      </c>
      <c r="D4677" s="1">
        <v>1.09E-2</v>
      </c>
      <c r="E4677" s="1">
        <v>2.2100000000000002E-2</v>
      </c>
      <c r="F4677">
        <v>115</v>
      </c>
      <c r="G4677">
        <v>68</v>
      </c>
      <c r="H4677">
        <v>757</v>
      </c>
    </row>
    <row r="4678" spans="1:8">
      <c r="A4678" t="s">
        <v>205</v>
      </c>
      <c r="B4678" t="s">
        <v>1062</v>
      </c>
      <c r="C4678" s="1">
        <v>1.7999999999999999E-2</v>
      </c>
      <c r="D4678" s="1">
        <v>2.3E-2</v>
      </c>
      <c r="F4678">
        <v>115</v>
      </c>
      <c r="G4678">
        <v>68</v>
      </c>
      <c r="H4678">
        <v>757</v>
      </c>
    </row>
    <row r="4679" spans="1:8">
      <c r="A4679" t="s">
        <v>205</v>
      </c>
      <c r="B4679" t="s">
        <v>1064</v>
      </c>
      <c r="C4679" s="1">
        <v>0.42030000000000001</v>
      </c>
      <c r="D4679" s="1">
        <v>0.21870000000000001</v>
      </c>
      <c r="E4679" s="1">
        <v>0.2712</v>
      </c>
      <c r="F4679">
        <v>115</v>
      </c>
      <c r="G4679">
        <v>68</v>
      </c>
      <c r="H4679">
        <v>757</v>
      </c>
    </row>
    <row r="4680" spans="1:8">
      <c r="A4680" t="s">
        <v>205</v>
      </c>
      <c r="B4680" t="s">
        <v>1065</v>
      </c>
      <c r="C4680" s="1">
        <v>0.34060000000000001</v>
      </c>
      <c r="D4680" s="1">
        <v>0.1578</v>
      </c>
      <c r="E4680" s="1">
        <v>0.12720000000000001</v>
      </c>
      <c r="F4680">
        <v>115</v>
      </c>
      <c r="G4680">
        <v>68</v>
      </c>
      <c r="H4680">
        <v>757</v>
      </c>
    </row>
    <row r="4681" spans="1:8">
      <c r="A4681" t="s">
        <v>206</v>
      </c>
      <c r="B4681" t="s">
        <v>1048</v>
      </c>
      <c r="C4681" s="1">
        <v>1.5699999999999999E-2</v>
      </c>
      <c r="D4681" s="1">
        <v>2.7E-2</v>
      </c>
      <c r="E4681" s="1">
        <v>2.64E-2</v>
      </c>
      <c r="F4681">
        <v>6</v>
      </c>
      <c r="G4681">
        <v>54</v>
      </c>
      <c r="H4681">
        <v>757</v>
      </c>
    </row>
    <row r="4682" spans="1:8">
      <c r="A4682" t="s">
        <v>206</v>
      </c>
      <c r="B4682" t="s">
        <v>1050</v>
      </c>
      <c r="C4682" s="1">
        <v>2.1999999999999999E-2</v>
      </c>
      <c r="D4682" s="1">
        <v>2.7E-2</v>
      </c>
      <c r="F4682">
        <v>6</v>
      </c>
      <c r="G4682">
        <v>54</v>
      </c>
      <c r="H4682">
        <v>757</v>
      </c>
    </row>
    <row r="4683" spans="1:8">
      <c r="A4683" t="s">
        <v>206</v>
      </c>
      <c r="B4683" t="s">
        <v>1051</v>
      </c>
      <c r="C4683" s="1">
        <v>0.13519999999999999</v>
      </c>
      <c r="D4683" s="1">
        <v>0.13900000000000001</v>
      </c>
      <c r="E4683" s="1">
        <v>3.6799999999999999E-2</v>
      </c>
      <c r="F4683">
        <v>6</v>
      </c>
      <c r="G4683">
        <v>54</v>
      </c>
      <c r="H4683">
        <v>757</v>
      </c>
    </row>
    <row r="4684" spans="1:8">
      <c r="A4684" t="s">
        <v>206</v>
      </c>
      <c r="B4684" t="s">
        <v>1053</v>
      </c>
      <c r="C4684" s="1">
        <v>1.5699999999999999E-2</v>
      </c>
      <c r="D4684" s="1">
        <v>5.8000000000000003E-2</v>
      </c>
      <c r="E4684" s="1">
        <v>0.1263</v>
      </c>
      <c r="F4684">
        <v>6</v>
      </c>
      <c r="G4684">
        <v>54</v>
      </c>
      <c r="H4684">
        <v>757</v>
      </c>
    </row>
    <row r="4685" spans="1:8">
      <c r="A4685" t="s">
        <v>206</v>
      </c>
      <c r="B4685" t="s">
        <v>1054</v>
      </c>
      <c r="C4685" s="1">
        <v>7.5499999999999998E-2</v>
      </c>
      <c r="D4685" s="1">
        <v>1.9300000000000001E-2</v>
      </c>
      <c r="E4685" s="1">
        <v>5.2699999999999997E-2</v>
      </c>
      <c r="F4685">
        <v>6</v>
      </c>
      <c r="G4685">
        <v>54</v>
      </c>
      <c r="H4685">
        <v>757</v>
      </c>
    </row>
    <row r="4686" spans="1:8">
      <c r="A4686" t="s">
        <v>206</v>
      </c>
      <c r="B4686" t="s">
        <v>1055</v>
      </c>
      <c r="C4686" s="1">
        <v>5.3499999999999999E-2</v>
      </c>
      <c r="E4686" s="1">
        <v>3.6799999999999999E-2</v>
      </c>
      <c r="F4686">
        <v>6</v>
      </c>
      <c r="G4686">
        <v>54</v>
      </c>
      <c r="H4686">
        <v>757</v>
      </c>
    </row>
    <row r="4687" spans="1:8">
      <c r="A4687" t="s">
        <v>206</v>
      </c>
      <c r="B4687" t="s">
        <v>1060</v>
      </c>
      <c r="C4687" s="1">
        <v>1.5699999999999999E-2</v>
      </c>
      <c r="D4687" s="1">
        <v>5.3999999999999999E-2</v>
      </c>
      <c r="E4687" s="1">
        <v>8.9499999999999996E-2</v>
      </c>
      <c r="F4687">
        <v>6</v>
      </c>
      <c r="G4687">
        <v>54</v>
      </c>
      <c r="H4687">
        <v>757</v>
      </c>
    </row>
    <row r="4688" spans="1:8">
      <c r="A4688" t="s">
        <v>206</v>
      </c>
      <c r="B4688" t="s">
        <v>1064</v>
      </c>
      <c r="C4688" s="1">
        <v>0.47799999999999998</v>
      </c>
      <c r="D4688" s="1">
        <v>1.9300000000000001E-2</v>
      </c>
      <c r="E4688" s="1">
        <v>0.19989999999999999</v>
      </c>
      <c r="F4688">
        <v>6</v>
      </c>
      <c r="G4688">
        <v>54</v>
      </c>
      <c r="H4688">
        <v>757</v>
      </c>
    </row>
    <row r="4689" spans="1:8">
      <c r="A4689" t="s">
        <v>206</v>
      </c>
      <c r="B4689" t="s">
        <v>1065</v>
      </c>
      <c r="C4689" s="1">
        <v>0.18870000000000001</v>
      </c>
      <c r="D4689" s="1">
        <v>0.112</v>
      </c>
      <c r="E4689" s="1">
        <v>0.1159</v>
      </c>
      <c r="F4689">
        <v>6</v>
      </c>
      <c r="G4689">
        <v>54</v>
      </c>
      <c r="H4689">
        <v>757</v>
      </c>
    </row>
    <row r="4690" spans="1:8">
      <c r="A4690" t="s">
        <v>207</v>
      </c>
      <c r="B4690" t="s">
        <v>1048</v>
      </c>
      <c r="C4690" s="1">
        <v>4.1999999999999997E-3</v>
      </c>
      <c r="D4690" s="1">
        <v>5.9900000000000002E-2</v>
      </c>
      <c r="E4690" s="1">
        <v>7.2099999999999997E-2</v>
      </c>
      <c r="F4690">
        <v>111</v>
      </c>
      <c r="G4690">
        <v>112</v>
      </c>
      <c r="H4690">
        <v>757</v>
      </c>
    </row>
    <row r="4691" spans="1:8">
      <c r="A4691" t="s">
        <v>207</v>
      </c>
      <c r="B4691" t="s">
        <v>228</v>
      </c>
      <c r="C4691" s="1">
        <v>5.1999999999999998E-3</v>
      </c>
      <c r="D4691" s="1">
        <v>1.5299999999999999E-2</v>
      </c>
      <c r="E4691" s="1">
        <v>2.5700000000000001E-2</v>
      </c>
      <c r="F4691">
        <v>111</v>
      </c>
      <c r="G4691">
        <v>112</v>
      </c>
      <c r="H4691">
        <v>757</v>
      </c>
    </row>
    <row r="4692" spans="1:8">
      <c r="A4692" t="s">
        <v>207</v>
      </c>
      <c r="B4692" t="s">
        <v>1049</v>
      </c>
      <c r="C4692" s="1">
        <v>7.6E-3</v>
      </c>
      <c r="D4692" s="1">
        <v>0.12970000000000001</v>
      </c>
      <c r="E4692" s="1">
        <v>7.6899999999999996E-2</v>
      </c>
      <c r="F4692">
        <v>111</v>
      </c>
      <c r="G4692">
        <v>112</v>
      </c>
      <c r="H4692">
        <v>757</v>
      </c>
    </row>
    <row r="4693" spans="1:8">
      <c r="A4693" t="s">
        <v>207</v>
      </c>
      <c r="B4693" t="s">
        <v>1051</v>
      </c>
      <c r="C4693" s="1">
        <v>8.6999999999999994E-3</v>
      </c>
      <c r="D4693" s="1">
        <v>1.47E-2</v>
      </c>
      <c r="E4693" s="1">
        <v>1.52E-2</v>
      </c>
      <c r="F4693">
        <v>111</v>
      </c>
      <c r="G4693">
        <v>112</v>
      </c>
      <c r="H4693">
        <v>757</v>
      </c>
    </row>
    <row r="4694" spans="1:8">
      <c r="A4694" t="s">
        <v>207</v>
      </c>
      <c r="B4694" t="s">
        <v>1053</v>
      </c>
      <c r="C4694" s="1">
        <v>2.7099999999999999E-2</v>
      </c>
      <c r="D4694" s="1">
        <v>7.6100000000000001E-2</v>
      </c>
      <c r="E4694" s="1">
        <v>9.1600000000000001E-2</v>
      </c>
      <c r="F4694">
        <v>111</v>
      </c>
      <c r="G4694">
        <v>112</v>
      </c>
      <c r="H4694">
        <v>757</v>
      </c>
    </row>
    <row r="4695" spans="1:8">
      <c r="A4695" t="s">
        <v>207</v>
      </c>
      <c r="B4695" t="s">
        <v>1054</v>
      </c>
      <c r="C4695" s="1">
        <v>1.9E-3</v>
      </c>
      <c r="D4695" s="1">
        <v>6.4299999999999996E-2</v>
      </c>
      <c r="E4695" s="1">
        <v>7.6999999999999999E-2</v>
      </c>
      <c r="F4695">
        <v>111</v>
      </c>
      <c r="G4695">
        <v>112</v>
      </c>
      <c r="H4695">
        <v>757</v>
      </c>
    </row>
    <row r="4696" spans="1:8">
      <c r="A4696" t="s">
        <v>207</v>
      </c>
      <c r="B4696" t="s">
        <v>1057</v>
      </c>
      <c r="C4696" s="1">
        <v>2.3999999999999998E-3</v>
      </c>
      <c r="D4696" s="1">
        <v>6.2199999999999998E-2</v>
      </c>
      <c r="E4696" s="1">
        <v>6.5000000000000002E-2</v>
      </c>
      <c r="F4696">
        <v>111</v>
      </c>
      <c r="G4696">
        <v>112</v>
      </c>
      <c r="H4696">
        <v>757</v>
      </c>
    </row>
    <row r="4697" spans="1:8">
      <c r="A4697" t="s">
        <v>207</v>
      </c>
      <c r="B4697" t="s">
        <v>1058</v>
      </c>
      <c r="C4697" s="1">
        <v>1.0800000000000001E-2</v>
      </c>
      <c r="D4697" s="1">
        <v>1.8700000000000001E-2</v>
      </c>
      <c r="E4697" s="1">
        <v>0.20780000000000001</v>
      </c>
      <c r="F4697">
        <v>111</v>
      </c>
      <c r="G4697">
        <v>112</v>
      </c>
      <c r="H4697">
        <v>757</v>
      </c>
    </row>
    <row r="4698" spans="1:8">
      <c r="A4698" t="s">
        <v>207</v>
      </c>
      <c r="B4698" t="s">
        <v>1059</v>
      </c>
      <c r="C4698" s="1">
        <v>5.1999999999999998E-3</v>
      </c>
      <c r="D4698" s="1">
        <v>1.11E-2</v>
      </c>
      <c r="E4698" s="1">
        <v>4.8999999999999998E-3</v>
      </c>
      <c r="F4698">
        <v>111</v>
      </c>
      <c r="G4698">
        <v>112</v>
      </c>
      <c r="H4698">
        <v>757</v>
      </c>
    </row>
    <row r="4699" spans="1:8">
      <c r="A4699" t="s">
        <v>207</v>
      </c>
      <c r="B4699" t="s">
        <v>1060</v>
      </c>
      <c r="C4699" s="1">
        <v>8.2000000000000007E-3</v>
      </c>
      <c r="D4699" s="1">
        <v>9.1000000000000004E-3</v>
      </c>
      <c r="E4699" s="1">
        <v>9.4600000000000004E-2</v>
      </c>
      <c r="F4699">
        <v>111</v>
      </c>
      <c r="G4699">
        <v>112</v>
      </c>
      <c r="H4699">
        <v>757</v>
      </c>
    </row>
    <row r="4700" spans="1:8">
      <c r="A4700" t="s">
        <v>207</v>
      </c>
      <c r="B4700" t="s">
        <v>1063</v>
      </c>
      <c r="C4700" s="1">
        <v>6.3E-3</v>
      </c>
      <c r="D4700" s="1">
        <v>7.7000000000000002E-3</v>
      </c>
      <c r="E4700" s="1">
        <v>8.5000000000000006E-3</v>
      </c>
      <c r="F4700">
        <v>111</v>
      </c>
      <c r="G4700">
        <v>112</v>
      </c>
      <c r="H4700">
        <v>757</v>
      </c>
    </row>
    <row r="4701" spans="1:8">
      <c r="A4701" t="s">
        <v>207</v>
      </c>
      <c r="B4701" t="s">
        <v>1064</v>
      </c>
      <c r="C4701" s="1">
        <v>0.3402</v>
      </c>
      <c r="D4701" s="1">
        <v>0.34339999999999998</v>
      </c>
      <c r="E4701" s="1">
        <v>7.4099999999999999E-2</v>
      </c>
      <c r="F4701">
        <v>111</v>
      </c>
      <c r="G4701">
        <v>112</v>
      </c>
      <c r="H4701">
        <v>757</v>
      </c>
    </row>
    <row r="4702" spans="1:8">
      <c r="A4702" t="s">
        <v>207</v>
      </c>
      <c r="B4702" t="s">
        <v>1065</v>
      </c>
      <c r="C4702" s="1">
        <v>0.57220000000000004</v>
      </c>
      <c r="D4702" s="1">
        <v>0.15379999999999999</v>
      </c>
      <c r="E4702" s="1">
        <v>1.5100000000000001E-2</v>
      </c>
      <c r="F4702">
        <v>111</v>
      </c>
      <c r="G4702">
        <v>112</v>
      </c>
      <c r="H4702">
        <v>757</v>
      </c>
    </row>
    <row r="4703" spans="1:8">
      <c r="A4703" t="s">
        <v>208</v>
      </c>
      <c r="B4703" t="s">
        <v>1048</v>
      </c>
      <c r="C4703" s="1">
        <v>1.5599999999999999E-2</v>
      </c>
      <c r="D4703" s="1">
        <v>1.89E-2</v>
      </c>
      <c r="E4703" s="1">
        <v>4.7600000000000003E-2</v>
      </c>
      <c r="F4703">
        <v>42</v>
      </c>
      <c r="G4703">
        <v>64</v>
      </c>
      <c r="H4703">
        <v>757</v>
      </c>
    </row>
    <row r="4704" spans="1:8">
      <c r="A4704" t="s">
        <v>208</v>
      </c>
      <c r="B4704" t="s">
        <v>1049</v>
      </c>
      <c r="C4704" s="1">
        <v>1.5599999999999999E-2</v>
      </c>
      <c r="D4704" s="1">
        <v>3.7699999999999997E-2</v>
      </c>
      <c r="E4704" s="1">
        <v>7.1400000000000005E-2</v>
      </c>
      <c r="F4704">
        <v>42</v>
      </c>
      <c r="G4704">
        <v>64</v>
      </c>
      <c r="H4704">
        <v>757</v>
      </c>
    </row>
    <row r="4705" spans="1:8">
      <c r="A4705" t="s">
        <v>208</v>
      </c>
      <c r="B4705" t="s">
        <v>1050</v>
      </c>
      <c r="C4705" s="1">
        <v>1.5599999999999999E-2</v>
      </c>
      <c r="D4705" s="1">
        <v>3.7699999999999997E-2</v>
      </c>
      <c r="E4705" s="1">
        <v>2.3800000000000002E-2</v>
      </c>
      <c r="F4705">
        <v>42</v>
      </c>
      <c r="G4705">
        <v>64</v>
      </c>
      <c r="H4705">
        <v>757</v>
      </c>
    </row>
    <row r="4706" spans="1:8">
      <c r="A4706" t="s">
        <v>208</v>
      </c>
      <c r="B4706" t="s">
        <v>1051</v>
      </c>
      <c r="C4706" s="1">
        <v>4.6899999999999997E-2</v>
      </c>
      <c r="D4706" s="1">
        <v>5.6599999999999998E-2</v>
      </c>
      <c r="E4706" s="1">
        <v>0.11899999999999999</v>
      </c>
      <c r="F4706">
        <v>42</v>
      </c>
      <c r="G4706">
        <v>64</v>
      </c>
      <c r="H4706">
        <v>757</v>
      </c>
    </row>
    <row r="4707" spans="1:8">
      <c r="A4707" t="s">
        <v>208</v>
      </c>
      <c r="B4707" t="s">
        <v>1053</v>
      </c>
      <c r="C4707" s="1">
        <v>1.5599999999999999E-2</v>
      </c>
      <c r="D4707" s="1">
        <v>0.1132</v>
      </c>
      <c r="E4707" s="1">
        <v>7.1400000000000005E-2</v>
      </c>
      <c r="F4707">
        <v>42</v>
      </c>
      <c r="G4707">
        <v>64</v>
      </c>
      <c r="H4707">
        <v>757</v>
      </c>
    </row>
    <row r="4708" spans="1:8">
      <c r="A4708" t="s">
        <v>208</v>
      </c>
      <c r="B4708" t="s">
        <v>1054</v>
      </c>
      <c r="C4708" s="1">
        <v>4.6899999999999997E-2</v>
      </c>
      <c r="D4708" s="1">
        <v>1.89E-2</v>
      </c>
      <c r="F4708">
        <v>42</v>
      </c>
      <c r="G4708">
        <v>64</v>
      </c>
      <c r="H4708">
        <v>757</v>
      </c>
    </row>
    <row r="4709" spans="1:8">
      <c r="A4709" t="s">
        <v>208</v>
      </c>
      <c r="B4709" t="s">
        <v>1055</v>
      </c>
      <c r="C4709" s="1">
        <v>1.5599999999999999E-2</v>
      </c>
      <c r="E4709" s="1">
        <v>4.7600000000000003E-2</v>
      </c>
      <c r="F4709">
        <v>42</v>
      </c>
      <c r="G4709">
        <v>64</v>
      </c>
      <c r="H4709">
        <v>757</v>
      </c>
    </row>
    <row r="4710" spans="1:8">
      <c r="A4710" t="s">
        <v>208</v>
      </c>
      <c r="B4710" t="s">
        <v>1058</v>
      </c>
      <c r="C4710" s="1">
        <v>3.1199999999999999E-2</v>
      </c>
      <c r="D4710" s="1">
        <v>7.5499999999999998E-2</v>
      </c>
      <c r="E4710" s="1">
        <v>0.16669999999999999</v>
      </c>
      <c r="F4710">
        <v>42</v>
      </c>
      <c r="G4710">
        <v>64</v>
      </c>
      <c r="H4710">
        <v>757</v>
      </c>
    </row>
    <row r="4711" spans="1:8">
      <c r="A4711" t="s">
        <v>208</v>
      </c>
      <c r="B4711" t="s">
        <v>1059</v>
      </c>
      <c r="C4711" s="1">
        <v>1.5599999999999999E-2</v>
      </c>
      <c r="D4711" s="1">
        <v>1.89E-2</v>
      </c>
      <c r="E4711" s="1">
        <v>4.7600000000000003E-2</v>
      </c>
      <c r="F4711">
        <v>42</v>
      </c>
      <c r="G4711">
        <v>64</v>
      </c>
      <c r="H4711">
        <v>757</v>
      </c>
    </row>
    <row r="4712" spans="1:8">
      <c r="A4712" t="s">
        <v>208</v>
      </c>
      <c r="B4712" t="s">
        <v>1060</v>
      </c>
      <c r="C4712" s="1">
        <v>4.6899999999999997E-2</v>
      </c>
      <c r="D4712" s="1">
        <v>7.5499999999999998E-2</v>
      </c>
      <c r="E4712" s="1">
        <v>9.5200000000000007E-2</v>
      </c>
      <c r="F4712">
        <v>42</v>
      </c>
      <c r="G4712">
        <v>64</v>
      </c>
      <c r="H4712">
        <v>757</v>
      </c>
    </row>
    <row r="4713" spans="1:8">
      <c r="A4713" t="s">
        <v>208</v>
      </c>
      <c r="B4713" t="s">
        <v>1062</v>
      </c>
      <c r="C4713" s="1">
        <v>4.6899999999999997E-2</v>
      </c>
      <c r="E4713" s="1">
        <v>4.7600000000000003E-2</v>
      </c>
      <c r="F4713">
        <v>42</v>
      </c>
      <c r="G4713">
        <v>64</v>
      </c>
      <c r="H4713">
        <v>757</v>
      </c>
    </row>
    <row r="4714" spans="1:8">
      <c r="A4714" t="s">
        <v>208</v>
      </c>
      <c r="B4714" t="s">
        <v>1064</v>
      </c>
      <c r="C4714" s="1">
        <v>0.40629999999999999</v>
      </c>
      <c r="D4714" s="1">
        <v>0.33960000000000001</v>
      </c>
      <c r="E4714" s="1">
        <v>4.7600000000000003E-2</v>
      </c>
      <c r="F4714">
        <v>42</v>
      </c>
      <c r="G4714">
        <v>64</v>
      </c>
      <c r="H4714">
        <v>757</v>
      </c>
    </row>
    <row r="4715" spans="1:8">
      <c r="A4715" t="s">
        <v>208</v>
      </c>
      <c r="B4715" t="s">
        <v>1065</v>
      </c>
      <c r="C4715" s="1">
        <v>0.28120000000000001</v>
      </c>
      <c r="D4715" s="1">
        <v>0.1132</v>
      </c>
      <c r="E4715" s="1">
        <v>4.7600000000000003E-2</v>
      </c>
      <c r="F4715">
        <v>42</v>
      </c>
      <c r="G4715">
        <v>64</v>
      </c>
      <c r="H4715">
        <v>757</v>
      </c>
    </row>
    <row r="4716" spans="1:8">
      <c r="A4716" t="s">
        <v>210</v>
      </c>
      <c r="B4716" t="s">
        <v>228</v>
      </c>
      <c r="C4716" s="1">
        <v>0.01</v>
      </c>
      <c r="D4716" s="1">
        <v>5.0900000000000001E-2</v>
      </c>
      <c r="E4716" s="1">
        <v>0.18870000000000001</v>
      </c>
      <c r="F4716">
        <v>4</v>
      </c>
      <c r="G4716">
        <v>61</v>
      </c>
      <c r="H4716">
        <v>757</v>
      </c>
    </row>
    <row r="4717" spans="1:8">
      <c r="A4717" t="s">
        <v>210</v>
      </c>
      <c r="B4717" t="s">
        <v>1051</v>
      </c>
      <c r="C4717" s="1">
        <v>0.1469</v>
      </c>
      <c r="D4717" s="1">
        <v>0.1182</v>
      </c>
      <c r="E4717" s="1">
        <v>6.9500000000000006E-2</v>
      </c>
      <c r="F4717">
        <v>4</v>
      </c>
      <c r="G4717">
        <v>61</v>
      </c>
      <c r="H4717">
        <v>757</v>
      </c>
    </row>
    <row r="4718" spans="1:8">
      <c r="A4718" t="s">
        <v>210</v>
      </c>
      <c r="B4718" t="s">
        <v>1053</v>
      </c>
      <c r="C4718" s="1">
        <v>8.3400000000000002E-2</v>
      </c>
      <c r="D4718" s="1">
        <v>9.9900000000000003E-2</v>
      </c>
      <c r="E4718" s="1">
        <v>0.23330000000000001</v>
      </c>
      <c r="F4718">
        <v>4</v>
      </c>
      <c r="G4718">
        <v>61</v>
      </c>
      <c r="H4718">
        <v>757</v>
      </c>
    </row>
    <row r="4719" spans="1:8">
      <c r="A4719" t="s">
        <v>210</v>
      </c>
      <c r="B4719" t="s">
        <v>1054</v>
      </c>
      <c r="C4719" s="1">
        <v>2.12E-2</v>
      </c>
      <c r="D4719" s="1">
        <v>6.9199999999999998E-2</v>
      </c>
      <c r="E4719" s="1">
        <v>2.23E-2</v>
      </c>
      <c r="F4719">
        <v>4</v>
      </c>
      <c r="G4719">
        <v>61</v>
      </c>
      <c r="H4719">
        <v>757</v>
      </c>
    </row>
    <row r="4720" spans="1:8">
      <c r="A4720" t="s">
        <v>210</v>
      </c>
      <c r="B4720" t="s">
        <v>1056</v>
      </c>
      <c r="C4720" s="1">
        <v>0.01</v>
      </c>
      <c r="F4720">
        <v>4</v>
      </c>
      <c r="G4720">
        <v>61</v>
      </c>
      <c r="H4720">
        <v>757</v>
      </c>
    </row>
    <row r="4721" spans="1:8">
      <c r="A4721" t="s">
        <v>210</v>
      </c>
      <c r="B4721" t="s">
        <v>1057</v>
      </c>
      <c r="C4721" s="1">
        <v>2.12E-2</v>
      </c>
      <c r="D4721" s="1">
        <v>5.0900000000000001E-2</v>
      </c>
      <c r="F4721">
        <v>4</v>
      </c>
      <c r="G4721">
        <v>61</v>
      </c>
      <c r="H4721">
        <v>757</v>
      </c>
    </row>
    <row r="4722" spans="1:8">
      <c r="A4722" t="s">
        <v>210</v>
      </c>
      <c r="B4722" t="s">
        <v>1058</v>
      </c>
      <c r="C4722" s="1">
        <v>0.01</v>
      </c>
      <c r="D4722" s="1">
        <v>3.4599999999999999E-2</v>
      </c>
      <c r="E4722" s="1">
        <v>9.4399999999999998E-2</v>
      </c>
      <c r="F4722">
        <v>4</v>
      </c>
      <c r="G4722">
        <v>61</v>
      </c>
      <c r="H4722">
        <v>757</v>
      </c>
    </row>
    <row r="4723" spans="1:8">
      <c r="A4723" t="s">
        <v>210</v>
      </c>
      <c r="B4723" t="s">
        <v>1062</v>
      </c>
      <c r="C4723" s="1">
        <v>5.2299999999999999E-2</v>
      </c>
      <c r="D4723" s="1">
        <v>5.0900000000000001E-2</v>
      </c>
      <c r="E4723" s="1">
        <v>2.23E-2</v>
      </c>
      <c r="F4723">
        <v>4</v>
      </c>
      <c r="G4723">
        <v>61</v>
      </c>
      <c r="H4723">
        <v>757</v>
      </c>
    </row>
    <row r="4724" spans="1:8">
      <c r="A4724" t="s">
        <v>210</v>
      </c>
      <c r="B4724" t="s">
        <v>1064</v>
      </c>
      <c r="C4724" s="1">
        <v>0.35249999999999998</v>
      </c>
      <c r="D4724" s="1">
        <v>0.20369999999999999</v>
      </c>
      <c r="E4724" s="1">
        <v>4.7199999999999999E-2</v>
      </c>
      <c r="F4724">
        <v>4</v>
      </c>
      <c r="G4724">
        <v>61</v>
      </c>
      <c r="H4724">
        <v>757</v>
      </c>
    </row>
    <row r="4725" spans="1:8">
      <c r="A4725" t="s">
        <v>210</v>
      </c>
      <c r="B4725" t="s">
        <v>1065</v>
      </c>
      <c r="C4725" s="1">
        <v>0.27139999999999997</v>
      </c>
      <c r="D4725" s="1">
        <v>6.7199999999999996E-2</v>
      </c>
      <c r="E4725" s="1">
        <v>6.9500000000000006E-2</v>
      </c>
      <c r="F4725">
        <v>4</v>
      </c>
      <c r="G4725">
        <v>61</v>
      </c>
      <c r="H4725">
        <v>757</v>
      </c>
    </row>
    <row r="4726" spans="1:8">
      <c r="A4726" t="s">
        <v>210</v>
      </c>
      <c r="B4726" t="s">
        <v>223</v>
      </c>
      <c r="C4726" s="1">
        <v>2.12E-2</v>
      </c>
      <c r="F4726">
        <v>4</v>
      </c>
      <c r="G4726">
        <v>61</v>
      </c>
      <c r="H4726">
        <v>757</v>
      </c>
    </row>
    <row r="4727" spans="1:8">
      <c r="A4727" t="s">
        <v>211</v>
      </c>
      <c r="B4727" t="s">
        <v>228</v>
      </c>
      <c r="C4727" s="1">
        <v>1.6199999999999999E-2</v>
      </c>
      <c r="D4727" s="1">
        <v>4.2500000000000003E-2</v>
      </c>
      <c r="E4727" s="1">
        <v>3.8699999999999998E-2</v>
      </c>
      <c r="F4727">
        <v>26</v>
      </c>
      <c r="G4727">
        <v>75</v>
      </c>
      <c r="H4727">
        <v>757</v>
      </c>
    </row>
    <row r="4728" spans="1:8">
      <c r="A4728" t="s">
        <v>211</v>
      </c>
      <c r="B4728" t="s">
        <v>1049</v>
      </c>
      <c r="C4728" s="1">
        <v>1.6199999999999999E-2</v>
      </c>
      <c r="D4728" s="1">
        <v>6.3799999999999996E-2</v>
      </c>
      <c r="E4728" s="1">
        <v>0.12970000000000001</v>
      </c>
      <c r="F4728">
        <v>26</v>
      </c>
      <c r="G4728">
        <v>75</v>
      </c>
      <c r="H4728">
        <v>757</v>
      </c>
    </row>
    <row r="4729" spans="1:8">
      <c r="A4729" t="s">
        <v>211</v>
      </c>
      <c r="B4729" t="s">
        <v>1050</v>
      </c>
      <c r="C4729" s="1">
        <v>2.6200000000000001E-2</v>
      </c>
      <c r="D4729" s="1">
        <v>2.24E-2</v>
      </c>
      <c r="E4729" s="1">
        <v>2.0199999999999999E-2</v>
      </c>
      <c r="F4729">
        <v>26</v>
      </c>
      <c r="G4729">
        <v>75</v>
      </c>
      <c r="H4729">
        <v>757</v>
      </c>
    </row>
    <row r="4730" spans="1:8">
      <c r="A4730" t="s">
        <v>211</v>
      </c>
      <c r="B4730" t="s">
        <v>1051</v>
      </c>
      <c r="C4730" s="1">
        <v>8.6800000000000002E-2</v>
      </c>
      <c r="D4730" s="1">
        <v>0.2344</v>
      </c>
      <c r="E4730" s="1">
        <v>6.2300000000000001E-2</v>
      </c>
      <c r="F4730">
        <v>26</v>
      </c>
      <c r="G4730">
        <v>75</v>
      </c>
      <c r="H4730">
        <v>757</v>
      </c>
    </row>
    <row r="4731" spans="1:8">
      <c r="A4731" t="s">
        <v>211</v>
      </c>
      <c r="B4731" t="s">
        <v>1052</v>
      </c>
      <c r="C4731" s="1">
        <v>1.3299999999999999E-2</v>
      </c>
      <c r="D4731" s="1">
        <v>1.7500000000000002E-2</v>
      </c>
      <c r="E4731" s="1">
        <v>2.87E-2</v>
      </c>
      <c r="F4731">
        <v>26</v>
      </c>
      <c r="G4731">
        <v>75</v>
      </c>
      <c r="H4731">
        <v>757</v>
      </c>
    </row>
    <row r="4732" spans="1:8">
      <c r="A4732" t="s">
        <v>211</v>
      </c>
      <c r="B4732" t="s">
        <v>1053</v>
      </c>
      <c r="C4732" s="1">
        <v>2.6700000000000002E-2</v>
      </c>
      <c r="D4732" s="1">
        <v>7.8700000000000006E-2</v>
      </c>
      <c r="E4732" s="1">
        <v>0.1037</v>
      </c>
      <c r="F4732">
        <v>26</v>
      </c>
      <c r="G4732">
        <v>75</v>
      </c>
      <c r="H4732">
        <v>757</v>
      </c>
    </row>
    <row r="4733" spans="1:8">
      <c r="A4733" t="s">
        <v>211</v>
      </c>
      <c r="B4733" t="s">
        <v>1054</v>
      </c>
      <c r="C4733" s="1">
        <v>5.4399999999999997E-2</v>
      </c>
      <c r="D4733" s="1">
        <v>9.6199999999999994E-2</v>
      </c>
      <c r="F4733">
        <v>26</v>
      </c>
      <c r="G4733">
        <v>75</v>
      </c>
      <c r="H4733">
        <v>757</v>
      </c>
    </row>
    <row r="4734" spans="1:8">
      <c r="A4734" t="s">
        <v>211</v>
      </c>
      <c r="B4734" t="s">
        <v>1056</v>
      </c>
      <c r="C4734" s="1">
        <v>5.7000000000000002E-3</v>
      </c>
      <c r="F4734">
        <v>26</v>
      </c>
      <c r="G4734">
        <v>75</v>
      </c>
      <c r="H4734">
        <v>757</v>
      </c>
    </row>
    <row r="4735" spans="1:8">
      <c r="A4735" t="s">
        <v>211</v>
      </c>
      <c r="B4735" t="s">
        <v>1058</v>
      </c>
      <c r="C4735" s="1">
        <v>1.14E-2</v>
      </c>
      <c r="D4735" s="1">
        <v>0.1137</v>
      </c>
      <c r="E4735" s="1">
        <v>6.2300000000000001E-2</v>
      </c>
      <c r="F4735">
        <v>26</v>
      </c>
      <c r="G4735">
        <v>75</v>
      </c>
      <c r="H4735">
        <v>757</v>
      </c>
    </row>
    <row r="4736" spans="1:8">
      <c r="A4736" t="s">
        <v>211</v>
      </c>
      <c r="B4736" t="s">
        <v>1060</v>
      </c>
      <c r="C4736" s="1">
        <v>4.87E-2</v>
      </c>
      <c r="D4736" s="1">
        <v>6.3100000000000003E-2</v>
      </c>
      <c r="E4736" s="1">
        <v>0.18459999999999999</v>
      </c>
      <c r="F4736">
        <v>26</v>
      </c>
      <c r="G4736">
        <v>75</v>
      </c>
      <c r="H4736">
        <v>757</v>
      </c>
    </row>
    <row r="4737" spans="1:9">
      <c r="A4737" t="s">
        <v>211</v>
      </c>
      <c r="B4737" t="s">
        <v>1062</v>
      </c>
      <c r="C4737" s="1">
        <v>5.7000000000000002E-3</v>
      </c>
      <c r="D4737" s="1">
        <v>4.82E-2</v>
      </c>
      <c r="E4737" s="1">
        <v>4.6399999999999997E-2</v>
      </c>
      <c r="F4737">
        <v>26</v>
      </c>
      <c r="G4737">
        <v>75</v>
      </c>
      <c r="H4737">
        <v>757</v>
      </c>
    </row>
    <row r="4738" spans="1:9">
      <c r="A4738" t="s">
        <v>211</v>
      </c>
      <c r="B4738" t="s">
        <v>1063</v>
      </c>
      <c r="C4738" s="1">
        <v>2.0500000000000001E-2</v>
      </c>
      <c r="E4738" s="1">
        <v>1.01E-2</v>
      </c>
      <c r="F4738">
        <v>26</v>
      </c>
      <c r="G4738">
        <v>75</v>
      </c>
      <c r="H4738">
        <v>757</v>
      </c>
    </row>
    <row r="4739" spans="1:9">
      <c r="A4739" t="s">
        <v>211</v>
      </c>
      <c r="B4739" t="s">
        <v>1064</v>
      </c>
      <c r="C4739" s="1">
        <v>0.48399999999999999</v>
      </c>
      <c r="D4739" s="1">
        <v>0.13869999999999999</v>
      </c>
      <c r="E4739" s="1">
        <v>0.12720000000000001</v>
      </c>
      <c r="F4739">
        <v>26</v>
      </c>
      <c r="G4739">
        <v>75</v>
      </c>
      <c r="H4739">
        <v>757</v>
      </c>
    </row>
    <row r="4740" spans="1:9">
      <c r="A4740" t="s">
        <v>211</v>
      </c>
      <c r="B4740" t="s">
        <v>1065</v>
      </c>
      <c r="C4740" s="1">
        <v>0.18410000000000001</v>
      </c>
      <c r="D4740" s="1">
        <v>7.4999999999999997E-3</v>
      </c>
      <c r="F4740">
        <v>26</v>
      </c>
      <c r="G4740">
        <v>75</v>
      </c>
      <c r="H4740">
        <v>757</v>
      </c>
    </row>
    <row r="4741" spans="1:9">
      <c r="A4741" t="s">
        <v>212</v>
      </c>
      <c r="B4741" t="s">
        <v>228</v>
      </c>
      <c r="C4741" s="1">
        <v>1.66E-2</v>
      </c>
      <c r="E4741" s="1">
        <v>6.8500000000000005E-2</v>
      </c>
      <c r="F4741">
        <v>68</v>
      </c>
      <c r="G4741">
        <v>69</v>
      </c>
      <c r="H4741">
        <v>757</v>
      </c>
    </row>
    <row r="4742" spans="1:9">
      <c r="A4742" t="s">
        <v>212</v>
      </c>
      <c r="B4742" t="s">
        <v>1051</v>
      </c>
      <c r="C4742" s="1">
        <v>8.5999999999999993E-2</v>
      </c>
      <c r="D4742" s="1">
        <v>0.1004</v>
      </c>
      <c r="E4742" s="1">
        <v>4.48E-2</v>
      </c>
      <c r="F4742">
        <v>68</v>
      </c>
      <c r="G4742">
        <v>69</v>
      </c>
      <c r="H4742">
        <v>757</v>
      </c>
    </row>
    <row r="4743" spans="1:9">
      <c r="A4743" t="s">
        <v>212</v>
      </c>
      <c r="B4743" t="s">
        <v>1053</v>
      </c>
      <c r="C4743" s="1">
        <v>1.95E-2</v>
      </c>
      <c r="D4743" s="1">
        <v>1.9900000000000001E-2</v>
      </c>
      <c r="E4743" s="1">
        <v>0.13450000000000001</v>
      </c>
      <c r="F4743">
        <v>68</v>
      </c>
      <c r="G4743">
        <v>69</v>
      </c>
      <c r="H4743">
        <v>757</v>
      </c>
    </row>
    <row r="4744" spans="1:9">
      <c r="A4744" t="s">
        <v>212</v>
      </c>
      <c r="B4744" t="s">
        <v>1054</v>
      </c>
      <c r="C4744" s="1">
        <v>8.8000000000000005E-3</v>
      </c>
      <c r="D4744" s="1">
        <v>4.3999999999999997E-2</v>
      </c>
      <c r="E4744" s="1">
        <v>4.48E-2</v>
      </c>
      <c r="F4744">
        <v>68</v>
      </c>
      <c r="G4744">
        <v>69</v>
      </c>
      <c r="H4744">
        <v>757</v>
      </c>
    </row>
    <row r="4745" spans="1:9">
      <c r="A4745" t="s">
        <v>212</v>
      </c>
      <c r="B4745" t="s">
        <v>1058</v>
      </c>
      <c r="C4745" s="1">
        <v>6.9099999999999995E-2</v>
      </c>
      <c r="D4745" s="1">
        <v>0.14860000000000001</v>
      </c>
      <c r="E4745" s="1">
        <v>0.24429999999999999</v>
      </c>
      <c r="F4745">
        <v>68</v>
      </c>
      <c r="G4745">
        <v>69</v>
      </c>
      <c r="H4745">
        <v>757</v>
      </c>
    </row>
    <row r="4746" spans="1:9">
      <c r="A4746" t="s">
        <v>212</v>
      </c>
      <c r="B4746" t="s">
        <v>1060</v>
      </c>
      <c r="C4746" s="1">
        <v>4.2000000000000003E-2</v>
      </c>
      <c r="D4746" s="1">
        <v>9.4399999999999998E-2</v>
      </c>
      <c r="E4746" s="1">
        <v>9.7500000000000003E-2</v>
      </c>
      <c r="F4746">
        <v>68</v>
      </c>
      <c r="G4746">
        <v>69</v>
      </c>
      <c r="H4746">
        <v>757</v>
      </c>
    </row>
    <row r="4747" spans="1:9">
      <c r="A4747" t="s">
        <v>212</v>
      </c>
      <c r="B4747" t="s">
        <v>1063</v>
      </c>
      <c r="C4747" s="1">
        <v>8.6E-3</v>
      </c>
      <c r="D4747" s="1">
        <v>4.8099999999999997E-2</v>
      </c>
      <c r="E4747" s="1">
        <v>8.9700000000000002E-2</v>
      </c>
      <c r="F4747">
        <v>68</v>
      </c>
      <c r="G4747">
        <v>69</v>
      </c>
      <c r="H4747">
        <v>757</v>
      </c>
    </row>
    <row r="4748" spans="1:9">
      <c r="A4748" t="s">
        <v>212</v>
      </c>
      <c r="B4748" t="s">
        <v>1064</v>
      </c>
      <c r="C4748" s="1">
        <v>0.52229999999999999</v>
      </c>
      <c r="D4748" s="1">
        <v>0.16839999999999999</v>
      </c>
      <c r="E4748" s="1">
        <v>8.9700000000000002E-2</v>
      </c>
      <c r="F4748">
        <v>68</v>
      </c>
      <c r="G4748">
        <v>69</v>
      </c>
      <c r="H4748">
        <v>757</v>
      </c>
    </row>
    <row r="4749" spans="1:9">
      <c r="A4749" t="s">
        <v>212</v>
      </c>
      <c r="B4749" t="s">
        <v>1065</v>
      </c>
      <c r="C4749" s="1">
        <v>0.22700000000000001</v>
      </c>
      <c r="D4749" s="1">
        <v>8.3900000000000002E-2</v>
      </c>
      <c r="F4749">
        <v>68</v>
      </c>
      <c r="G4749">
        <v>69</v>
      </c>
      <c r="H4749">
        <v>757</v>
      </c>
    </row>
    <row r="4751" spans="1:9">
      <c r="A4751" t="s">
        <v>1066</v>
      </c>
    </row>
    <row r="4752" spans="1:9">
      <c r="A4752" t="s">
        <v>190</v>
      </c>
      <c r="B4752" t="s">
        <v>214</v>
      </c>
      <c r="C4752" t="s">
        <v>705</v>
      </c>
      <c r="D4752" t="s">
        <v>1045</v>
      </c>
      <c r="E4752" t="s">
        <v>1046</v>
      </c>
      <c r="F4752" t="s">
        <v>1047</v>
      </c>
      <c r="G4752" t="s">
        <v>716</v>
      </c>
      <c r="H4752" t="s">
        <v>195</v>
      </c>
      <c r="I4752" t="s">
        <v>196</v>
      </c>
    </row>
    <row r="4753" spans="1:9">
      <c r="A4753" t="s">
        <v>198</v>
      </c>
      <c r="B4753" t="s">
        <v>198</v>
      </c>
      <c r="C4753" t="s">
        <v>1048</v>
      </c>
      <c r="D4753" s="1">
        <v>4.5999999999999999E-3</v>
      </c>
      <c r="E4753" s="1">
        <v>2.3300000000000001E-2</v>
      </c>
      <c r="F4753" s="1">
        <v>3.1399999999999997E-2</v>
      </c>
      <c r="G4753">
        <v>757</v>
      </c>
      <c r="H4753">
        <v>757</v>
      </c>
      <c r="I4753">
        <v>757</v>
      </c>
    </row>
    <row r="4754" spans="1:9">
      <c r="A4754" t="s">
        <v>198</v>
      </c>
      <c r="B4754" t="s">
        <v>198</v>
      </c>
      <c r="C4754" t="s">
        <v>228</v>
      </c>
      <c r="D4754" s="1">
        <v>6.1999999999999998E-3</v>
      </c>
      <c r="E4754" s="1">
        <v>3.2000000000000001E-2</v>
      </c>
      <c r="F4754" s="1">
        <v>5.3100000000000001E-2</v>
      </c>
      <c r="G4754">
        <v>757</v>
      </c>
      <c r="H4754">
        <v>757</v>
      </c>
      <c r="I4754">
        <v>757</v>
      </c>
    </row>
    <row r="4755" spans="1:9">
      <c r="A4755" t="s">
        <v>198</v>
      </c>
      <c r="B4755" t="s">
        <v>198</v>
      </c>
      <c r="C4755" t="s">
        <v>1049</v>
      </c>
      <c r="D4755" s="1">
        <v>7.1999999999999998E-3</v>
      </c>
      <c r="E4755" s="1">
        <v>7.6100000000000001E-2</v>
      </c>
      <c r="F4755" s="1">
        <v>7.4899999999999994E-2</v>
      </c>
      <c r="G4755">
        <v>757</v>
      </c>
      <c r="H4755">
        <v>757</v>
      </c>
      <c r="I4755">
        <v>757</v>
      </c>
    </row>
    <row r="4756" spans="1:9">
      <c r="A4756" t="s">
        <v>198</v>
      </c>
      <c r="B4756" t="s">
        <v>198</v>
      </c>
      <c r="C4756" t="s">
        <v>1050</v>
      </c>
      <c r="D4756" s="1">
        <v>3.0000000000000001E-3</v>
      </c>
      <c r="E4756" s="1">
        <v>1.44E-2</v>
      </c>
      <c r="F4756" s="1">
        <v>1.41E-2</v>
      </c>
      <c r="G4756">
        <v>757</v>
      </c>
      <c r="H4756">
        <v>757</v>
      </c>
      <c r="I4756">
        <v>757</v>
      </c>
    </row>
    <row r="4757" spans="1:9">
      <c r="A4757" t="s">
        <v>198</v>
      </c>
      <c r="B4757" t="s">
        <v>198</v>
      </c>
      <c r="C4757" t="s">
        <v>1051</v>
      </c>
      <c r="D4757" s="1">
        <v>7.8799999999999995E-2</v>
      </c>
      <c r="E4757" s="1">
        <v>9.7699999999999995E-2</v>
      </c>
      <c r="F4757" s="1">
        <v>6.8699999999999997E-2</v>
      </c>
      <c r="G4757">
        <v>757</v>
      </c>
      <c r="H4757">
        <v>757</v>
      </c>
      <c r="I4757">
        <v>757</v>
      </c>
    </row>
    <row r="4758" spans="1:9">
      <c r="A4758" t="s">
        <v>198</v>
      </c>
      <c r="B4758" t="s">
        <v>198</v>
      </c>
      <c r="C4758" t="s">
        <v>1052</v>
      </c>
      <c r="D4758" s="1">
        <v>5.9999999999999995E-4</v>
      </c>
      <c r="E4758" s="1">
        <v>8.0000000000000004E-4</v>
      </c>
      <c r="F4758" s="1">
        <v>3.8E-3</v>
      </c>
      <c r="G4758">
        <v>757</v>
      </c>
      <c r="H4758">
        <v>757</v>
      </c>
      <c r="I4758">
        <v>757</v>
      </c>
    </row>
    <row r="4759" spans="1:9">
      <c r="A4759" t="s">
        <v>198</v>
      </c>
      <c r="B4759" t="s">
        <v>198</v>
      </c>
      <c r="C4759" t="s">
        <v>1053</v>
      </c>
      <c r="D4759" s="1">
        <v>4.4999999999999998E-2</v>
      </c>
      <c r="E4759" s="1">
        <v>9.3299999999999994E-2</v>
      </c>
      <c r="F4759" s="1">
        <v>9.5100000000000004E-2</v>
      </c>
      <c r="G4759">
        <v>757</v>
      </c>
      <c r="H4759">
        <v>757</v>
      </c>
      <c r="I4759">
        <v>757</v>
      </c>
    </row>
    <row r="4760" spans="1:9">
      <c r="A4760" t="s">
        <v>198</v>
      </c>
      <c r="B4760" t="s">
        <v>198</v>
      </c>
      <c r="C4760" t="s">
        <v>1054</v>
      </c>
      <c r="D4760" s="1">
        <v>2.41E-2</v>
      </c>
      <c r="E4760" s="1">
        <v>5.96E-2</v>
      </c>
      <c r="F4760" s="1">
        <v>4.8399999999999999E-2</v>
      </c>
      <c r="G4760">
        <v>757</v>
      </c>
      <c r="H4760">
        <v>757</v>
      </c>
      <c r="I4760">
        <v>757</v>
      </c>
    </row>
    <row r="4761" spans="1:9">
      <c r="A4761" t="s">
        <v>198</v>
      </c>
      <c r="B4761" t="s">
        <v>198</v>
      </c>
      <c r="C4761" t="s">
        <v>1055</v>
      </c>
      <c r="D4761" s="1">
        <v>4.0000000000000001E-3</v>
      </c>
      <c r="E4761" s="1">
        <v>8.9999999999999998E-4</v>
      </c>
      <c r="F4761" s="1">
        <v>8.0999999999999996E-3</v>
      </c>
      <c r="G4761">
        <v>757</v>
      </c>
      <c r="H4761">
        <v>757</v>
      </c>
      <c r="I4761">
        <v>757</v>
      </c>
    </row>
    <row r="4762" spans="1:9">
      <c r="A4762" t="s">
        <v>198</v>
      </c>
      <c r="B4762" t="s">
        <v>198</v>
      </c>
      <c r="C4762" t="s">
        <v>1056</v>
      </c>
      <c r="D4762" s="1">
        <v>3.8999999999999998E-3</v>
      </c>
      <c r="E4762" s="1">
        <v>6.4000000000000003E-3</v>
      </c>
      <c r="F4762" s="1">
        <v>5.0000000000000001E-3</v>
      </c>
      <c r="G4762">
        <v>757</v>
      </c>
      <c r="H4762">
        <v>757</v>
      </c>
      <c r="I4762">
        <v>757</v>
      </c>
    </row>
    <row r="4763" spans="1:9">
      <c r="A4763" t="s">
        <v>198</v>
      </c>
      <c r="B4763" t="s">
        <v>198</v>
      </c>
      <c r="C4763" t="s">
        <v>1057</v>
      </c>
      <c r="D4763" s="1">
        <v>1.5E-3</v>
      </c>
      <c r="E4763" s="1">
        <v>2.3900000000000001E-2</v>
      </c>
      <c r="F4763" s="1">
        <v>3.0700000000000002E-2</v>
      </c>
      <c r="G4763">
        <v>757</v>
      </c>
      <c r="H4763">
        <v>757</v>
      </c>
      <c r="I4763">
        <v>757</v>
      </c>
    </row>
    <row r="4764" spans="1:9">
      <c r="A4764" t="s">
        <v>198</v>
      </c>
      <c r="B4764" t="s">
        <v>198</v>
      </c>
      <c r="C4764" t="s">
        <v>1058</v>
      </c>
      <c r="D4764" s="1">
        <v>3.32E-2</v>
      </c>
      <c r="E4764" s="1">
        <v>0.10390000000000001</v>
      </c>
      <c r="F4764" s="1">
        <v>0.15029999999999999</v>
      </c>
      <c r="G4764">
        <v>757</v>
      </c>
      <c r="H4764">
        <v>757</v>
      </c>
      <c r="I4764">
        <v>757</v>
      </c>
    </row>
    <row r="4765" spans="1:9">
      <c r="A4765" t="s">
        <v>198</v>
      </c>
      <c r="B4765" t="s">
        <v>198</v>
      </c>
      <c r="C4765" t="s">
        <v>1059</v>
      </c>
      <c r="D4765" s="1">
        <v>4.5999999999999999E-3</v>
      </c>
      <c r="E4765" s="1">
        <v>8.8999999999999999E-3</v>
      </c>
      <c r="F4765" s="1">
        <v>1.38E-2</v>
      </c>
      <c r="G4765">
        <v>757</v>
      </c>
      <c r="H4765">
        <v>757</v>
      </c>
      <c r="I4765">
        <v>757</v>
      </c>
    </row>
    <row r="4766" spans="1:9">
      <c r="A4766" t="s">
        <v>198</v>
      </c>
      <c r="B4766" t="s">
        <v>198</v>
      </c>
      <c r="C4766" t="s">
        <v>1060</v>
      </c>
      <c r="D4766" s="1">
        <v>1.84E-2</v>
      </c>
      <c r="E4766" s="1">
        <v>4.5699999999999998E-2</v>
      </c>
      <c r="F4766" s="1">
        <v>0.1041</v>
      </c>
      <c r="G4766">
        <v>757</v>
      </c>
      <c r="H4766">
        <v>757</v>
      </c>
      <c r="I4766">
        <v>757</v>
      </c>
    </row>
    <row r="4767" spans="1:9">
      <c r="A4767" t="s">
        <v>198</v>
      </c>
      <c r="B4767" t="s">
        <v>198</v>
      </c>
      <c r="C4767" t="s">
        <v>1061</v>
      </c>
      <c r="D4767" s="1">
        <v>8.9999999999999998E-4</v>
      </c>
      <c r="E4767" s="1">
        <v>2.8E-3</v>
      </c>
      <c r="F4767" s="1">
        <v>1.0999999999999999E-2</v>
      </c>
      <c r="G4767">
        <v>757</v>
      </c>
      <c r="H4767">
        <v>757</v>
      </c>
      <c r="I4767">
        <v>757</v>
      </c>
    </row>
    <row r="4768" spans="1:9">
      <c r="A4768" t="s">
        <v>198</v>
      </c>
      <c r="B4768" t="s">
        <v>198</v>
      </c>
      <c r="C4768" t="s">
        <v>1062</v>
      </c>
      <c r="D4768" s="1">
        <v>0.01</v>
      </c>
      <c r="E4768" s="1">
        <v>1.8599999999999998E-2</v>
      </c>
      <c r="F4768" s="1">
        <v>3.6600000000000001E-2</v>
      </c>
      <c r="G4768">
        <v>757</v>
      </c>
      <c r="H4768">
        <v>757</v>
      </c>
      <c r="I4768">
        <v>757</v>
      </c>
    </row>
    <row r="4769" spans="1:9">
      <c r="A4769" t="s">
        <v>198</v>
      </c>
      <c r="B4769" t="s">
        <v>198</v>
      </c>
      <c r="C4769" t="s">
        <v>1063</v>
      </c>
      <c r="D4769" s="1">
        <v>9.4000000000000004E-3</v>
      </c>
      <c r="E4769" s="1">
        <v>2.07E-2</v>
      </c>
      <c r="F4769" s="1">
        <v>2.4799999999999999E-2</v>
      </c>
      <c r="G4769">
        <v>757</v>
      </c>
      <c r="H4769">
        <v>757</v>
      </c>
      <c r="I4769">
        <v>757</v>
      </c>
    </row>
    <row r="4770" spans="1:9">
      <c r="A4770" t="s">
        <v>198</v>
      </c>
      <c r="B4770" t="s">
        <v>198</v>
      </c>
      <c r="C4770" t="s">
        <v>1064</v>
      </c>
      <c r="D4770" s="1">
        <v>0.40770000000000001</v>
      </c>
      <c r="E4770" s="1">
        <v>0.2545</v>
      </c>
      <c r="F4770" s="1">
        <v>0.13250000000000001</v>
      </c>
      <c r="G4770">
        <v>757</v>
      </c>
      <c r="H4770">
        <v>757</v>
      </c>
      <c r="I4770">
        <v>757</v>
      </c>
    </row>
    <row r="4771" spans="1:9">
      <c r="A4771" t="s">
        <v>198</v>
      </c>
      <c r="B4771" t="s">
        <v>198</v>
      </c>
      <c r="C4771" t="s">
        <v>1065</v>
      </c>
      <c r="D4771" s="1">
        <v>0.33500000000000002</v>
      </c>
      <c r="E4771" s="1">
        <v>0.10440000000000001</v>
      </c>
      <c r="F4771" s="1">
        <v>4.6699999999999998E-2</v>
      </c>
      <c r="G4771">
        <v>757</v>
      </c>
      <c r="H4771">
        <v>757</v>
      </c>
      <c r="I4771">
        <v>757</v>
      </c>
    </row>
    <row r="4772" spans="1:9">
      <c r="A4772" t="s">
        <v>198</v>
      </c>
      <c r="B4772" t="s">
        <v>198</v>
      </c>
      <c r="C4772" t="s">
        <v>278</v>
      </c>
      <c r="D4772" s="1">
        <v>1.9E-3</v>
      </c>
      <c r="E4772" s="1">
        <v>8.0000000000000002E-3</v>
      </c>
      <c r="F4772" s="1">
        <v>3.3999999999999998E-3</v>
      </c>
      <c r="G4772">
        <v>757</v>
      </c>
      <c r="H4772">
        <v>757</v>
      </c>
      <c r="I4772">
        <v>757</v>
      </c>
    </row>
    <row r="4773" spans="1:9">
      <c r="A4773" t="s">
        <v>198</v>
      </c>
      <c r="B4773" t="s">
        <v>198</v>
      </c>
      <c r="C4773" t="s">
        <v>223</v>
      </c>
      <c r="D4773" s="1">
        <v>1E-4</v>
      </c>
      <c r="E4773" s="1">
        <v>1E-4</v>
      </c>
      <c r="F4773" s="1">
        <v>8.9999999999999998E-4</v>
      </c>
      <c r="G4773">
        <v>757</v>
      </c>
      <c r="H4773">
        <v>757</v>
      </c>
      <c r="I4773">
        <v>757</v>
      </c>
    </row>
    <row r="4774" spans="1:9" s="26" customFormat="1">
      <c r="A4774" s="26" t="s">
        <v>200</v>
      </c>
      <c r="B4774" s="26" t="s">
        <v>236</v>
      </c>
      <c r="C4774" s="26" t="s">
        <v>1051</v>
      </c>
      <c r="D4774" s="27">
        <v>4.0000000000000001E-3</v>
      </c>
      <c r="E4774" s="27">
        <v>4.7999999999999996E-3</v>
      </c>
      <c r="F4774" s="27">
        <v>0.25840000000000002</v>
      </c>
      <c r="G4774" s="26">
        <v>8</v>
      </c>
      <c r="H4774" s="26">
        <v>20</v>
      </c>
      <c r="I4774" s="26">
        <v>757</v>
      </c>
    </row>
    <row r="4775" spans="1:9" s="26" customFormat="1">
      <c r="A4775" s="26" t="s">
        <v>200</v>
      </c>
      <c r="B4775" s="26" t="s">
        <v>236</v>
      </c>
      <c r="C4775" s="26" t="s">
        <v>1055</v>
      </c>
      <c r="D4775" s="27">
        <v>0.1724</v>
      </c>
      <c r="G4775" s="26">
        <v>8</v>
      </c>
      <c r="H4775" s="26">
        <v>20</v>
      </c>
      <c r="I4775" s="26">
        <v>757</v>
      </c>
    </row>
    <row r="4776" spans="1:9" s="26" customFormat="1">
      <c r="A4776" s="26" t="s">
        <v>200</v>
      </c>
      <c r="B4776" s="26" t="s">
        <v>236</v>
      </c>
      <c r="C4776" s="26" t="s">
        <v>1056</v>
      </c>
      <c r="D4776" s="27">
        <v>4.0000000000000001E-3</v>
      </c>
      <c r="G4776" s="26">
        <v>8</v>
      </c>
      <c r="H4776" s="26">
        <v>20</v>
      </c>
      <c r="I4776" s="26">
        <v>757</v>
      </c>
    </row>
    <row r="4777" spans="1:9" s="26" customFormat="1">
      <c r="A4777" s="26" t="s">
        <v>200</v>
      </c>
      <c r="B4777" s="26" t="s">
        <v>236</v>
      </c>
      <c r="C4777" s="26" t="s">
        <v>1062</v>
      </c>
      <c r="D4777" s="27">
        <v>4.0000000000000001E-3</v>
      </c>
      <c r="G4777" s="26">
        <v>8</v>
      </c>
      <c r="H4777" s="26">
        <v>20</v>
      </c>
      <c r="I4777" s="26">
        <v>757</v>
      </c>
    </row>
    <row r="4778" spans="1:9" s="26" customFormat="1">
      <c r="A4778" s="26" t="s">
        <v>200</v>
      </c>
      <c r="B4778" s="26" t="s">
        <v>236</v>
      </c>
      <c r="C4778" s="26" t="s">
        <v>1064</v>
      </c>
      <c r="D4778" s="27">
        <v>0.61739999999999995</v>
      </c>
      <c r="E4778" s="27">
        <v>9.7100000000000006E-2</v>
      </c>
      <c r="F4778" s="27">
        <v>4.8999999999999998E-3</v>
      </c>
      <c r="G4778" s="26">
        <v>8</v>
      </c>
      <c r="H4778" s="26">
        <v>20</v>
      </c>
      <c r="I4778" s="26">
        <v>757</v>
      </c>
    </row>
    <row r="4779" spans="1:9" s="26" customFormat="1">
      <c r="A4779" s="26" t="s">
        <v>200</v>
      </c>
      <c r="B4779" s="26" t="s">
        <v>236</v>
      </c>
      <c r="C4779" s="26" t="s">
        <v>1065</v>
      </c>
      <c r="D4779" s="27">
        <v>0.19819999999999999</v>
      </c>
      <c r="E4779" s="27">
        <v>4.7999999999999996E-3</v>
      </c>
      <c r="G4779" s="26">
        <v>8</v>
      </c>
      <c r="H4779" s="26">
        <v>20</v>
      </c>
      <c r="I4779" s="26">
        <v>757</v>
      </c>
    </row>
    <row r="4780" spans="1:9">
      <c r="A4780" t="s">
        <v>200</v>
      </c>
      <c r="B4780" t="s">
        <v>235</v>
      </c>
      <c r="C4780" t="s">
        <v>228</v>
      </c>
      <c r="D4780" s="1">
        <v>3.8E-3</v>
      </c>
      <c r="E4780" s="1">
        <v>3.8999999999999998E-3</v>
      </c>
      <c r="F4780" s="1">
        <v>8.0000000000000002E-3</v>
      </c>
      <c r="G4780">
        <v>9</v>
      </c>
      <c r="H4780">
        <v>36</v>
      </c>
      <c r="I4780">
        <v>757</v>
      </c>
    </row>
    <row r="4781" spans="1:9">
      <c r="A4781" t="s">
        <v>200</v>
      </c>
      <c r="B4781" t="s">
        <v>235</v>
      </c>
      <c r="C4781" t="s">
        <v>1050</v>
      </c>
      <c r="D4781" s="1">
        <v>3.8E-3</v>
      </c>
      <c r="F4781" s="1">
        <v>8.0000000000000002E-3</v>
      </c>
      <c r="G4781">
        <v>9</v>
      </c>
      <c r="H4781">
        <v>36</v>
      </c>
      <c r="I4781">
        <v>757</v>
      </c>
    </row>
    <row r="4782" spans="1:9">
      <c r="A4782" t="s">
        <v>200</v>
      </c>
      <c r="B4782" t="s">
        <v>235</v>
      </c>
      <c r="C4782" t="s">
        <v>1051</v>
      </c>
      <c r="D4782" s="1">
        <v>0.12909999999999999</v>
      </c>
      <c r="E4782" s="1">
        <v>5.2999999999999999E-2</v>
      </c>
      <c r="F4782" s="1">
        <v>0.12139999999999999</v>
      </c>
      <c r="G4782">
        <v>9</v>
      </c>
      <c r="H4782">
        <v>36</v>
      </c>
      <c r="I4782">
        <v>757</v>
      </c>
    </row>
    <row r="4783" spans="1:9">
      <c r="A4783" t="s">
        <v>200</v>
      </c>
      <c r="B4783" t="s">
        <v>235</v>
      </c>
      <c r="C4783" t="s">
        <v>1054</v>
      </c>
      <c r="D4783" s="1">
        <v>3.8E-3</v>
      </c>
      <c r="E4783" s="1">
        <v>7.7000000000000002E-3</v>
      </c>
      <c r="G4783">
        <v>9</v>
      </c>
      <c r="H4783">
        <v>36</v>
      </c>
      <c r="I4783">
        <v>757</v>
      </c>
    </row>
    <row r="4784" spans="1:9">
      <c r="A4784" t="s">
        <v>200</v>
      </c>
      <c r="B4784" t="s">
        <v>235</v>
      </c>
      <c r="C4784" t="s">
        <v>1057</v>
      </c>
      <c r="D4784" s="1">
        <v>3.8E-3</v>
      </c>
      <c r="E4784" s="1">
        <v>3.8999999999999998E-3</v>
      </c>
      <c r="F4784" s="1">
        <v>8.0000000000000002E-3</v>
      </c>
      <c r="G4784">
        <v>9</v>
      </c>
      <c r="H4784">
        <v>36</v>
      </c>
      <c r="I4784">
        <v>757</v>
      </c>
    </row>
    <row r="4785" spans="1:9">
      <c r="A4785" t="s">
        <v>200</v>
      </c>
      <c r="B4785" t="s">
        <v>235</v>
      </c>
      <c r="C4785" t="s">
        <v>1058</v>
      </c>
      <c r="D4785" s="1">
        <v>3.8E-3</v>
      </c>
      <c r="E4785" s="1">
        <v>0.55530000000000002</v>
      </c>
      <c r="F4785" s="1">
        <v>1.6E-2</v>
      </c>
      <c r="G4785">
        <v>9</v>
      </c>
      <c r="H4785">
        <v>36</v>
      </c>
      <c r="I4785">
        <v>757</v>
      </c>
    </row>
    <row r="4786" spans="1:9">
      <c r="A4786" t="s">
        <v>200</v>
      </c>
      <c r="B4786" t="s">
        <v>235</v>
      </c>
      <c r="C4786" t="s">
        <v>1061</v>
      </c>
      <c r="D4786" s="1">
        <v>3.8E-3</v>
      </c>
      <c r="G4786">
        <v>9</v>
      </c>
      <c r="H4786">
        <v>36</v>
      </c>
      <c r="I4786">
        <v>757</v>
      </c>
    </row>
    <row r="4787" spans="1:9">
      <c r="A4787" t="s">
        <v>200</v>
      </c>
      <c r="B4787" t="s">
        <v>235</v>
      </c>
      <c r="C4787" t="s">
        <v>1064</v>
      </c>
      <c r="D4787" s="1">
        <v>0.69399999999999995</v>
      </c>
      <c r="E4787" s="1">
        <v>0.1215</v>
      </c>
      <c r="F4787" s="1">
        <v>0.15620000000000001</v>
      </c>
      <c r="G4787">
        <v>9</v>
      </c>
      <c r="H4787">
        <v>36</v>
      </c>
      <c r="I4787">
        <v>757</v>
      </c>
    </row>
    <row r="4788" spans="1:9">
      <c r="A4788" t="s">
        <v>200</v>
      </c>
      <c r="B4788" t="s">
        <v>235</v>
      </c>
      <c r="C4788" t="s">
        <v>1065</v>
      </c>
      <c r="D4788" s="1">
        <v>0.15429999999999999</v>
      </c>
      <c r="E4788" s="1">
        <v>0.1177</v>
      </c>
      <c r="G4788">
        <v>9</v>
      </c>
      <c r="H4788">
        <v>36</v>
      </c>
      <c r="I4788">
        <v>757</v>
      </c>
    </row>
    <row r="4789" spans="1:9">
      <c r="A4789" t="s">
        <v>201</v>
      </c>
      <c r="B4789" t="s">
        <v>235</v>
      </c>
      <c r="C4789" t="s">
        <v>1048</v>
      </c>
      <c r="D4789" s="1">
        <v>1.35E-2</v>
      </c>
      <c r="E4789" s="1">
        <v>2.1299999999999999E-2</v>
      </c>
      <c r="F4789" s="1">
        <v>3.4500000000000003E-2</v>
      </c>
      <c r="G4789">
        <v>110</v>
      </c>
      <c r="H4789">
        <v>74</v>
      </c>
      <c r="I4789">
        <v>757</v>
      </c>
    </row>
    <row r="4790" spans="1:9">
      <c r="A4790" t="s">
        <v>201</v>
      </c>
      <c r="B4790" t="s">
        <v>235</v>
      </c>
      <c r="C4790" t="s">
        <v>1049</v>
      </c>
      <c r="D4790" s="1">
        <v>1.35E-2</v>
      </c>
      <c r="E4790" s="1">
        <v>4.2599999999999999E-2</v>
      </c>
      <c r="F4790" s="1">
        <v>0.1724</v>
      </c>
      <c r="G4790">
        <v>110</v>
      </c>
      <c r="H4790">
        <v>74</v>
      </c>
      <c r="I4790">
        <v>757</v>
      </c>
    </row>
    <row r="4791" spans="1:9">
      <c r="A4791" t="s">
        <v>201</v>
      </c>
      <c r="B4791" t="s">
        <v>235</v>
      </c>
      <c r="C4791" t="s">
        <v>1051</v>
      </c>
      <c r="D4791" s="1">
        <v>9.4600000000000004E-2</v>
      </c>
      <c r="E4791" s="1">
        <v>4.2599999999999999E-2</v>
      </c>
      <c r="F4791" s="1">
        <v>6.9000000000000006E-2</v>
      </c>
      <c r="G4791">
        <v>110</v>
      </c>
      <c r="H4791">
        <v>74</v>
      </c>
      <c r="I4791">
        <v>757</v>
      </c>
    </row>
    <row r="4792" spans="1:9">
      <c r="A4792" t="s">
        <v>201</v>
      </c>
      <c r="B4792" t="s">
        <v>235</v>
      </c>
      <c r="C4792" t="s">
        <v>1053</v>
      </c>
      <c r="D4792" s="1">
        <v>9.4600000000000004E-2</v>
      </c>
      <c r="E4792" s="1">
        <v>0.17019999999999999</v>
      </c>
      <c r="F4792" s="1">
        <v>0.13789999999999999</v>
      </c>
      <c r="G4792">
        <v>110</v>
      </c>
      <c r="H4792">
        <v>74</v>
      </c>
      <c r="I4792">
        <v>757</v>
      </c>
    </row>
    <row r="4793" spans="1:9">
      <c r="A4793" t="s">
        <v>201</v>
      </c>
      <c r="B4793" t="s">
        <v>235</v>
      </c>
      <c r="C4793" t="s">
        <v>1054</v>
      </c>
      <c r="D4793" s="1">
        <v>5.4100000000000002E-2</v>
      </c>
      <c r="E4793" s="1">
        <v>0.10639999999999999</v>
      </c>
      <c r="F4793" s="1">
        <v>0.10340000000000001</v>
      </c>
      <c r="G4793">
        <v>110</v>
      </c>
      <c r="H4793">
        <v>74</v>
      </c>
      <c r="I4793">
        <v>757</v>
      </c>
    </row>
    <row r="4794" spans="1:9">
      <c r="A4794" t="s">
        <v>201</v>
      </c>
      <c r="B4794" t="s">
        <v>235</v>
      </c>
      <c r="C4794" t="s">
        <v>1058</v>
      </c>
      <c r="D4794" s="1">
        <v>6.7599999999999993E-2</v>
      </c>
      <c r="E4794" s="1">
        <v>4.2599999999999999E-2</v>
      </c>
      <c r="G4794">
        <v>110</v>
      </c>
      <c r="H4794">
        <v>74</v>
      </c>
      <c r="I4794">
        <v>757</v>
      </c>
    </row>
    <row r="4795" spans="1:9">
      <c r="A4795" t="s">
        <v>201</v>
      </c>
      <c r="B4795" t="s">
        <v>235</v>
      </c>
      <c r="C4795" t="s">
        <v>1059</v>
      </c>
      <c r="D4795" s="1">
        <v>1.35E-2</v>
      </c>
      <c r="G4795">
        <v>110</v>
      </c>
      <c r="H4795">
        <v>74</v>
      </c>
      <c r="I4795">
        <v>757</v>
      </c>
    </row>
    <row r="4796" spans="1:9">
      <c r="A4796" t="s">
        <v>201</v>
      </c>
      <c r="B4796" t="s">
        <v>235</v>
      </c>
      <c r="C4796" t="s">
        <v>1060</v>
      </c>
      <c r="D4796" s="1">
        <v>1.35E-2</v>
      </c>
      <c r="E4796" s="1">
        <v>6.3799999999999996E-2</v>
      </c>
      <c r="G4796">
        <v>110</v>
      </c>
      <c r="H4796">
        <v>74</v>
      </c>
      <c r="I4796">
        <v>757</v>
      </c>
    </row>
    <row r="4797" spans="1:9">
      <c r="A4797" t="s">
        <v>201</v>
      </c>
      <c r="B4797" t="s">
        <v>235</v>
      </c>
      <c r="C4797" t="s">
        <v>1062</v>
      </c>
      <c r="D4797" s="1">
        <v>1.35E-2</v>
      </c>
      <c r="F4797" s="1">
        <v>6.9000000000000006E-2</v>
      </c>
      <c r="G4797">
        <v>110</v>
      </c>
      <c r="H4797">
        <v>74</v>
      </c>
      <c r="I4797">
        <v>757</v>
      </c>
    </row>
    <row r="4798" spans="1:9">
      <c r="A4798" t="s">
        <v>201</v>
      </c>
      <c r="B4798" t="s">
        <v>235</v>
      </c>
      <c r="C4798" t="s">
        <v>1063</v>
      </c>
      <c r="D4798" s="1">
        <v>2.7E-2</v>
      </c>
      <c r="E4798" s="1">
        <v>4.2599999999999999E-2</v>
      </c>
      <c r="F4798" s="1">
        <v>3.4500000000000003E-2</v>
      </c>
      <c r="G4798">
        <v>110</v>
      </c>
      <c r="H4798">
        <v>74</v>
      </c>
      <c r="I4798">
        <v>757</v>
      </c>
    </row>
    <row r="4799" spans="1:9">
      <c r="A4799" t="s">
        <v>201</v>
      </c>
      <c r="B4799" t="s">
        <v>235</v>
      </c>
      <c r="C4799" t="s">
        <v>1064</v>
      </c>
      <c r="D4799" s="1">
        <v>0.3649</v>
      </c>
      <c r="E4799" s="1">
        <v>0.31909999999999999</v>
      </c>
      <c r="F4799" s="1">
        <v>0.13789999999999999</v>
      </c>
      <c r="G4799">
        <v>110</v>
      </c>
      <c r="H4799">
        <v>74</v>
      </c>
      <c r="I4799">
        <v>757</v>
      </c>
    </row>
    <row r="4800" spans="1:9">
      <c r="A4800" t="s">
        <v>201</v>
      </c>
      <c r="B4800" t="s">
        <v>235</v>
      </c>
      <c r="C4800" t="s">
        <v>1065</v>
      </c>
      <c r="D4800" s="1">
        <v>0.22969999999999999</v>
      </c>
      <c r="E4800" s="1">
        <v>4.2599999999999999E-2</v>
      </c>
      <c r="F4800" s="1">
        <v>3.4500000000000003E-2</v>
      </c>
      <c r="G4800">
        <v>110</v>
      </c>
      <c r="H4800">
        <v>74</v>
      </c>
      <c r="I4800">
        <v>757</v>
      </c>
    </row>
    <row r="4801" spans="1:9" s="26" customFormat="1">
      <c r="A4801" s="26" t="s">
        <v>202</v>
      </c>
      <c r="B4801" s="26" t="s">
        <v>236</v>
      </c>
      <c r="C4801" s="26" t="s">
        <v>1051</v>
      </c>
      <c r="D4801" s="27">
        <v>0.22389999999999999</v>
      </c>
      <c r="E4801" s="27">
        <v>0.1147</v>
      </c>
      <c r="G4801" s="26">
        <v>33</v>
      </c>
      <c r="H4801" s="26">
        <v>26</v>
      </c>
      <c r="I4801" s="26">
        <v>757</v>
      </c>
    </row>
    <row r="4802" spans="1:9" s="26" customFormat="1">
      <c r="A4802" s="26" t="s">
        <v>202</v>
      </c>
      <c r="B4802" s="26" t="s">
        <v>236</v>
      </c>
      <c r="C4802" s="26" t="s">
        <v>1058</v>
      </c>
      <c r="D4802" s="27">
        <v>4.4900000000000002E-2</v>
      </c>
      <c r="E4802" s="27">
        <v>5.16E-2</v>
      </c>
      <c r="F4802" s="27">
        <v>0.1777</v>
      </c>
      <c r="G4802" s="26">
        <v>33</v>
      </c>
      <c r="H4802" s="26">
        <v>26</v>
      </c>
      <c r="I4802" s="26">
        <v>757</v>
      </c>
    </row>
    <row r="4803" spans="1:9" s="26" customFormat="1">
      <c r="A4803" s="26" t="s">
        <v>202</v>
      </c>
      <c r="B4803" s="26" t="s">
        <v>236</v>
      </c>
      <c r="C4803" s="26" t="s">
        <v>1064</v>
      </c>
      <c r="D4803" s="27">
        <v>0.35260000000000002</v>
      </c>
      <c r="E4803" s="27">
        <v>0.28599999999999998</v>
      </c>
      <c r="F4803" s="27">
        <v>0.1792</v>
      </c>
      <c r="G4803" s="26">
        <v>33</v>
      </c>
      <c r="H4803" s="26">
        <v>26</v>
      </c>
      <c r="I4803" s="26">
        <v>757</v>
      </c>
    </row>
    <row r="4804" spans="1:9" s="26" customFormat="1">
      <c r="A4804" s="26" t="s">
        <v>202</v>
      </c>
      <c r="B4804" s="26" t="s">
        <v>236</v>
      </c>
      <c r="C4804" s="26" t="s">
        <v>1065</v>
      </c>
      <c r="D4804" s="27">
        <v>0.37869999999999998</v>
      </c>
      <c r="E4804" s="27">
        <v>0.15290000000000001</v>
      </c>
      <c r="G4804" s="26">
        <v>33</v>
      </c>
      <c r="H4804" s="26">
        <v>26</v>
      </c>
      <c r="I4804" s="26">
        <v>757</v>
      </c>
    </row>
    <row r="4805" spans="1:9">
      <c r="A4805" t="s">
        <v>202</v>
      </c>
      <c r="B4805" t="s">
        <v>235</v>
      </c>
      <c r="C4805" t="s">
        <v>228</v>
      </c>
      <c r="D4805" s="1">
        <v>2.4400000000000002E-2</v>
      </c>
      <c r="E4805" s="1">
        <v>3.8300000000000001E-2</v>
      </c>
      <c r="F4805" s="1">
        <v>0.18429999999999999</v>
      </c>
      <c r="G4805">
        <v>39</v>
      </c>
      <c r="H4805">
        <v>34</v>
      </c>
      <c r="I4805">
        <v>757</v>
      </c>
    </row>
    <row r="4806" spans="1:9">
      <c r="A4806" t="s">
        <v>202</v>
      </c>
      <c r="B4806" t="s">
        <v>235</v>
      </c>
      <c r="C4806" t="s">
        <v>1049</v>
      </c>
      <c r="D4806" s="1">
        <v>1.21E-2</v>
      </c>
      <c r="E4806" s="1">
        <v>0.12479999999999999</v>
      </c>
      <c r="F4806" s="1">
        <v>2.4799999999999999E-2</v>
      </c>
      <c r="G4806">
        <v>39</v>
      </c>
      <c r="H4806">
        <v>34</v>
      </c>
      <c r="I4806">
        <v>757</v>
      </c>
    </row>
    <row r="4807" spans="1:9">
      <c r="A4807" t="s">
        <v>202</v>
      </c>
      <c r="B4807" t="s">
        <v>235</v>
      </c>
      <c r="C4807" t="s">
        <v>1051</v>
      </c>
      <c r="D4807" s="1">
        <v>0.1046</v>
      </c>
      <c r="E4807" s="1">
        <v>0.1123</v>
      </c>
      <c r="F4807" s="1">
        <v>9.64E-2</v>
      </c>
      <c r="G4807">
        <v>39</v>
      </c>
      <c r="H4807">
        <v>34</v>
      </c>
      <c r="I4807">
        <v>757</v>
      </c>
    </row>
    <row r="4808" spans="1:9">
      <c r="A4808" t="s">
        <v>202</v>
      </c>
      <c r="B4808" t="s">
        <v>235</v>
      </c>
      <c r="C4808" t="s">
        <v>1053</v>
      </c>
      <c r="D4808" s="1">
        <v>7.3099999999999998E-2</v>
      </c>
      <c r="E4808" s="1">
        <v>0.22600000000000001</v>
      </c>
      <c r="G4808">
        <v>39</v>
      </c>
      <c r="H4808">
        <v>34</v>
      </c>
      <c r="I4808">
        <v>757</v>
      </c>
    </row>
    <row r="4809" spans="1:9">
      <c r="A4809" t="s">
        <v>202</v>
      </c>
      <c r="B4809" t="s">
        <v>235</v>
      </c>
      <c r="C4809" t="s">
        <v>1054</v>
      </c>
      <c r="D4809" s="1">
        <v>2.4400000000000002E-2</v>
      </c>
      <c r="E4809" s="1">
        <v>0.1391</v>
      </c>
      <c r="G4809">
        <v>39</v>
      </c>
      <c r="H4809">
        <v>34</v>
      </c>
      <c r="I4809">
        <v>757</v>
      </c>
    </row>
    <row r="4810" spans="1:9">
      <c r="A4810" t="s">
        <v>202</v>
      </c>
      <c r="B4810" t="s">
        <v>235</v>
      </c>
      <c r="C4810" t="s">
        <v>1060</v>
      </c>
      <c r="D4810" s="1">
        <v>2.76E-2</v>
      </c>
      <c r="E4810" s="1">
        <v>1.9E-2</v>
      </c>
      <c r="F4810" s="1">
        <v>5.2999999999999999E-2</v>
      </c>
      <c r="G4810">
        <v>39</v>
      </c>
      <c r="H4810">
        <v>34</v>
      </c>
      <c r="I4810">
        <v>757</v>
      </c>
    </row>
    <row r="4811" spans="1:9">
      <c r="A4811" t="s">
        <v>202</v>
      </c>
      <c r="B4811" t="s">
        <v>235</v>
      </c>
      <c r="C4811" t="s">
        <v>1064</v>
      </c>
      <c r="D4811" s="1">
        <v>0.32940000000000003</v>
      </c>
      <c r="E4811" s="1">
        <v>0.2041</v>
      </c>
      <c r="F4811" s="1">
        <v>0.15290000000000001</v>
      </c>
      <c r="G4811">
        <v>39</v>
      </c>
      <c r="H4811">
        <v>34</v>
      </c>
      <c r="I4811">
        <v>757</v>
      </c>
    </row>
    <row r="4812" spans="1:9">
      <c r="A4812" t="s">
        <v>202</v>
      </c>
      <c r="B4812" t="s">
        <v>235</v>
      </c>
      <c r="C4812" t="s">
        <v>1065</v>
      </c>
      <c r="D4812" s="1">
        <v>0.38009999999999999</v>
      </c>
      <c r="F4812" s="1">
        <v>4.99E-2</v>
      </c>
      <c r="G4812">
        <v>39</v>
      </c>
      <c r="H4812">
        <v>34</v>
      </c>
      <c r="I4812">
        <v>757</v>
      </c>
    </row>
    <row r="4813" spans="1:9">
      <c r="A4813" t="s">
        <v>202</v>
      </c>
      <c r="B4813" t="s">
        <v>235</v>
      </c>
      <c r="C4813" t="s">
        <v>278</v>
      </c>
      <c r="D4813" s="1">
        <v>2.4400000000000002E-2</v>
      </c>
      <c r="G4813">
        <v>39</v>
      </c>
      <c r="H4813">
        <v>34</v>
      </c>
      <c r="I4813">
        <v>757</v>
      </c>
    </row>
    <row r="4814" spans="1:9" s="26" customFormat="1">
      <c r="A4814" s="26" t="s">
        <v>203</v>
      </c>
      <c r="B4814" s="26" t="s">
        <v>236</v>
      </c>
      <c r="C4814" s="26" t="s">
        <v>1050</v>
      </c>
      <c r="D4814" s="27">
        <v>3.1600000000000003E-2</v>
      </c>
      <c r="E4814" s="27">
        <v>7.8E-2</v>
      </c>
      <c r="G4814" s="26">
        <v>6</v>
      </c>
      <c r="H4814" s="26">
        <v>25</v>
      </c>
      <c r="I4814" s="26">
        <v>757</v>
      </c>
    </row>
    <row r="4815" spans="1:9" s="26" customFormat="1">
      <c r="A4815" s="26" t="s">
        <v>203</v>
      </c>
      <c r="B4815" s="26" t="s">
        <v>236</v>
      </c>
      <c r="C4815" s="26" t="s">
        <v>1051</v>
      </c>
      <c r="D4815" s="27">
        <v>9.8299999999999998E-2</v>
      </c>
      <c r="E4815" s="27">
        <v>7.4399999999999994E-2</v>
      </c>
      <c r="G4815" s="26">
        <v>6</v>
      </c>
      <c r="H4815" s="26">
        <v>25</v>
      </c>
      <c r="I4815" s="26">
        <v>757</v>
      </c>
    </row>
    <row r="4816" spans="1:9" s="26" customFormat="1">
      <c r="A4816" s="26" t="s">
        <v>203</v>
      </c>
      <c r="B4816" s="26" t="s">
        <v>236</v>
      </c>
      <c r="C4816" s="26" t="s">
        <v>1054</v>
      </c>
      <c r="D4816" s="27">
        <v>7.5499999999999998E-2</v>
      </c>
      <c r="E4816" s="27">
        <v>7.8E-2</v>
      </c>
      <c r="F4816" s="27">
        <v>7.7200000000000005E-2</v>
      </c>
      <c r="G4816" s="26">
        <v>6</v>
      </c>
      <c r="H4816" s="26">
        <v>25</v>
      </c>
      <c r="I4816" s="26">
        <v>757</v>
      </c>
    </row>
    <row r="4817" spans="1:9" s="26" customFormat="1">
      <c r="A4817" s="26" t="s">
        <v>203</v>
      </c>
      <c r="B4817" s="26" t="s">
        <v>236</v>
      </c>
      <c r="C4817" s="26" t="s">
        <v>1058</v>
      </c>
      <c r="D4817" s="27">
        <v>4.0399999999999998E-2</v>
      </c>
      <c r="E4817" s="27">
        <v>0.187</v>
      </c>
      <c r="F4817" s="27">
        <v>5.9200000000000003E-2</v>
      </c>
      <c r="G4817" s="26">
        <v>6</v>
      </c>
      <c r="H4817" s="26">
        <v>25</v>
      </c>
      <c r="I4817" s="26">
        <v>757</v>
      </c>
    </row>
    <row r="4818" spans="1:9" s="26" customFormat="1">
      <c r="A4818" s="26" t="s">
        <v>203</v>
      </c>
      <c r="B4818" s="26" t="s">
        <v>236</v>
      </c>
      <c r="C4818" s="26" t="s">
        <v>1064</v>
      </c>
      <c r="D4818" s="27">
        <v>0.57489999999999997</v>
      </c>
      <c r="E4818" s="27">
        <v>4.1799999999999997E-2</v>
      </c>
      <c r="F4818" s="27">
        <v>0.10539999999999999</v>
      </c>
      <c r="G4818" s="26">
        <v>6</v>
      </c>
      <c r="H4818" s="26">
        <v>25</v>
      </c>
      <c r="I4818" s="26">
        <v>757</v>
      </c>
    </row>
    <row r="4819" spans="1:9" s="26" customFormat="1">
      <c r="A4819" s="26" t="s">
        <v>203</v>
      </c>
      <c r="B4819" s="26" t="s">
        <v>236</v>
      </c>
      <c r="C4819" s="26" t="s">
        <v>1065</v>
      </c>
      <c r="D4819" s="27">
        <v>0.14760000000000001</v>
      </c>
      <c r="E4819" s="27">
        <v>0.1925</v>
      </c>
      <c r="F4819" s="27">
        <v>4.6199999999999998E-2</v>
      </c>
      <c r="G4819" s="26">
        <v>6</v>
      </c>
      <c r="H4819" s="26">
        <v>25</v>
      </c>
      <c r="I4819" s="26">
        <v>757</v>
      </c>
    </row>
    <row r="4820" spans="1:9" s="26" customFormat="1">
      <c r="A4820" s="26" t="s">
        <v>203</v>
      </c>
      <c r="B4820" s="26" t="s">
        <v>236</v>
      </c>
      <c r="C4820" s="26" t="s">
        <v>278</v>
      </c>
      <c r="D4820" s="27">
        <v>3.1600000000000003E-2</v>
      </c>
      <c r="G4820" s="26">
        <v>6</v>
      </c>
      <c r="H4820" s="26">
        <v>25</v>
      </c>
      <c r="I4820" s="26">
        <v>757</v>
      </c>
    </row>
    <row r="4821" spans="1:9">
      <c r="A4821" t="s">
        <v>203</v>
      </c>
      <c r="B4821" t="s">
        <v>235</v>
      </c>
      <c r="C4821" t="s">
        <v>228</v>
      </c>
      <c r="D4821" s="1">
        <v>4.0899999999999999E-2</v>
      </c>
      <c r="E4821" s="1">
        <v>4.9700000000000001E-2</v>
      </c>
      <c r="F4821" s="1">
        <v>3.09E-2</v>
      </c>
      <c r="G4821">
        <v>13</v>
      </c>
      <c r="H4821">
        <v>34</v>
      </c>
      <c r="I4821">
        <v>757</v>
      </c>
    </row>
    <row r="4822" spans="1:9">
      <c r="A4822" t="s">
        <v>203</v>
      </c>
      <c r="B4822" t="s">
        <v>235</v>
      </c>
      <c r="C4822" t="s">
        <v>1053</v>
      </c>
      <c r="D4822" s="1">
        <v>1.6E-2</v>
      </c>
      <c r="E4822" s="1">
        <v>8.09E-2</v>
      </c>
      <c r="G4822">
        <v>13</v>
      </c>
      <c r="H4822">
        <v>34</v>
      </c>
      <c r="I4822">
        <v>757</v>
      </c>
    </row>
    <row r="4823" spans="1:9">
      <c r="A4823" t="s">
        <v>203</v>
      </c>
      <c r="B4823" t="s">
        <v>235</v>
      </c>
      <c r="C4823" t="s">
        <v>1058</v>
      </c>
      <c r="D4823" s="1">
        <v>2.0500000000000001E-2</v>
      </c>
      <c r="E4823" s="1">
        <v>0.1406</v>
      </c>
      <c r="F4823" s="1">
        <v>7.1300000000000002E-2</v>
      </c>
      <c r="G4823">
        <v>13</v>
      </c>
      <c r="H4823">
        <v>34</v>
      </c>
      <c r="I4823">
        <v>757</v>
      </c>
    </row>
    <row r="4824" spans="1:9">
      <c r="A4824" t="s">
        <v>203</v>
      </c>
      <c r="B4824" t="s">
        <v>235</v>
      </c>
      <c r="C4824" t="s">
        <v>1063</v>
      </c>
      <c r="D4824" s="1">
        <v>5.79E-2</v>
      </c>
      <c r="F4824" s="1">
        <v>0.13650000000000001</v>
      </c>
      <c r="G4824">
        <v>13</v>
      </c>
      <c r="H4824">
        <v>34</v>
      </c>
      <c r="I4824">
        <v>757</v>
      </c>
    </row>
    <row r="4825" spans="1:9">
      <c r="A4825" t="s">
        <v>203</v>
      </c>
      <c r="B4825" t="s">
        <v>235</v>
      </c>
      <c r="C4825" t="s">
        <v>1064</v>
      </c>
      <c r="D4825" s="1">
        <v>0.51239999999999997</v>
      </c>
      <c r="E4825" s="1">
        <v>0.1605</v>
      </c>
      <c r="F4825" s="1">
        <v>2.7900000000000001E-2</v>
      </c>
      <c r="G4825">
        <v>13</v>
      </c>
      <c r="H4825">
        <v>34</v>
      </c>
      <c r="I4825">
        <v>757</v>
      </c>
    </row>
    <row r="4826" spans="1:9">
      <c r="A4826" t="s">
        <v>203</v>
      </c>
      <c r="B4826" t="s">
        <v>235</v>
      </c>
      <c r="C4826" t="s">
        <v>1065</v>
      </c>
      <c r="D4826" s="1">
        <v>0.3523</v>
      </c>
      <c r="E4826" s="1">
        <v>2.24E-2</v>
      </c>
      <c r="F4826" s="1">
        <v>0.22009999999999999</v>
      </c>
      <c r="G4826">
        <v>13</v>
      </c>
      <c r="H4826">
        <v>34</v>
      </c>
      <c r="I4826">
        <v>757</v>
      </c>
    </row>
    <row r="4827" spans="1:9" s="26" customFormat="1">
      <c r="A4827" s="26" t="s">
        <v>205</v>
      </c>
      <c r="B4827" s="26" t="s">
        <v>236</v>
      </c>
      <c r="C4827" s="26" t="s">
        <v>1049</v>
      </c>
      <c r="D4827" s="27">
        <v>1.5699999999999999E-2</v>
      </c>
      <c r="E4827" s="27">
        <v>4.1599999999999998E-2</v>
      </c>
      <c r="F4827" s="27">
        <v>0.16170000000000001</v>
      </c>
      <c r="G4827" s="26">
        <v>24</v>
      </c>
      <c r="H4827" s="26">
        <v>25</v>
      </c>
      <c r="I4827" s="26">
        <v>757</v>
      </c>
    </row>
    <row r="4828" spans="1:9" s="26" customFormat="1">
      <c r="A4828" s="26" t="s">
        <v>205</v>
      </c>
      <c r="B4828" s="26" t="s">
        <v>236</v>
      </c>
      <c r="C4828" s="26" t="s">
        <v>1051</v>
      </c>
      <c r="D4828" s="27">
        <v>1.5699999999999999E-2</v>
      </c>
      <c r="E4828" s="27">
        <v>6.3700000000000007E-2</v>
      </c>
      <c r="G4828" s="26">
        <v>24</v>
      </c>
      <c r="H4828" s="26">
        <v>25</v>
      </c>
      <c r="I4828" s="26">
        <v>757</v>
      </c>
    </row>
    <row r="4829" spans="1:9" s="26" customFormat="1">
      <c r="A4829" s="26" t="s">
        <v>205</v>
      </c>
      <c r="B4829" s="26" t="s">
        <v>236</v>
      </c>
      <c r="C4829" s="26" t="s">
        <v>1053</v>
      </c>
      <c r="D4829" s="27">
        <v>2.0500000000000001E-2</v>
      </c>
      <c r="E4829" s="27">
        <v>3.1899999999999998E-2</v>
      </c>
      <c r="F4829" s="27">
        <v>4.6399999999999997E-2</v>
      </c>
      <c r="G4829" s="26">
        <v>24</v>
      </c>
      <c r="H4829" s="26">
        <v>25</v>
      </c>
      <c r="I4829" s="26">
        <v>757</v>
      </c>
    </row>
    <row r="4830" spans="1:9" s="26" customFormat="1">
      <c r="A4830" s="26" t="s">
        <v>205</v>
      </c>
      <c r="B4830" s="26" t="s">
        <v>236</v>
      </c>
      <c r="C4830" s="26" t="s">
        <v>1057</v>
      </c>
      <c r="D4830" s="27">
        <v>2.0500000000000001E-2</v>
      </c>
      <c r="E4830" s="27">
        <v>0.111</v>
      </c>
      <c r="G4830" s="26">
        <v>24</v>
      </c>
      <c r="H4830" s="26">
        <v>25</v>
      </c>
      <c r="I4830" s="26">
        <v>757</v>
      </c>
    </row>
    <row r="4831" spans="1:9" s="26" customFormat="1">
      <c r="A4831" s="26" t="s">
        <v>205</v>
      </c>
      <c r="B4831" s="26" t="s">
        <v>236</v>
      </c>
      <c r="C4831" s="26" t="s">
        <v>1058</v>
      </c>
      <c r="D4831" s="27">
        <v>0.10929999999999999</v>
      </c>
      <c r="F4831" s="27">
        <v>0.16170000000000001</v>
      </c>
      <c r="G4831" s="26">
        <v>24</v>
      </c>
      <c r="H4831" s="26">
        <v>25</v>
      </c>
      <c r="I4831" s="26">
        <v>757</v>
      </c>
    </row>
    <row r="4832" spans="1:9" s="26" customFormat="1">
      <c r="A4832" s="26" t="s">
        <v>205</v>
      </c>
      <c r="B4832" s="26" t="s">
        <v>236</v>
      </c>
      <c r="C4832" s="26" t="s">
        <v>1060</v>
      </c>
      <c r="D4832" s="27">
        <v>3.6200000000000003E-2</v>
      </c>
      <c r="F4832" s="27">
        <v>0.20810000000000001</v>
      </c>
      <c r="G4832" s="26">
        <v>24</v>
      </c>
      <c r="H4832" s="26">
        <v>25</v>
      </c>
      <c r="I4832" s="26">
        <v>757</v>
      </c>
    </row>
    <row r="4833" spans="1:9" s="26" customFormat="1">
      <c r="A4833" s="26" t="s">
        <v>205</v>
      </c>
      <c r="B4833" s="26" t="s">
        <v>236</v>
      </c>
      <c r="C4833" s="26" t="s">
        <v>1064</v>
      </c>
      <c r="D4833" s="27">
        <v>0.49769999999999998</v>
      </c>
      <c r="E4833" s="27">
        <v>6.3700000000000007E-2</v>
      </c>
      <c r="F4833" s="27">
        <v>0.12130000000000001</v>
      </c>
      <c r="G4833" s="26">
        <v>24</v>
      </c>
      <c r="H4833" s="26">
        <v>25</v>
      </c>
      <c r="I4833" s="26">
        <v>757</v>
      </c>
    </row>
    <row r="4834" spans="1:9" s="26" customFormat="1">
      <c r="A4834" s="26" t="s">
        <v>205</v>
      </c>
      <c r="B4834" s="26" t="s">
        <v>236</v>
      </c>
      <c r="C4834" s="26" t="s">
        <v>1065</v>
      </c>
      <c r="D4834" s="27">
        <v>0.28439999999999999</v>
      </c>
      <c r="E4834" s="27">
        <v>0.25380000000000003</v>
      </c>
      <c r="G4834" s="26">
        <v>24</v>
      </c>
      <c r="H4834" s="26">
        <v>25</v>
      </c>
      <c r="I4834" s="26">
        <v>757</v>
      </c>
    </row>
    <row r="4835" spans="1:9">
      <c r="A4835" t="s">
        <v>205</v>
      </c>
      <c r="B4835" t="s">
        <v>235</v>
      </c>
      <c r="C4835" t="s">
        <v>1051</v>
      </c>
      <c r="D4835" s="1">
        <v>0.1123</v>
      </c>
      <c r="E4835" s="1">
        <v>0.23080000000000001</v>
      </c>
      <c r="F4835" s="1">
        <v>0.1474</v>
      </c>
      <c r="G4835">
        <v>91</v>
      </c>
      <c r="H4835">
        <v>42</v>
      </c>
      <c r="I4835">
        <v>757</v>
      </c>
    </row>
    <row r="4836" spans="1:9">
      <c r="A4836" t="s">
        <v>205</v>
      </c>
      <c r="B4836" t="s">
        <v>235</v>
      </c>
      <c r="C4836" t="s">
        <v>1053</v>
      </c>
      <c r="D4836" s="1">
        <v>5.5199999999999999E-2</v>
      </c>
      <c r="E4836" s="1">
        <v>6.5000000000000002E-2</v>
      </c>
      <c r="F4836" s="1">
        <v>4.07E-2</v>
      </c>
      <c r="G4836">
        <v>91</v>
      </c>
      <c r="H4836">
        <v>42</v>
      </c>
      <c r="I4836">
        <v>757</v>
      </c>
    </row>
    <row r="4837" spans="1:9">
      <c r="A4837" t="s">
        <v>205</v>
      </c>
      <c r="B4837" t="s">
        <v>235</v>
      </c>
      <c r="C4837" t="s">
        <v>1054</v>
      </c>
      <c r="D4837" s="1">
        <v>2.2800000000000001E-2</v>
      </c>
      <c r="F4837" s="1">
        <v>9.5999999999999992E-3</v>
      </c>
      <c r="G4837">
        <v>91</v>
      </c>
      <c r="H4837">
        <v>42</v>
      </c>
      <c r="I4837">
        <v>757</v>
      </c>
    </row>
    <row r="4838" spans="1:9">
      <c r="A4838" t="s">
        <v>205</v>
      </c>
      <c r="B4838" t="s">
        <v>235</v>
      </c>
      <c r="C4838" t="s">
        <v>1056</v>
      </c>
      <c r="D4838" s="1">
        <v>2.2800000000000001E-2</v>
      </c>
      <c r="E4838" s="1">
        <v>2.6599999999999999E-2</v>
      </c>
      <c r="F4838" s="1">
        <v>9.5999999999999992E-3</v>
      </c>
      <c r="G4838">
        <v>91</v>
      </c>
      <c r="H4838">
        <v>42</v>
      </c>
      <c r="I4838">
        <v>757</v>
      </c>
    </row>
    <row r="4839" spans="1:9">
      <c r="A4839" t="s">
        <v>205</v>
      </c>
      <c r="B4839" t="s">
        <v>235</v>
      </c>
      <c r="C4839" t="s">
        <v>1060</v>
      </c>
      <c r="D4839" s="1">
        <v>4.1000000000000003E-3</v>
      </c>
      <c r="E4839" s="1">
        <v>6.3E-3</v>
      </c>
      <c r="F4839" s="1">
        <v>0.157</v>
      </c>
      <c r="G4839">
        <v>91</v>
      </c>
      <c r="H4839">
        <v>42</v>
      </c>
      <c r="I4839">
        <v>757</v>
      </c>
    </row>
    <row r="4840" spans="1:9">
      <c r="A4840" t="s">
        <v>205</v>
      </c>
      <c r="B4840" t="s">
        <v>235</v>
      </c>
      <c r="C4840" t="s">
        <v>1061</v>
      </c>
      <c r="D4840" s="1">
        <v>5.4000000000000003E-3</v>
      </c>
      <c r="G4840">
        <v>91</v>
      </c>
      <c r="H4840">
        <v>42</v>
      </c>
      <c r="I4840">
        <v>757</v>
      </c>
    </row>
    <row r="4841" spans="1:9">
      <c r="A4841" t="s">
        <v>205</v>
      </c>
      <c r="B4841" t="s">
        <v>235</v>
      </c>
      <c r="C4841" t="s">
        <v>1062</v>
      </c>
      <c r="D4841" s="1">
        <v>2.2800000000000001E-2</v>
      </c>
      <c r="G4841">
        <v>91</v>
      </c>
      <c r="H4841">
        <v>42</v>
      </c>
      <c r="I4841">
        <v>757</v>
      </c>
    </row>
    <row r="4842" spans="1:9">
      <c r="A4842" t="s">
        <v>205</v>
      </c>
      <c r="B4842" t="s">
        <v>235</v>
      </c>
      <c r="C4842" t="s">
        <v>1064</v>
      </c>
      <c r="D4842" s="1">
        <v>0.4017</v>
      </c>
      <c r="E4842" s="1">
        <v>0.2384</v>
      </c>
      <c r="F4842" s="1">
        <v>0.2949</v>
      </c>
      <c r="G4842">
        <v>91</v>
      </c>
      <c r="H4842">
        <v>42</v>
      </c>
      <c r="I4842">
        <v>757</v>
      </c>
    </row>
    <row r="4843" spans="1:9">
      <c r="A4843" t="s">
        <v>205</v>
      </c>
      <c r="B4843" t="s">
        <v>235</v>
      </c>
      <c r="C4843" t="s">
        <v>1065</v>
      </c>
      <c r="D4843" s="1">
        <v>0.35270000000000001</v>
      </c>
      <c r="E4843" s="1">
        <v>0.14410000000000001</v>
      </c>
      <c r="F4843" s="1">
        <v>0.1474</v>
      </c>
      <c r="G4843">
        <v>91</v>
      </c>
      <c r="H4843">
        <v>42</v>
      </c>
      <c r="I4843">
        <v>757</v>
      </c>
    </row>
    <row r="4844" spans="1:9" s="26" customFormat="1">
      <c r="A4844" s="26" t="s">
        <v>206</v>
      </c>
      <c r="B4844" s="26" t="s">
        <v>236</v>
      </c>
      <c r="C4844" s="26" t="s">
        <v>1051</v>
      </c>
      <c r="D4844" s="27">
        <v>0.12889999999999999</v>
      </c>
      <c r="E4844" s="27">
        <v>0.1028</v>
      </c>
      <c r="F4844" s="27">
        <v>0.111</v>
      </c>
      <c r="G4844" s="26">
        <v>2</v>
      </c>
      <c r="H4844" s="26">
        <v>17</v>
      </c>
      <c r="I4844" s="26">
        <v>757</v>
      </c>
    </row>
    <row r="4845" spans="1:9" s="26" customFormat="1">
      <c r="A4845" s="26" t="s">
        <v>206</v>
      </c>
      <c r="B4845" s="26" t="s">
        <v>236</v>
      </c>
      <c r="C4845" s="26" t="s">
        <v>1054</v>
      </c>
      <c r="D4845" s="27">
        <v>7.51E-2</v>
      </c>
      <c r="E4845" s="27">
        <v>7.3599999999999999E-2</v>
      </c>
      <c r="G4845" s="26">
        <v>2</v>
      </c>
      <c r="H4845" s="26">
        <v>17</v>
      </c>
      <c r="I4845" s="26">
        <v>757</v>
      </c>
    </row>
    <row r="4846" spans="1:9" s="26" customFormat="1">
      <c r="A4846" s="26" t="s">
        <v>206</v>
      </c>
      <c r="B4846" s="26" t="s">
        <v>236</v>
      </c>
      <c r="C4846" s="26" t="s">
        <v>1055</v>
      </c>
      <c r="D4846" s="27">
        <v>5.3800000000000001E-2</v>
      </c>
      <c r="G4846" s="26">
        <v>2</v>
      </c>
      <c r="H4846" s="26">
        <v>17</v>
      </c>
      <c r="I4846" s="26">
        <v>757</v>
      </c>
    </row>
    <row r="4847" spans="1:9" s="26" customFormat="1">
      <c r="A4847" s="26" t="s">
        <v>206</v>
      </c>
      <c r="B4847" s="26" t="s">
        <v>236</v>
      </c>
      <c r="C4847" s="26" t="s">
        <v>1064</v>
      </c>
      <c r="D4847" s="27">
        <v>0.53800000000000003</v>
      </c>
      <c r="F4847" s="27">
        <v>0.22189999999999999</v>
      </c>
      <c r="G4847" s="26">
        <v>2</v>
      </c>
      <c r="H4847" s="26">
        <v>17</v>
      </c>
      <c r="I4847" s="26">
        <v>757</v>
      </c>
    </row>
    <row r="4848" spans="1:9" s="26" customFormat="1">
      <c r="A4848" s="26" t="s">
        <v>206</v>
      </c>
      <c r="B4848" s="26" t="s">
        <v>236</v>
      </c>
      <c r="C4848" s="26" t="s">
        <v>1065</v>
      </c>
      <c r="D4848" s="27">
        <v>0.2041</v>
      </c>
      <c r="F4848" s="27">
        <v>0.15890000000000001</v>
      </c>
      <c r="G4848" s="26">
        <v>2</v>
      </c>
      <c r="H4848" s="26">
        <v>17</v>
      </c>
      <c r="I4848" s="26">
        <v>757</v>
      </c>
    </row>
    <row r="4849" spans="1:9">
      <c r="A4849" t="s">
        <v>206</v>
      </c>
      <c r="B4849" t="s">
        <v>235</v>
      </c>
      <c r="C4849" t="s">
        <v>1050</v>
      </c>
      <c r="D4849" s="1">
        <v>3.4500000000000003E-2</v>
      </c>
      <c r="E4849" s="1">
        <v>3.8600000000000002E-2</v>
      </c>
      <c r="G4849">
        <v>4</v>
      </c>
      <c r="H4849">
        <v>33</v>
      </c>
      <c r="I4849">
        <v>757</v>
      </c>
    </row>
    <row r="4850" spans="1:9">
      <c r="A4850" t="s">
        <v>206</v>
      </c>
      <c r="B4850" t="s">
        <v>235</v>
      </c>
      <c r="C4850" t="s">
        <v>1051</v>
      </c>
      <c r="D4850" s="1">
        <v>0.1182</v>
      </c>
      <c r="E4850" s="1">
        <v>0.1603</v>
      </c>
      <c r="G4850">
        <v>4</v>
      </c>
      <c r="H4850">
        <v>33</v>
      </c>
      <c r="I4850">
        <v>757</v>
      </c>
    </row>
    <row r="4851" spans="1:9">
      <c r="A4851" t="s">
        <v>206</v>
      </c>
      <c r="B4851" t="s">
        <v>235</v>
      </c>
      <c r="C4851" t="s">
        <v>1054</v>
      </c>
      <c r="D4851" s="1">
        <v>5.91E-2</v>
      </c>
      <c r="F4851" s="1">
        <v>8.5599999999999996E-2</v>
      </c>
      <c r="G4851">
        <v>4</v>
      </c>
      <c r="H4851">
        <v>33</v>
      </c>
      <c r="I4851">
        <v>757</v>
      </c>
    </row>
    <row r="4852" spans="1:9">
      <c r="A4852" t="s">
        <v>206</v>
      </c>
      <c r="B4852" t="s">
        <v>235</v>
      </c>
      <c r="C4852" t="s">
        <v>1055</v>
      </c>
      <c r="D4852" s="1">
        <v>5.91E-2</v>
      </c>
      <c r="F4852" s="1">
        <v>5.9799999999999999E-2</v>
      </c>
      <c r="G4852">
        <v>4</v>
      </c>
      <c r="H4852">
        <v>33</v>
      </c>
      <c r="I4852">
        <v>757</v>
      </c>
    </row>
    <row r="4853" spans="1:9">
      <c r="A4853" t="s">
        <v>206</v>
      </c>
      <c r="B4853" t="s">
        <v>235</v>
      </c>
      <c r="C4853" t="s">
        <v>1060</v>
      </c>
      <c r="D4853" s="1">
        <v>2.47E-2</v>
      </c>
      <c r="E4853" s="1">
        <v>7.7299999999999994E-2</v>
      </c>
      <c r="F4853" s="1">
        <v>0.1026</v>
      </c>
      <c r="G4853">
        <v>4</v>
      </c>
      <c r="H4853">
        <v>33</v>
      </c>
      <c r="I4853">
        <v>757</v>
      </c>
    </row>
    <row r="4854" spans="1:9">
      <c r="A4854" t="s">
        <v>206</v>
      </c>
      <c r="B4854" t="s">
        <v>235</v>
      </c>
      <c r="C4854" t="s">
        <v>1064</v>
      </c>
      <c r="D4854" s="1">
        <v>0.50229999999999997</v>
      </c>
      <c r="E4854" s="1">
        <v>2.7699999999999999E-2</v>
      </c>
      <c r="F4854" s="1">
        <v>0.20519999999999999</v>
      </c>
      <c r="G4854">
        <v>4</v>
      </c>
      <c r="H4854">
        <v>33</v>
      </c>
      <c r="I4854">
        <v>757</v>
      </c>
    </row>
    <row r="4855" spans="1:9">
      <c r="A4855" t="s">
        <v>206</v>
      </c>
      <c r="B4855" t="s">
        <v>235</v>
      </c>
      <c r="C4855" t="s">
        <v>1065</v>
      </c>
      <c r="D4855" s="1">
        <v>0.20200000000000001</v>
      </c>
      <c r="E4855" s="1">
        <v>0.1326</v>
      </c>
      <c r="F4855" s="1">
        <v>0.1026</v>
      </c>
      <c r="G4855">
        <v>4</v>
      </c>
      <c r="H4855">
        <v>33</v>
      </c>
      <c r="I4855">
        <v>757</v>
      </c>
    </row>
    <row r="4856" spans="1:9">
      <c r="A4856" t="s">
        <v>207</v>
      </c>
      <c r="B4856" t="s">
        <v>236</v>
      </c>
      <c r="C4856" t="s">
        <v>1048</v>
      </c>
      <c r="D4856" s="1">
        <v>3.8999999999999998E-3</v>
      </c>
      <c r="E4856" s="1">
        <v>0.14979999999999999</v>
      </c>
      <c r="F4856" s="1">
        <v>8.3999999999999995E-3</v>
      </c>
      <c r="G4856">
        <v>44</v>
      </c>
      <c r="H4856">
        <v>70</v>
      </c>
      <c r="I4856">
        <v>757</v>
      </c>
    </row>
    <row r="4857" spans="1:9">
      <c r="A4857" t="s">
        <v>207</v>
      </c>
      <c r="B4857" t="s">
        <v>236</v>
      </c>
      <c r="C4857" t="s">
        <v>228</v>
      </c>
      <c r="D4857" s="1">
        <v>6.4999999999999997E-3</v>
      </c>
      <c r="E4857" s="1">
        <v>2.23E-2</v>
      </c>
      <c r="F4857" s="1">
        <v>4.41E-2</v>
      </c>
      <c r="G4857">
        <v>44</v>
      </c>
      <c r="H4857">
        <v>70</v>
      </c>
      <c r="I4857">
        <v>757</v>
      </c>
    </row>
    <row r="4858" spans="1:9">
      <c r="A4858" t="s">
        <v>207</v>
      </c>
      <c r="B4858" t="s">
        <v>236</v>
      </c>
      <c r="C4858" t="s">
        <v>1049</v>
      </c>
      <c r="D4858" s="1">
        <v>6.3E-3</v>
      </c>
      <c r="E4858" s="1">
        <v>0.15640000000000001</v>
      </c>
      <c r="F4858" s="1">
        <v>0.18160000000000001</v>
      </c>
      <c r="G4858">
        <v>44</v>
      </c>
      <c r="H4858">
        <v>70</v>
      </c>
      <c r="I4858">
        <v>757</v>
      </c>
    </row>
    <row r="4859" spans="1:9">
      <c r="A4859" t="s">
        <v>207</v>
      </c>
      <c r="B4859" t="s">
        <v>236</v>
      </c>
      <c r="C4859" t="s">
        <v>1051</v>
      </c>
      <c r="D4859" s="1">
        <v>8.8999999999999999E-3</v>
      </c>
      <c r="E4859" s="1">
        <v>2.8899999999999999E-2</v>
      </c>
      <c r="F4859" s="1">
        <v>2.81E-2</v>
      </c>
      <c r="G4859">
        <v>44</v>
      </c>
      <c r="H4859">
        <v>70</v>
      </c>
      <c r="I4859">
        <v>757</v>
      </c>
    </row>
    <row r="4860" spans="1:9">
      <c r="A4860" t="s">
        <v>207</v>
      </c>
      <c r="B4860" t="s">
        <v>236</v>
      </c>
      <c r="C4860" t="s">
        <v>1053</v>
      </c>
      <c r="D4860" s="1">
        <v>5.2299999999999999E-2</v>
      </c>
      <c r="E4860" s="1">
        <v>3.7999999999999999E-2</v>
      </c>
      <c r="F4860" s="1">
        <v>4.3499999999999997E-2</v>
      </c>
      <c r="G4860">
        <v>44</v>
      </c>
      <c r="H4860">
        <v>70</v>
      </c>
      <c r="I4860">
        <v>757</v>
      </c>
    </row>
    <row r="4861" spans="1:9">
      <c r="A4861" t="s">
        <v>207</v>
      </c>
      <c r="B4861" t="s">
        <v>236</v>
      </c>
      <c r="C4861" t="s">
        <v>1054</v>
      </c>
      <c r="D4861" s="1">
        <v>2.3999999999999998E-3</v>
      </c>
      <c r="E4861" s="1">
        <v>7.9000000000000008E-3</v>
      </c>
      <c r="F4861" s="1">
        <v>2.8400000000000002E-2</v>
      </c>
      <c r="G4861">
        <v>44</v>
      </c>
      <c r="H4861">
        <v>70</v>
      </c>
      <c r="I4861">
        <v>757</v>
      </c>
    </row>
    <row r="4862" spans="1:9">
      <c r="A4862" t="s">
        <v>207</v>
      </c>
      <c r="B4862" t="s">
        <v>236</v>
      </c>
      <c r="C4862" t="s">
        <v>1057</v>
      </c>
      <c r="D4862" s="1">
        <v>6.1000000000000004E-3</v>
      </c>
      <c r="E4862" s="1">
        <v>7.7000000000000002E-3</v>
      </c>
      <c r="G4862">
        <v>44</v>
      </c>
      <c r="H4862">
        <v>70</v>
      </c>
      <c r="I4862">
        <v>757</v>
      </c>
    </row>
    <row r="4863" spans="1:9">
      <c r="A4863" t="s">
        <v>207</v>
      </c>
      <c r="B4863" t="s">
        <v>236</v>
      </c>
      <c r="C4863" t="s">
        <v>1058</v>
      </c>
      <c r="D4863" s="1">
        <v>2.7300000000000001E-2</v>
      </c>
      <c r="E4863" s="1">
        <v>3.5799999999999998E-2</v>
      </c>
      <c r="F4863" s="1">
        <v>0.18379999999999999</v>
      </c>
      <c r="G4863">
        <v>44</v>
      </c>
      <c r="H4863">
        <v>70</v>
      </c>
      <c r="I4863">
        <v>757</v>
      </c>
    </row>
    <row r="4864" spans="1:9">
      <c r="A4864" t="s">
        <v>207</v>
      </c>
      <c r="B4864" t="s">
        <v>236</v>
      </c>
      <c r="C4864" t="s">
        <v>1059</v>
      </c>
      <c r="D4864" s="1">
        <v>6.4999999999999997E-3</v>
      </c>
      <c r="E4864" s="1">
        <v>1.6199999999999999E-2</v>
      </c>
      <c r="F4864" s="1">
        <v>1.15E-2</v>
      </c>
      <c r="G4864">
        <v>44</v>
      </c>
      <c r="H4864">
        <v>70</v>
      </c>
      <c r="I4864">
        <v>757</v>
      </c>
    </row>
    <row r="4865" spans="1:9">
      <c r="A4865" t="s">
        <v>207</v>
      </c>
      <c r="B4865" t="s">
        <v>236</v>
      </c>
      <c r="C4865" t="s">
        <v>1060</v>
      </c>
      <c r="D4865" s="1">
        <v>7.9000000000000008E-3</v>
      </c>
      <c r="E4865" s="1">
        <v>1.54E-2</v>
      </c>
      <c r="F4865" s="1">
        <v>0.21199999999999999</v>
      </c>
      <c r="G4865">
        <v>44</v>
      </c>
      <c r="H4865">
        <v>70</v>
      </c>
      <c r="I4865">
        <v>757</v>
      </c>
    </row>
    <row r="4866" spans="1:9">
      <c r="A4866" t="s">
        <v>207</v>
      </c>
      <c r="B4866" t="s">
        <v>236</v>
      </c>
      <c r="C4866" t="s">
        <v>1063</v>
      </c>
      <c r="D4866" s="1">
        <v>1.6E-2</v>
      </c>
      <c r="E4866" s="1">
        <v>1.9400000000000001E-2</v>
      </c>
      <c r="F4866" s="1">
        <v>0.02</v>
      </c>
      <c r="G4866">
        <v>44</v>
      </c>
      <c r="H4866">
        <v>70</v>
      </c>
      <c r="I4866">
        <v>757</v>
      </c>
    </row>
    <row r="4867" spans="1:9">
      <c r="A4867" t="s">
        <v>207</v>
      </c>
      <c r="B4867" t="s">
        <v>236</v>
      </c>
      <c r="C4867" t="s">
        <v>1064</v>
      </c>
      <c r="D4867" s="1">
        <v>0.31530000000000002</v>
      </c>
      <c r="E4867" s="1">
        <v>0.21579999999999999</v>
      </c>
      <c r="F4867" s="1">
        <v>5.1000000000000004E-3</v>
      </c>
      <c r="G4867">
        <v>44</v>
      </c>
      <c r="H4867">
        <v>70</v>
      </c>
      <c r="I4867">
        <v>757</v>
      </c>
    </row>
    <row r="4868" spans="1:9">
      <c r="A4868" t="s">
        <v>207</v>
      </c>
      <c r="B4868" t="s">
        <v>236</v>
      </c>
      <c r="C4868" t="s">
        <v>1065</v>
      </c>
      <c r="D4868" s="1">
        <v>0.54049999999999998</v>
      </c>
      <c r="E4868" s="1">
        <v>0.20100000000000001</v>
      </c>
      <c r="F4868" s="1">
        <v>3.0599999999999999E-2</v>
      </c>
      <c r="G4868">
        <v>44</v>
      </c>
      <c r="H4868">
        <v>70</v>
      </c>
      <c r="I4868">
        <v>757</v>
      </c>
    </row>
    <row r="4869" spans="1:9">
      <c r="A4869" t="s">
        <v>207</v>
      </c>
      <c r="B4869" t="s">
        <v>235</v>
      </c>
      <c r="C4869" t="s">
        <v>1048</v>
      </c>
      <c r="D4869" s="1">
        <v>4.4000000000000003E-3</v>
      </c>
      <c r="F4869" s="1">
        <v>0.11509999999999999</v>
      </c>
      <c r="G4869">
        <v>65</v>
      </c>
      <c r="H4869">
        <v>37</v>
      </c>
      <c r="I4869">
        <v>757</v>
      </c>
    </row>
    <row r="4870" spans="1:9">
      <c r="A4870" t="s">
        <v>207</v>
      </c>
      <c r="B4870" t="s">
        <v>235</v>
      </c>
      <c r="C4870" t="s">
        <v>1049</v>
      </c>
      <c r="D4870" s="1">
        <v>8.6999999999999994E-3</v>
      </c>
      <c r="E4870" s="1">
        <v>0.11459999999999999</v>
      </c>
      <c r="G4870">
        <v>65</v>
      </c>
      <c r="H4870">
        <v>37</v>
      </c>
      <c r="I4870">
        <v>757</v>
      </c>
    </row>
    <row r="4871" spans="1:9">
      <c r="A4871" t="s">
        <v>207</v>
      </c>
      <c r="B4871" t="s">
        <v>235</v>
      </c>
      <c r="C4871" t="s">
        <v>1051</v>
      </c>
      <c r="D4871" s="1">
        <v>8.6999999999999994E-3</v>
      </c>
      <c r="F4871" s="1">
        <v>5.8999999999999999E-3</v>
      </c>
      <c r="G4871">
        <v>65</v>
      </c>
      <c r="H4871">
        <v>37</v>
      </c>
      <c r="I4871">
        <v>757</v>
      </c>
    </row>
    <row r="4872" spans="1:9">
      <c r="A4872" t="s">
        <v>207</v>
      </c>
      <c r="B4872" t="s">
        <v>235</v>
      </c>
      <c r="C4872" t="s">
        <v>1053</v>
      </c>
      <c r="D4872" s="1">
        <v>1.0699999999999999E-2</v>
      </c>
      <c r="E4872" s="1">
        <v>0.10390000000000001</v>
      </c>
      <c r="F4872" s="1">
        <v>0.12959999999999999</v>
      </c>
      <c r="G4872">
        <v>65</v>
      </c>
      <c r="H4872">
        <v>37</v>
      </c>
      <c r="I4872">
        <v>757</v>
      </c>
    </row>
    <row r="4873" spans="1:9">
      <c r="A4873" t="s">
        <v>207</v>
      </c>
      <c r="B4873" t="s">
        <v>235</v>
      </c>
      <c r="C4873" t="s">
        <v>1054</v>
      </c>
      <c r="D4873" s="1">
        <v>1.6000000000000001E-3</v>
      </c>
      <c r="E4873" s="1">
        <v>0.1042</v>
      </c>
      <c r="F4873" s="1">
        <v>0.11509999999999999</v>
      </c>
      <c r="G4873">
        <v>65</v>
      </c>
      <c r="H4873">
        <v>37</v>
      </c>
      <c r="I4873">
        <v>757</v>
      </c>
    </row>
    <row r="4874" spans="1:9">
      <c r="A4874" t="s">
        <v>207</v>
      </c>
      <c r="B4874" t="s">
        <v>235</v>
      </c>
      <c r="C4874" t="s">
        <v>1059</v>
      </c>
      <c r="D4874" s="1">
        <v>4.4000000000000003E-3</v>
      </c>
      <c r="G4874">
        <v>65</v>
      </c>
      <c r="H4874">
        <v>37</v>
      </c>
      <c r="I4874">
        <v>757</v>
      </c>
    </row>
    <row r="4875" spans="1:9">
      <c r="A4875" t="s">
        <v>207</v>
      </c>
      <c r="B4875" t="s">
        <v>235</v>
      </c>
      <c r="C4875" t="s">
        <v>1060</v>
      </c>
      <c r="D4875" s="1">
        <v>8.6999999999999994E-3</v>
      </c>
      <c r="E4875" s="1">
        <v>5.1000000000000004E-3</v>
      </c>
      <c r="F4875" s="1">
        <v>2.3E-3</v>
      </c>
      <c r="G4875">
        <v>65</v>
      </c>
      <c r="H4875">
        <v>37</v>
      </c>
      <c r="I4875">
        <v>757</v>
      </c>
    </row>
    <row r="4876" spans="1:9">
      <c r="A4876" t="s">
        <v>207</v>
      </c>
      <c r="B4876" t="s">
        <v>235</v>
      </c>
      <c r="C4876" t="s">
        <v>1064</v>
      </c>
      <c r="D4876" s="1">
        <v>0.34989999999999999</v>
      </c>
      <c r="E4876" s="1">
        <v>0.43319999999999997</v>
      </c>
      <c r="F4876" s="1">
        <v>0.1275</v>
      </c>
      <c r="G4876">
        <v>65</v>
      </c>
      <c r="H4876">
        <v>37</v>
      </c>
      <c r="I4876">
        <v>757</v>
      </c>
    </row>
    <row r="4877" spans="1:9">
      <c r="A4877" t="s">
        <v>207</v>
      </c>
      <c r="B4877" t="s">
        <v>235</v>
      </c>
      <c r="C4877" t="s">
        <v>1065</v>
      </c>
      <c r="D4877" s="1">
        <v>0.60289999999999999</v>
      </c>
      <c r="E4877" s="1">
        <v>0.12540000000000001</v>
      </c>
      <c r="F4877" s="1">
        <v>3.8E-3</v>
      </c>
      <c r="G4877">
        <v>65</v>
      </c>
      <c r="H4877">
        <v>37</v>
      </c>
      <c r="I4877">
        <v>757</v>
      </c>
    </row>
    <row r="4878" spans="1:9" s="26" customFormat="1">
      <c r="A4878" s="26" t="s">
        <v>208</v>
      </c>
      <c r="B4878" s="26" t="s">
        <v>236</v>
      </c>
      <c r="C4878" s="26" t="s">
        <v>1050</v>
      </c>
      <c r="D4878" s="27">
        <v>9.0899999999999995E-2</v>
      </c>
      <c r="E4878" s="27">
        <v>0.18179999999999999</v>
      </c>
      <c r="F4878" s="27">
        <v>0.1</v>
      </c>
      <c r="G4878" s="26">
        <v>7</v>
      </c>
      <c r="H4878" s="26">
        <v>11</v>
      </c>
      <c r="I4878" s="26">
        <v>757</v>
      </c>
    </row>
    <row r="4879" spans="1:9" s="26" customFormat="1">
      <c r="A4879" s="26" t="s">
        <v>208</v>
      </c>
      <c r="B4879" s="26" t="s">
        <v>236</v>
      </c>
      <c r="C4879" s="26" t="s">
        <v>1054</v>
      </c>
      <c r="D4879" s="27">
        <v>0.18179999999999999</v>
      </c>
      <c r="G4879" s="26">
        <v>7</v>
      </c>
      <c r="H4879" s="26">
        <v>11</v>
      </c>
      <c r="I4879" s="26">
        <v>757</v>
      </c>
    </row>
    <row r="4880" spans="1:9" s="26" customFormat="1">
      <c r="A4880" s="26" t="s">
        <v>208</v>
      </c>
      <c r="B4880" s="26" t="s">
        <v>236</v>
      </c>
      <c r="C4880" s="26" t="s">
        <v>1055</v>
      </c>
      <c r="D4880" s="27">
        <v>9.0899999999999995E-2</v>
      </c>
      <c r="G4880" s="26">
        <v>7</v>
      </c>
      <c r="H4880" s="26">
        <v>11</v>
      </c>
      <c r="I4880" s="26">
        <v>757</v>
      </c>
    </row>
    <row r="4881" spans="1:9" s="26" customFormat="1">
      <c r="A4881" s="26" t="s">
        <v>208</v>
      </c>
      <c r="B4881" s="26" t="s">
        <v>236</v>
      </c>
      <c r="C4881" s="26" t="s">
        <v>1059</v>
      </c>
      <c r="D4881" s="27">
        <v>9.0899999999999995E-2</v>
      </c>
      <c r="G4881" s="26">
        <v>7</v>
      </c>
      <c r="H4881" s="26">
        <v>11</v>
      </c>
      <c r="I4881" s="26">
        <v>757</v>
      </c>
    </row>
    <row r="4882" spans="1:9" s="26" customFormat="1">
      <c r="A4882" s="26" t="s">
        <v>208</v>
      </c>
      <c r="B4882" s="26" t="s">
        <v>236</v>
      </c>
      <c r="C4882" s="26" t="s">
        <v>1062</v>
      </c>
      <c r="D4882" s="27">
        <v>0.18179999999999999</v>
      </c>
      <c r="G4882" s="26">
        <v>7</v>
      </c>
      <c r="H4882" s="26">
        <v>11</v>
      </c>
      <c r="I4882" s="26">
        <v>757</v>
      </c>
    </row>
    <row r="4883" spans="1:9" s="26" customFormat="1">
      <c r="A4883" s="26" t="s">
        <v>208</v>
      </c>
      <c r="B4883" s="26" t="s">
        <v>236</v>
      </c>
      <c r="C4883" s="26" t="s">
        <v>1064</v>
      </c>
      <c r="D4883" s="27">
        <v>0.2727</v>
      </c>
      <c r="E4883" s="27">
        <v>0.18179999999999999</v>
      </c>
      <c r="G4883" s="26">
        <v>7</v>
      </c>
      <c r="H4883" s="26">
        <v>11</v>
      </c>
      <c r="I4883" s="26">
        <v>757</v>
      </c>
    </row>
    <row r="4884" spans="1:9" s="26" customFormat="1">
      <c r="A4884" s="26" t="s">
        <v>208</v>
      </c>
      <c r="B4884" s="26" t="s">
        <v>236</v>
      </c>
      <c r="C4884" s="26" t="s">
        <v>1065</v>
      </c>
      <c r="D4884" s="27">
        <v>9.0899999999999995E-2</v>
      </c>
      <c r="E4884" s="27">
        <v>9.0899999999999995E-2</v>
      </c>
      <c r="G4884" s="26">
        <v>7</v>
      </c>
      <c r="H4884" s="26">
        <v>11</v>
      </c>
      <c r="I4884" s="26">
        <v>757</v>
      </c>
    </row>
    <row r="4885" spans="1:9">
      <c r="A4885" t="s">
        <v>208</v>
      </c>
      <c r="B4885" t="s">
        <v>235</v>
      </c>
      <c r="C4885" t="s">
        <v>1048</v>
      </c>
      <c r="D4885" s="1">
        <v>1.89E-2</v>
      </c>
      <c r="E4885" s="1">
        <v>2.3800000000000002E-2</v>
      </c>
      <c r="F4885" s="1">
        <v>6.25E-2</v>
      </c>
      <c r="G4885">
        <v>35</v>
      </c>
      <c r="H4885">
        <v>53</v>
      </c>
      <c r="I4885">
        <v>757</v>
      </c>
    </row>
    <row r="4886" spans="1:9">
      <c r="A4886" t="s">
        <v>208</v>
      </c>
      <c r="B4886" t="s">
        <v>235</v>
      </c>
      <c r="C4886" t="s">
        <v>1049</v>
      </c>
      <c r="D4886" s="1">
        <v>1.89E-2</v>
      </c>
      <c r="E4886" s="1">
        <v>4.7600000000000003E-2</v>
      </c>
      <c r="F4886" s="1">
        <v>9.3799999999999994E-2</v>
      </c>
      <c r="G4886">
        <v>35</v>
      </c>
      <c r="H4886">
        <v>53</v>
      </c>
      <c r="I4886">
        <v>757</v>
      </c>
    </row>
    <row r="4887" spans="1:9">
      <c r="A4887" t="s">
        <v>208</v>
      </c>
      <c r="B4887" t="s">
        <v>235</v>
      </c>
      <c r="C4887" t="s">
        <v>1051</v>
      </c>
      <c r="D4887" s="1">
        <v>5.6599999999999998E-2</v>
      </c>
      <c r="E4887" s="1">
        <v>4.7600000000000003E-2</v>
      </c>
      <c r="F4887" s="1">
        <v>9.3799999999999994E-2</v>
      </c>
      <c r="G4887">
        <v>35</v>
      </c>
      <c r="H4887">
        <v>53</v>
      </c>
      <c r="I4887">
        <v>757</v>
      </c>
    </row>
    <row r="4888" spans="1:9">
      <c r="A4888" t="s">
        <v>208</v>
      </c>
      <c r="B4888" t="s">
        <v>235</v>
      </c>
      <c r="C4888" t="s">
        <v>1053</v>
      </c>
      <c r="D4888" s="1">
        <v>1.89E-2</v>
      </c>
      <c r="E4888" s="1">
        <v>0.11899999999999999</v>
      </c>
      <c r="F4888" s="1">
        <v>3.1199999999999999E-2</v>
      </c>
      <c r="G4888">
        <v>35</v>
      </c>
      <c r="H4888">
        <v>53</v>
      </c>
      <c r="I4888">
        <v>757</v>
      </c>
    </row>
    <row r="4889" spans="1:9">
      <c r="A4889" t="s">
        <v>208</v>
      </c>
      <c r="B4889" t="s">
        <v>235</v>
      </c>
      <c r="C4889" t="s">
        <v>1054</v>
      </c>
      <c r="D4889" s="1">
        <v>1.89E-2</v>
      </c>
      <c r="E4889" s="1">
        <v>2.3800000000000002E-2</v>
      </c>
      <c r="G4889">
        <v>35</v>
      </c>
      <c r="H4889">
        <v>53</v>
      </c>
      <c r="I4889">
        <v>757</v>
      </c>
    </row>
    <row r="4890" spans="1:9">
      <c r="A4890" t="s">
        <v>208</v>
      </c>
      <c r="B4890" t="s">
        <v>235</v>
      </c>
      <c r="C4890" t="s">
        <v>1058</v>
      </c>
      <c r="D4890" s="1">
        <v>3.7699999999999997E-2</v>
      </c>
      <c r="E4890" s="1">
        <v>7.1400000000000005E-2</v>
      </c>
      <c r="F4890" s="1">
        <v>0.15620000000000001</v>
      </c>
      <c r="G4890">
        <v>35</v>
      </c>
      <c r="H4890">
        <v>53</v>
      </c>
      <c r="I4890">
        <v>757</v>
      </c>
    </row>
    <row r="4891" spans="1:9">
      <c r="A4891" t="s">
        <v>208</v>
      </c>
      <c r="B4891" t="s">
        <v>235</v>
      </c>
      <c r="C4891" t="s">
        <v>1060</v>
      </c>
      <c r="D4891" s="1">
        <v>5.6599999999999998E-2</v>
      </c>
      <c r="E4891" s="1">
        <v>7.1400000000000005E-2</v>
      </c>
      <c r="F4891" s="1">
        <v>0.125</v>
      </c>
      <c r="G4891">
        <v>35</v>
      </c>
      <c r="H4891">
        <v>53</v>
      </c>
      <c r="I4891">
        <v>757</v>
      </c>
    </row>
    <row r="4892" spans="1:9">
      <c r="A4892" t="s">
        <v>208</v>
      </c>
      <c r="B4892" t="s">
        <v>235</v>
      </c>
      <c r="C4892" t="s">
        <v>1062</v>
      </c>
      <c r="D4892" s="1">
        <v>1.89E-2</v>
      </c>
      <c r="F4892" s="1">
        <v>6.25E-2</v>
      </c>
      <c r="G4892">
        <v>35</v>
      </c>
      <c r="H4892">
        <v>53</v>
      </c>
      <c r="I4892">
        <v>757</v>
      </c>
    </row>
    <row r="4893" spans="1:9">
      <c r="A4893" t="s">
        <v>208</v>
      </c>
      <c r="B4893" t="s">
        <v>235</v>
      </c>
      <c r="C4893" t="s">
        <v>1064</v>
      </c>
      <c r="D4893" s="1">
        <v>0.434</v>
      </c>
      <c r="E4893" s="1">
        <v>0.38100000000000001</v>
      </c>
      <c r="F4893" s="1">
        <v>6.25E-2</v>
      </c>
      <c r="G4893">
        <v>35</v>
      </c>
      <c r="H4893">
        <v>53</v>
      </c>
      <c r="I4893">
        <v>757</v>
      </c>
    </row>
    <row r="4894" spans="1:9">
      <c r="A4894" t="s">
        <v>208</v>
      </c>
      <c r="B4894" t="s">
        <v>235</v>
      </c>
      <c r="C4894" t="s">
        <v>1065</v>
      </c>
      <c r="D4894" s="1">
        <v>0.32079999999999997</v>
      </c>
      <c r="E4894" s="1">
        <v>0.11899999999999999</v>
      </c>
      <c r="F4894" s="1">
        <v>6.25E-2</v>
      </c>
      <c r="G4894">
        <v>35</v>
      </c>
      <c r="H4894">
        <v>53</v>
      </c>
      <c r="I4894">
        <v>757</v>
      </c>
    </row>
    <row r="4895" spans="1:9">
      <c r="A4895" t="s">
        <v>210</v>
      </c>
      <c r="B4895" t="s">
        <v>236</v>
      </c>
      <c r="C4895" t="s">
        <v>228</v>
      </c>
      <c r="D4895" s="1">
        <v>2.64E-2</v>
      </c>
      <c r="E4895" s="1">
        <v>4.4999999999999998E-2</v>
      </c>
      <c r="G4895">
        <v>1</v>
      </c>
      <c r="H4895">
        <v>30</v>
      </c>
      <c r="I4895">
        <v>757</v>
      </c>
    </row>
    <row r="4896" spans="1:9">
      <c r="A4896" t="s">
        <v>210</v>
      </c>
      <c r="B4896" t="s">
        <v>236</v>
      </c>
      <c r="C4896" t="s">
        <v>1051</v>
      </c>
      <c r="D4896" s="1">
        <v>0.1089</v>
      </c>
      <c r="E4896" s="1">
        <v>8.9899999999999994E-2</v>
      </c>
      <c r="F4896" s="1">
        <v>7.0199999999999999E-2</v>
      </c>
      <c r="G4896">
        <v>1</v>
      </c>
      <c r="H4896">
        <v>30</v>
      </c>
      <c r="I4896">
        <v>757</v>
      </c>
    </row>
    <row r="4897" spans="1:9">
      <c r="A4897" t="s">
        <v>210</v>
      </c>
      <c r="B4897" t="s">
        <v>236</v>
      </c>
      <c r="C4897" t="s">
        <v>1053</v>
      </c>
      <c r="D4897" s="1">
        <v>5.2900000000000003E-2</v>
      </c>
      <c r="E4897" s="1">
        <v>0.13489999999999999</v>
      </c>
      <c r="F4897" s="1">
        <v>0.219</v>
      </c>
      <c r="G4897">
        <v>1</v>
      </c>
      <c r="H4897">
        <v>30</v>
      </c>
      <c r="I4897">
        <v>757</v>
      </c>
    </row>
    <row r="4898" spans="1:9">
      <c r="A4898" t="s">
        <v>210</v>
      </c>
      <c r="B4898" t="s">
        <v>236</v>
      </c>
      <c r="C4898" t="s">
        <v>1054</v>
      </c>
      <c r="D4898" s="1">
        <v>5.6000000000000001E-2</v>
      </c>
      <c r="F4898" s="1">
        <v>7.0199999999999999E-2</v>
      </c>
      <c r="G4898">
        <v>1</v>
      </c>
      <c r="H4898">
        <v>30</v>
      </c>
      <c r="I4898">
        <v>757</v>
      </c>
    </row>
    <row r="4899" spans="1:9">
      <c r="A4899" t="s">
        <v>210</v>
      </c>
      <c r="B4899" t="s">
        <v>236</v>
      </c>
      <c r="C4899" t="s">
        <v>1056</v>
      </c>
      <c r="D4899" s="1">
        <v>2.64E-2</v>
      </c>
      <c r="G4899">
        <v>1</v>
      </c>
      <c r="H4899">
        <v>30</v>
      </c>
      <c r="I4899">
        <v>757</v>
      </c>
    </row>
    <row r="4900" spans="1:9">
      <c r="A4900" t="s">
        <v>210</v>
      </c>
      <c r="B4900" t="s">
        <v>236</v>
      </c>
      <c r="C4900" t="s">
        <v>1058</v>
      </c>
      <c r="D4900" s="1">
        <v>2.64E-2</v>
      </c>
      <c r="F4900" s="1">
        <v>0.14879999999999999</v>
      </c>
      <c r="G4900">
        <v>1</v>
      </c>
      <c r="H4900">
        <v>30</v>
      </c>
      <c r="I4900">
        <v>757</v>
      </c>
    </row>
    <row r="4901" spans="1:9">
      <c r="A4901" t="s">
        <v>210</v>
      </c>
      <c r="B4901" t="s">
        <v>236</v>
      </c>
      <c r="C4901" t="s">
        <v>1062</v>
      </c>
      <c r="D4901" s="1">
        <v>2.64E-2</v>
      </c>
      <c r="E4901" s="1">
        <v>0.14019999999999999</v>
      </c>
      <c r="F4901" s="1">
        <v>7.0199999999999999E-2</v>
      </c>
      <c r="G4901">
        <v>1</v>
      </c>
      <c r="H4901">
        <v>30</v>
      </c>
      <c r="I4901">
        <v>757</v>
      </c>
    </row>
    <row r="4902" spans="1:9">
      <c r="A4902" t="s">
        <v>210</v>
      </c>
      <c r="B4902" t="s">
        <v>236</v>
      </c>
      <c r="C4902" t="s">
        <v>1064</v>
      </c>
      <c r="D4902" s="1">
        <v>0.43230000000000002</v>
      </c>
      <c r="E4902" s="1">
        <v>0.27510000000000001</v>
      </c>
      <c r="G4902">
        <v>1</v>
      </c>
      <c r="H4902">
        <v>30</v>
      </c>
      <c r="I4902">
        <v>757</v>
      </c>
    </row>
    <row r="4903" spans="1:9">
      <c r="A4903" t="s">
        <v>210</v>
      </c>
      <c r="B4903" t="s">
        <v>236</v>
      </c>
      <c r="C4903" t="s">
        <v>1065</v>
      </c>
      <c r="D4903" s="1">
        <v>0.2442</v>
      </c>
      <c r="E4903" s="1">
        <v>8.9899999999999994E-2</v>
      </c>
      <c r="F4903" s="1">
        <v>7.0199999999999999E-2</v>
      </c>
      <c r="G4903">
        <v>1</v>
      </c>
      <c r="H4903">
        <v>30</v>
      </c>
      <c r="I4903">
        <v>757</v>
      </c>
    </row>
    <row r="4904" spans="1:9" s="26" customFormat="1">
      <c r="A4904" s="26" t="s">
        <v>210</v>
      </c>
      <c r="B4904" s="26" t="s">
        <v>235</v>
      </c>
      <c r="C4904" s="26" t="s">
        <v>1051</v>
      </c>
      <c r="D4904" s="27">
        <v>0.182</v>
      </c>
      <c r="E4904" s="27">
        <v>0.1145</v>
      </c>
      <c r="F4904" s="27">
        <v>6.9099999999999995E-2</v>
      </c>
      <c r="G4904" s="26">
        <v>2</v>
      </c>
      <c r="H4904" s="26">
        <v>28</v>
      </c>
      <c r="I4904" s="26">
        <v>757</v>
      </c>
    </row>
    <row r="4905" spans="1:9" s="26" customFormat="1">
      <c r="A4905" s="26" t="s">
        <v>210</v>
      </c>
      <c r="B4905" s="26" t="s">
        <v>235</v>
      </c>
      <c r="C4905" s="26" t="s">
        <v>1053</v>
      </c>
      <c r="D4905" s="27">
        <v>0.10920000000000001</v>
      </c>
      <c r="E4905" s="27">
        <v>5.7200000000000001E-2</v>
      </c>
      <c r="F4905" s="27">
        <v>0.2399</v>
      </c>
      <c r="G4905" s="26">
        <v>2</v>
      </c>
      <c r="H4905" s="26">
        <v>28</v>
      </c>
      <c r="I4905" s="26">
        <v>757</v>
      </c>
    </row>
    <row r="4906" spans="1:9" s="26" customFormat="1">
      <c r="A4906" s="26" t="s">
        <v>210</v>
      </c>
      <c r="B4906" s="26" t="s">
        <v>235</v>
      </c>
      <c r="C4906" s="26" t="s">
        <v>1057</v>
      </c>
      <c r="D4906" s="27">
        <v>3.6400000000000002E-2</v>
      </c>
      <c r="E4906" s="27">
        <v>8.43E-2</v>
      </c>
      <c r="G4906" s="26">
        <v>2</v>
      </c>
      <c r="H4906" s="26">
        <v>28</v>
      </c>
      <c r="I4906" s="26">
        <v>757</v>
      </c>
    </row>
    <row r="4907" spans="1:9" s="26" customFormat="1">
      <c r="A4907" s="26" t="s">
        <v>210</v>
      </c>
      <c r="B4907" s="26" t="s">
        <v>235</v>
      </c>
      <c r="C4907" s="26" t="s">
        <v>1062</v>
      </c>
      <c r="D4907" s="27">
        <v>3.6400000000000002E-2</v>
      </c>
      <c r="G4907" s="26">
        <v>2</v>
      </c>
      <c r="H4907" s="26">
        <v>28</v>
      </c>
      <c r="I4907" s="26">
        <v>757</v>
      </c>
    </row>
    <row r="4908" spans="1:9" s="26" customFormat="1">
      <c r="A4908" s="26" t="s">
        <v>210</v>
      </c>
      <c r="B4908" s="26" t="s">
        <v>235</v>
      </c>
      <c r="C4908" s="26" t="s">
        <v>1064</v>
      </c>
      <c r="D4908" s="27">
        <v>0.30840000000000001</v>
      </c>
      <c r="E4908" s="27">
        <v>0.17169999999999999</v>
      </c>
      <c r="F4908" s="27">
        <v>6.9099999999999995E-2</v>
      </c>
      <c r="G4908" s="26">
        <v>2</v>
      </c>
      <c r="H4908" s="26">
        <v>28</v>
      </c>
      <c r="I4908" s="26">
        <v>757</v>
      </c>
    </row>
    <row r="4909" spans="1:9" s="26" customFormat="1">
      <c r="A4909" s="26" t="s">
        <v>210</v>
      </c>
      <c r="B4909" s="26" t="s">
        <v>235</v>
      </c>
      <c r="C4909" s="26" t="s">
        <v>1065</v>
      </c>
      <c r="D4909" s="27">
        <v>0.29120000000000001</v>
      </c>
      <c r="E4909" s="27">
        <v>5.7200000000000001E-2</v>
      </c>
      <c r="F4909" s="27">
        <v>6.9099999999999995E-2</v>
      </c>
      <c r="G4909" s="26">
        <v>2</v>
      </c>
      <c r="H4909" s="26">
        <v>28</v>
      </c>
      <c r="I4909" s="26">
        <v>757</v>
      </c>
    </row>
    <row r="4910" spans="1:9" s="26" customFormat="1">
      <c r="A4910" s="26" t="s">
        <v>210</v>
      </c>
      <c r="B4910" s="26" t="s">
        <v>235</v>
      </c>
      <c r="C4910" s="26" t="s">
        <v>223</v>
      </c>
      <c r="D4910" s="27">
        <v>3.6400000000000002E-2</v>
      </c>
      <c r="G4910" s="26">
        <v>2</v>
      </c>
      <c r="H4910" s="26">
        <v>28</v>
      </c>
      <c r="I4910" s="26">
        <v>757</v>
      </c>
    </row>
    <row r="4911" spans="1:9" s="26" customFormat="1">
      <c r="A4911" s="26" t="s">
        <v>211</v>
      </c>
      <c r="B4911" s="26" t="s">
        <v>236</v>
      </c>
      <c r="C4911" s="26" t="s">
        <v>228</v>
      </c>
      <c r="D4911" s="27">
        <v>5.28E-2</v>
      </c>
      <c r="F4911" s="27">
        <v>3.8399999999999997E-2</v>
      </c>
      <c r="G4911" s="26">
        <v>8</v>
      </c>
      <c r="H4911" s="26">
        <v>28</v>
      </c>
      <c r="I4911" s="26">
        <v>757</v>
      </c>
    </row>
    <row r="4912" spans="1:9" s="26" customFormat="1">
      <c r="A4912" s="26" t="s">
        <v>211</v>
      </c>
      <c r="B4912" s="26" t="s">
        <v>236</v>
      </c>
      <c r="C4912" s="26" t="s">
        <v>1050</v>
      </c>
      <c r="D4912" s="27">
        <v>6.6900000000000001E-2</v>
      </c>
      <c r="E4912" s="27">
        <v>6.3200000000000006E-2</v>
      </c>
      <c r="F4912" s="27">
        <v>3.8399999999999997E-2</v>
      </c>
      <c r="G4912" s="26">
        <v>8</v>
      </c>
      <c r="H4912" s="26">
        <v>28</v>
      </c>
      <c r="I4912" s="26">
        <v>757</v>
      </c>
    </row>
    <row r="4913" spans="1:9" s="26" customFormat="1">
      <c r="A4913" s="26" t="s">
        <v>211</v>
      </c>
      <c r="B4913" s="26" t="s">
        <v>236</v>
      </c>
      <c r="C4913" s="26" t="s">
        <v>1052</v>
      </c>
      <c r="D4913" s="27">
        <v>4.3499999999999997E-2</v>
      </c>
      <c r="E4913" s="27">
        <v>7.3899999999999993E-2</v>
      </c>
      <c r="G4913" s="26">
        <v>8</v>
      </c>
      <c r="H4913" s="26">
        <v>28</v>
      </c>
      <c r="I4913" s="26">
        <v>757</v>
      </c>
    </row>
    <row r="4914" spans="1:9" s="26" customFormat="1">
      <c r="A4914" s="26" t="s">
        <v>211</v>
      </c>
      <c r="B4914" s="26" t="s">
        <v>236</v>
      </c>
      <c r="C4914" s="26" t="s">
        <v>1053</v>
      </c>
      <c r="D4914" s="27">
        <v>4.3499999999999997E-2</v>
      </c>
      <c r="E4914" s="27">
        <v>0.153</v>
      </c>
      <c r="G4914" s="26">
        <v>8</v>
      </c>
      <c r="H4914" s="26">
        <v>28</v>
      </c>
      <c r="I4914" s="26">
        <v>757</v>
      </c>
    </row>
    <row r="4915" spans="1:9" s="26" customFormat="1">
      <c r="A4915" s="26" t="s">
        <v>211</v>
      </c>
      <c r="B4915" s="26" t="s">
        <v>236</v>
      </c>
      <c r="C4915" s="26" t="s">
        <v>1056</v>
      </c>
      <c r="D4915" s="27">
        <v>1.8599999999999998E-2</v>
      </c>
      <c r="G4915" s="26">
        <v>8</v>
      </c>
      <c r="H4915" s="26">
        <v>28</v>
      </c>
      <c r="I4915" s="26">
        <v>757</v>
      </c>
    </row>
    <row r="4916" spans="1:9" s="26" customFormat="1">
      <c r="A4916" s="26" t="s">
        <v>211</v>
      </c>
      <c r="B4916" s="26" t="s">
        <v>236</v>
      </c>
      <c r="C4916" s="26" t="s">
        <v>1058</v>
      </c>
      <c r="D4916" s="27">
        <v>1.8599999999999998E-2</v>
      </c>
      <c r="E4916" s="27">
        <v>0.21129999999999999</v>
      </c>
      <c r="F4916" s="27">
        <v>0.14749999999999999</v>
      </c>
      <c r="G4916" s="26">
        <v>8</v>
      </c>
      <c r="H4916" s="26">
        <v>28</v>
      </c>
      <c r="I4916" s="26">
        <v>757</v>
      </c>
    </row>
    <row r="4917" spans="1:9" s="26" customFormat="1">
      <c r="A4917" s="26" t="s">
        <v>211</v>
      </c>
      <c r="B4917" s="26" t="s">
        <v>236</v>
      </c>
      <c r="C4917" s="26" t="s">
        <v>1062</v>
      </c>
      <c r="D4917" s="27">
        <v>1.8599999999999998E-2</v>
      </c>
      <c r="F4917" s="27">
        <v>3.8399999999999997E-2</v>
      </c>
      <c r="G4917" s="26">
        <v>8</v>
      </c>
      <c r="H4917" s="26">
        <v>28</v>
      </c>
      <c r="I4917" s="26">
        <v>757</v>
      </c>
    </row>
    <row r="4918" spans="1:9" s="26" customFormat="1">
      <c r="A4918" s="26" t="s">
        <v>211</v>
      </c>
      <c r="B4918" s="26" t="s">
        <v>236</v>
      </c>
      <c r="C4918" s="26" t="s">
        <v>1064</v>
      </c>
      <c r="D4918" s="27">
        <v>0.61329999999999996</v>
      </c>
      <c r="E4918" s="27">
        <v>0.12139999999999999</v>
      </c>
      <c r="F4918" s="27">
        <v>0.12809999999999999</v>
      </c>
      <c r="G4918" s="26">
        <v>8</v>
      </c>
      <c r="H4918" s="26">
        <v>28</v>
      </c>
      <c r="I4918" s="26">
        <v>757</v>
      </c>
    </row>
    <row r="4919" spans="1:9" s="26" customFormat="1">
      <c r="A4919" s="26" t="s">
        <v>211</v>
      </c>
      <c r="B4919" s="26" t="s">
        <v>236</v>
      </c>
      <c r="C4919" s="26" t="s">
        <v>1065</v>
      </c>
      <c r="D4919" s="27">
        <v>0.12429999999999999</v>
      </c>
      <c r="E4919" s="27">
        <v>3.1600000000000003E-2</v>
      </c>
      <c r="G4919" s="26">
        <v>8</v>
      </c>
      <c r="H4919" s="26">
        <v>28</v>
      </c>
      <c r="I4919" s="26">
        <v>757</v>
      </c>
    </row>
    <row r="4920" spans="1:9">
      <c r="A4920" t="s">
        <v>211</v>
      </c>
      <c r="B4920" t="s">
        <v>235</v>
      </c>
      <c r="C4920" t="s">
        <v>1049</v>
      </c>
      <c r="D4920" s="1">
        <v>2.41E-2</v>
      </c>
      <c r="E4920" s="1">
        <v>8.6599999999999996E-2</v>
      </c>
      <c r="F4920" s="1">
        <v>0.1154</v>
      </c>
      <c r="G4920">
        <v>18</v>
      </c>
      <c r="H4920">
        <v>46</v>
      </c>
      <c r="I4920">
        <v>757</v>
      </c>
    </row>
    <row r="4921" spans="1:9">
      <c r="A4921" t="s">
        <v>211</v>
      </c>
      <c r="B4921" t="s">
        <v>235</v>
      </c>
      <c r="C4921" t="s">
        <v>1050</v>
      </c>
      <c r="D4921" s="1">
        <v>8.5000000000000006E-3</v>
      </c>
      <c r="E4921" s="1">
        <v>1.0200000000000001E-2</v>
      </c>
      <c r="F4921" s="1">
        <v>1.44E-2</v>
      </c>
      <c r="G4921">
        <v>18</v>
      </c>
      <c r="H4921">
        <v>46</v>
      </c>
      <c r="I4921">
        <v>757</v>
      </c>
    </row>
    <row r="4922" spans="1:9">
      <c r="A4922" t="s">
        <v>211</v>
      </c>
      <c r="B4922" t="s">
        <v>235</v>
      </c>
      <c r="C4922" t="s">
        <v>1051</v>
      </c>
      <c r="D4922" s="1">
        <v>0.12909999999999999</v>
      </c>
      <c r="E4922" s="1">
        <v>0.30819999999999997</v>
      </c>
      <c r="F4922" s="1">
        <v>7.4499999999999997E-2</v>
      </c>
      <c r="G4922">
        <v>18</v>
      </c>
      <c r="H4922">
        <v>46</v>
      </c>
      <c r="I4922">
        <v>757</v>
      </c>
    </row>
    <row r="4923" spans="1:9">
      <c r="A4923" t="s">
        <v>211</v>
      </c>
      <c r="B4923" t="s">
        <v>235</v>
      </c>
      <c r="C4923" t="s">
        <v>1053</v>
      </c>
      <c r="D4923" s="1">
        <v>1.9800000000000002E-2</v>
      </c>
      <c r="E4923" s="1">
        <v>5.7700000000000001E-2</v>
      </c>
      <c r="F4923" s="1">
        <v>0.1479</v>
      </c>
      <c r="G4923">
        <v>18</v>
      </c>
      <c r="H4923">
        <v>46</v>
      </c>
      <c r="I4923">
        <v>757</v>
      </c>
    </row>
    <row r="4924" spans="1:9">
      <c r="A4924" t="s">
        <v>211</v>
      </c>
      <c r="B4924" t="s">
        <v>235</v>
      </c>
      <c r="C4924" t="s">
        <v>1054</v>
      </c>
      <c r="D4924" s="1">
        <v>8.09E-2</v>
      </c>
      <c r="E4924" s="1">
        <v>0.1104</v>
      </c>
      <c r="G4924">
        <v>18</v>
      </c>
      <c r="H4924">
        <v>46</v>
      </c>
      <c r="I4924">
        <v>757</v>
      </c>
    </row>
    <row r="4925" spans="1:9">
      <c r="A4925" t="s">
        <v>211</v>
      </c>
      <c r="B4925" t="s">
        <v>235</v>
      </c>
      <c r="C4925" t="s">
        <v>1058</v>
      </c>
      <c r="D4925" s="1">
        <v>8.5000000000000006E-3</v>
      </c>
      <c r="E4925" s="1">
        <v>8.6499999999999994E-2</v>
      </c>
      <c r="F4925" s="1">
        <v>3.3599999999999998E-2</v>
      </c>
      <c r="G4925">
        <v>18</v>
      </c>
      <c r="H4925">
        <v>46</v>
      </c>
      <c r="I4925">
        <v>757</v>
      </c>
    </row>
    <row r="4926" spans="1:9">
      <c r="A4926" t="s">
        <v>211</v>
      </c>
      <c r="B4926" t="s">
        <v>235</v>
      </c>
      <c r="C4926" t="s">
        <v>1060</v>
      </c>
      <c r="D4926" s="1">
        <v>7.2400000000000006E-2</v>
      </c>
      <c r="E4926" s="1">
        <v>7.5600000000000001E-2</v>
      </c>
      <c r="F4926" s="1">
        <v>0.13350000000000001</v>
      </c>
      <c r="G4926">
        <v>18</v>
      </c>
      <c r="H4926">
        <v>46</v>
      </c>
      <c r="I4926">
        <v>757</v>
      </c>
    </row>
    <row r="4927" spans="1:9">
      <c r="A4927" t="s">
        <v>211</v>
      </c>
      <c r="B4927" t="s">
        <v>235</v>
      </c>
      <c r="C4927" t="s">
        <v>1064</v>
      </c>
      <c r="D4927" s="1">
        <v>0.43969999999999998</v>
      </c>
      <c r="E4927" s="1">
        <v>0.14940000000000001</v>
      </c>
      <c r="F4927" s="1">
        <v>8.1799999999999998E-2</v>
      </c>
      <c r="G4927">
        <v>18</v>
      </c>
      <c r="H4927">
        <v>46</v>
      </c>
      <c r="I4927">
        <v>757</v>
      </c>
    </row>
    <row r="4928" spans="1:9">
      <c r="A4928" t="s">
        <v>211</v>
      </c>
      <c r="B4928" t="s">
        <v>235</v>
      </c>
      <c r="C4928" t="s">
        <v>1065</v>
      </c>
      <c r="D4928" s="1">
        <v>0.217</v>
      </c>
      <c r="G4928">
        <v>18</v>
      </c>
      <c r="H4928">
        <v>46</v>
      </c>
      <c r="I4928">
        <v>757</v>
      </c>
    </row>
    <row r="4929" spans="1:30" s="26" customFormat="1">
      <c r="A4929" s="26" t="s">
        <v>212</v>
      </c>
      <c r="B4929" s="26" t="s">
        <v>236</v>
      </c>
      <c r="C4929" s="26" t="s">
        <v>228</v>
      </c>
      <c r="D4929" s="27">
        <v>0.1275</v>
      </c>
      <c r="G4929" s="26">
        <v>9</v>
      </c>
      <c r="H4929" s="26">
        <v>13</v>
      </c>
      <c r="I4929" s="26">
        <v>757</v>
      </c>
    </row>
    <row r="4930" spans="1:30" s="26" customFormat="1">
      <c r="A4930" s="26" t="s">
        <v>212</v>
      </c>
      <c r="B4930" s="26" t="s">
        <v>236</v>
      </c>
      <c r="C4930" s="26" t="s">
        <v>1053</v>
      </c>
      <c r="D4930" s="27">
        <v>2.23E-2</v>
      </c>
      <c r="G4930" s="26">
        <v>9</v>
      </c>
      <c r="H4930" s="26">
        <v>13</v>
      </c>
      <c r="I4930" s="26">
        <v>757</v>
      </c>
    </row>
    <row r="4931" spans="1:30" s="26" customFormat="1">
      <c r="A4931" s="26" t="s">
        <v>212</v>
      </c>
      <c r="B4931" s="26" t="s">
        <v>236</v>
      </c>
      <c r="C4931" s="26" t="s">
        <v>1058</v>
      </c>
      <c r="D4931" s="27">
        <v>0.1057</v>
      </c>
      <c r="E4931" s="27">
        <v>0.2092</v>
      </c>
      <c r="F4931" s="27">
        <v>0.49409999999999998</v>
      </c>
      <c r="G4931" s="26">
        <v>9</v>
      </c>
      <c r="H4931" s="26">
        <v>13</v>
      </c>
      <c r="I4931" s="26">
        <v>757</v>
      </c>
    </row>
    <row r="4932" spans="1:30" s="26" customFormat="1">
      <c r="A4932" s="26" t="s">
        <v>212</v>
      </c>
      <c r="B4932" s="26" t="s">
        <v>236</v>
      </c>
      <c r="C4932" s="26" t="s">
        <v>1063</v>
      </c>
      <c r="D4932" s="27">
        <v>6.6100000000000006E-2</v>
      </c>
      <c r="G4932" s="26">
        <v>9</v>
      </c>
      <c r="H4932" s="26">
        <v>13</v>
      </c>
      <c r="I4932" s="26">
        <v>757</v>
      </c>
    </row>
    <row r="4933" spans="1:30" s="26" customFormat="1">
      <c r="A4933" s="26" t="s">
        <v>212</v>
      </c>
      <c r="B4933" s="26" t="s">
        <v>236</v>
      </c>
      <c r="C4933" s="26" t="s">
        <v>1064</v>
      </c>
      <c r="D4933" s="27">
        <v>0.57269999999999999</v>
      </c>
      <c r="G4933" s="26">
        <v>9</v>
      </c>
      <c r="H4933" s="26">
        <v>13</v>
      </c>
      <c r="I4933" s="26">
        <v>757</v>
      </c>
    </row>
    <row r="4934" spans="1:30" s="26" customFormat="1">
      <c r="A4934" s="26" t="s">
        <v>212</v>
      </c>
      <c r="B4934" s="26" t="s">
        <v>236</v>
      </c>
      <c r="C4934" s="26" t="s">
        <v>1065</v>
      </c>
      <c r="D4934" s="27">
        <v>0.1057</v>
      </c>
      <c r="G4934" s="26">
        <v>9</v>
      </c>
      <c r="H4934" s="26">
        <v>13</v>
      </c>
      <c r="I4934" s="26">
        <v>757</v>
      </c>
    </row>
    <row r="4935" spans="1:30">
      <c r="A4935" t="s">
        <v>212</v>
      </c>
      <c r="B4935" t="s">
        <v>235</v>
      </c>
      <c r="C4935" t="s">
        <v>1051</v>
      </c>
      <c r="D4935" s="1">
        <v>9.8900000000000002E-2</v>
      </c>
      <c r="E4935" s="1">
        <v>8.1600000000000006E-2</v>
      </c>
      <c r="F4935" s="1">
        <v>5.3499999999999999E-2</v>
      </c>
      <c r="G4935">
        <v>59</v>
      </c>
      <c r="H4935">
        <v>56</v>
      </c>
      <c r="I4935">
        <v>757</v>
      </c>
    </row>
    <row r="4936" spans="1:30">
      <c r="A4936" t="s">
        <v>212</v>
      </c>
      <c r="B4936" t="s">
        <v>235</v>
      </c>
      <c r="C4936" t="s">
        <v>1053</v>
      </c>
      <c r="D4936" s="1">
        <v>1.9099999999999999E-2</v>
      </c>
      <c r="E4936" s="1">
        <v>2.2499999999999999E-2</v>
      </c>
      <c r="F4936" s="1">
        <v>0.16059999999999999</v>
      </c>
      <c r="G4936">
        <v>59</v>
      </c>
      <c r="H4936">
        <v>56</v>
      </c>
      <c r="I4936">
        <v>757</v>
      </c>
    </row>
    <row r="4937" spans="1:30">
      <c r="A4937" t="s">
        <v>212</v>
      </c>
      <c r="B4937" t="s">
        <v>235</v>
      </c>
      <c r="C4937" t="s">
        <v>1054</v>
      </c>
      <c r="D4937" s="1">
        <v>1.01E-2</v>
      </c>
      <c r="E4937" s="1">
        <v>2.7199999999999998E-2</v>
      </c>
      <c r="F4937" s="1">
        <v>5.3499999999999999E-2</v>
      </c>
      <c r="G4937">
        <v>59</v>
      </c>
      <c r="H4937">
        <v>56</v>
      </c>
      <c r="I4937">
        <v>757</v>
      </c>
    </row>
    <row r="4938" spans="1:30">
      <c r="A4938" t="s">
        <v>212</v>
      </c>
      <c r="B4938" t="s">
        <v>235</v>
      </c>
      <c r="C4938" t="s">
        <v>1058</v>
      </c>
      <c r="D4938" s="1">
        <v>6.3600000000000004E-2</v>
      </c>
      <c r="E4938" s="1">
        <v>0.14069999999999999</v>
      </c>
      <c r="F4938" s="1">
        <v>0.19589999999999999</v>
      </c>
      <c r="G4938">
        <v>59</v>
      </c>
      <c r="H4938">
        <v>56</v>
      </c>
      <c r="I4938">
        <v>757</v>
      </c>
    </row>
    <row r="4939" spans="1:30">
      <c r="A4939" t="s">
        <v>212</v>
      </c>
      <c r="B4939" t="s">
        <v>235</v>
      </c>
      <c r="C4939" t="s">
        <v>1060</v>
      </c>
      <c r="D4939" s="1">
        <v>4.8300000000000003E-2</v>
      </c>
      <c r="E4939" s="1">
        <v>8.0500000000000002E-2</v>
      </c>
      <c r="F4939" s="1">
        <v>0.1071</v>
      </c>
      <c r="G4939">
        <v>59</v>
      </c>
      <c r="H4939">
        <v>56</v>
      </c>
      <c r="I4939">
        <v>757</v>
      </c>
    </row>
    <row r="4940" spans="1:30">
      <c r="A4940" t="s">
        <v>212</v>
      </c>
      <c r="B4940" t="s">
        <v>235</v>
      </c>
      <c r="C4940" t="s">
        <v>1064</v>
      </c>
      <c r="D4940" s="1">
        <v>0.51470000000000005</v>
      </c>
      <c r="E4940" s="1">
        <v>0.19040000000000001</v>
      </c>
      <c r="F4940" s="1">
        <v>0.1071</v>
      </c>
      <c r="G4940">
        <v>59</v>
      </c>
      <c r="H4940">
        <v>56</v>
      </c>
      <c r="I4940">
        <v>757</v>
      </c>
    </row>
    <row r="4941" spans="1:30">
      <c r="A4941" t="s">
        <v>212</v>
      </c>
      <c r="B4941" t="s">
        <v>235</v>
      </c>
      <c r="C4941" t="s">
        <v>1065</v>
      </c>
      <c r="D4941" s="1">
        <v>0.2452</v>
      </c>
      <c r="E4941" s="1">
        <v>9.4899999999999998E-2</v>
      </c>
      <c r="G4941">
        <v>59</v>
      </c>
      <c r="H4941">
        <v>56</v>
      </c>
      <c r="I4941">
        <v>757</v>
      </c>
    </row>
    <row r="4943" spans="1:30">
      <c r="A4943" t="s">
        <v>1067</v>
      </c>
    </row>
    <row r="4944" spans="1:30">
      <c r="A4944" t="s">
        <v>189</v>
      </c>
      <c r="B4944" t="s">
        <v>195</v>
      </c>
      <c r="C4944" t="s">
        <v>190</v>
      </c>
      <c r="D4944" t="s">
        <v>196</v>
      </c>
      <c r="E4944" t="s">
        <v>1068</v>
      </c>
      <c r="F4944" t="s">
        <v>1069</v>
      </c>
      <c r="G4944" t="s">
        <v>1070</v>
      </c>
      <c r="H4944" t="s">
        <v>1071</v>
      </c>
      <c r="I4944" t="s">
        <v>1072</v>
      </c>
      <c r="J4944" t="s">
        <v>1073</v>
      </c>
      <c r="K4944" t="s">
        <v>1074</v>
      </c>
      <c r="L4944" t="s">
        <v>1075</v>
      </c>
      <c r="M4944" t="s">
        <v>1076</v>
      </c>
      <c r="N4944" t="s">
        <v>1077</v>
      </c>
      <c r="O4944" t="s">
        <v>1078</v>
      </c>
      <c r="P4944" t="s">
        <v>1079</v>
      </c>
      <c r="Q4944" t="s">
        <v>1080</v>
      </c>
      <c r="R4944" t="s">
        <v>276</v>
      </c>
      <c r="S4944" t="s">
        <v>1081</v>
      </c>
      <c r="T4944" t="s">
        <v>1082</v>
      </c>
      <c r="U4944" t="s">
        <v>278</v>
      </c>
      <c r="V4944" t="s">
        <v>1083</v>
      </c>
      <c r="W4944" t="s">
        <v>1084</v>
      </c>
      <c r="X4944" t="s">
        <v>1085</v>
      </c>
      <c r="Y4944" t="s">
        <v>1086</v>
      </c>
      <c r="Z4944" t="s">
        <v>1087</v>
      </c>
      <c r="AA4944" t="s">
        <v>1088</v>
      </c>
      <c r="AB4944" t="s">
        <v>1089</v>
      </c>
      <c r="AC4944" t="s">
        <v>1090</v>
      </c>
      <c r="AD4944" t="s">
        <v>1091</v>
      </c>
    </row>
    <row r="4945" spans="1:31">
      <c r="A4945" t="s">
        <v>197</v>
      </c>
      <c r="B4945">
        <v>741</v>
      </c>
      <c r="C4945" t="s">
        <v>198</v>
      </c>
      <c r="D4945">
        <v>741</v>
      </c>
      <c r="E4945" s="1">
        <v>2.7799999999999998E-2</v>
      </c>
      <c r="F4945" s="1">
        <v>4.7500000000000001E-2</v>
      </c>
      <c r="G4945" s="1">
        <v>0.65290000000000004</v>
      </c>
      <c r="H4945" s="1">
        <v>7.3000000000000001E-3</v>
      </c>
      <c r="I4945" s="1">
        <v>8.4699999999999998E-2</v>
      </c>
      <c r="J4945" s="1">
        <v>0.13189999999999999</v>
      </c>
      <c r="K4945" s="1">
        <v>3.5000000000000003E-2</v>
      </c>
      <c r="L4945" s="1">
        <v>8.3400000000000002E-2</v>
      </c>
      <c r="M4945" s="1">
        <v>0.35570000000000002</v>
      </c>
      <c r="N4945" s="1">
        <v>0.2838</v>
      </c>
      <c r="O4945" s="1">
        <v>3.0499999999999999E-2</v>
      </c>
      <c r="P4945" s="1">
        <v>0.14249999999999999</v>
      </c>
      <c r="Q4945" s="1">
        <v>0.1089</v>
      </c>
      <c r="R4945" s="1">
        <v>8.2799999999999999E-2</v>
      </c>
      <c r="S4945" s="1">
        <v>3.4599999999999999E-2</v>
      </c>
      <c r="T4945" s="1">
        <v>2.7699999999999999E-2</v>
      </c>
      <c r="U4945" s="1">
        <v>6.8999999999999999E-3</v>
      </c>
      <c r="V4945" s="1">
        <v>0.14149999999999999</v>
      </c>
      <c r="W4945" s="1">
        <v>0.2195</v>
      </c>
      <c r="X4945" s="1">
        <v>4.8300000000000003E-2</v>
      </c>
      <c r="Y4945" s="1">
        <v>6.1999999999999998E-3</v>
      </c>
      <c r="Z4945" s="1">
        <v>0.21390000000000001</v>
      </c>
      <c r="AA4945" s="1">
        <v>3.9800000000000002E-2</v>
      </c>
      <c r="AB4945" s="1">
        <v>1.09E-2</v>
      </c>
      <c r="AC4945" s="1">
        <v>2.0799999999999999E-2</v>
      </c>
      <c r="AD4945" s="1">
        <v>1.29E-2</v>
      </c>
    </row>
    <row r="4946" spans="1:31">
      <c r="A4946" t="s">
        <v>204</v>
      </c>
      <c r="B4946">
        <v>68</v>
      </c>
      <c r="C4946" t="s">
        <v>205</v>
      </c>
      <c r="D4946">
        <v>741</v>
      </c>
      <c r="E4946" s="1">
        <v>1.5599999999999999E-2</v>
      </c>
      <c r="F4946" s="1">
        <v>1.5599999999999999E-2</v>
      </c>
      <c r="G4946" s="1">
        <v>0.77969999999999995</v>
      </c>
      <c r="H4946" s="1">
        <v>1.61E-2</v>
      </c>
      <c r="I4946" s="1">
        <v>3.8699999999999998E-2</v>
      </c>
      <c r="J4946" s="1">
        <v>0.16520000000000001</v>
      </c>
      <c r="K4946" s="1">
        <v>1.46E-2</v>
      </c>
      <c r="L4946" s="1">
        <v>1.61E-2</v>
      </c>
      <c r="M4946" s="1">
        <v>0.35849999999999999</v>
      </c>
      <c r="N4946" s="1">
        <v>0.25559999999999999</v>
      </c>
      <c r="O4946" s="1">
        <v>1.5599999999999999E-2</v>
      </c>
      <c r="P4946" s="1">
        <v>0.11890000000000001</v>
      </c>
      <c r="Q4946" s="1">
        <v>0.14299999999999999</v>
      </c>
      <c r="R4946" s="1">
        <v>8.7999999999999995E-2</v>
      </c>
      <c r="S4946" s="1">
        <v>2.8000000000000001E-2</v>
      </c>
      <c r="T4946" s="1">
        <v>2.2700000000000001E-2</v>
      </c>
      <c r="V4946" s="1">
        <v>7.4700000000000003E-2</v>
      </c>
      <c r="W4946" s="1">
        <v>0.26600000000000001</v>
      </c>
      <c r="Z4946" s="1">
        <v>0.32529999999999998</v>
      </c>
      <c r="AA4946" s="1">
        <v>1.7999999999999999E-2</v>
      </c>
      <c r="AB4946" s="1">
        <v>3.3E-3</v>
      </c>
      <c r="AC4946" s="1">
        <v>9.7999999999999997E-3</v>
      </c>
      <c r="AD4946" s="1">
        <v>3.61E-2</v>
      </c>
    </row>
    <row r="4947" spans="1:31">
      <c r="A4947" t="s">
        <v>204</v>
      </c>
      <c r="B4947">
        <v>54</v>
      </c>
      <c r="C4947" t="s">
        <v>206</v>
      </c>
      <c r="D4947">
        <v>741</v>
      </c>
      <c r="E4947" s="1">
        <v>3.15E-2</v>
      </c>
      <c r="F4947" s="1">
        <v>0.15090000000000001</v>
      </c>
      <c r="G4947" s="1">
        <v>0.64470000000000005</v>
      </c>
      <c r="I4947" s="1">
        <v>0.1227</v>
      </c>
      <c r="J4947" s="1">
        <v>0.16339999999999999</v>
      </c>
      <c r="K4947" s="1">
        <v>3.15E-2</v>
      </c>
      <c r="L4947" s="1">
        <v>7.5499999999999998E-2</v>
      </c>
      <c r="M4947" s="1">
        <v>0.25159999999999999</v>
      </c>
      <c r="N4947" s="1">
        <v>0.16669999999999999</v>
      </c>
      <c r="O4947" s="1">
        <v>3.7699999999999997E-2</v>
      </c>
      <c r="P4947" s="1">
        <v>3.7699999999999997E-2</v>
      </c>
      <c r="Q4947" s="1">
        <v>0.1132</v>
      </c>
      <c r="R4947" s="1">
        <v>5.9700000000000003E-2</v>
      </c>
      <c r="S4947" s="1">
        <v>5.3499999999999999E-2</v>
      </c>
      <c r="U4947" s="1">
        <v>1.5699999999999999E-2</v>
      </c>
      <c r="V4947" s="1">
        <v>0.18240000000000001</v>
      </c>
      <c r="W4947" s="1">
        <v>0.22639999999999999</v>
      </c>
      <c r="X4947" s="1">
        <v>5.9700000000000003E-2</v>
      </c>
      <c r="Z4947" s="1">
        <v>9.74E-2</v>
      </c>
      <c r="AA4947" s="1">
        <v>1.5699999999999999E-2</v>
      </c>
      <c r="AB4947" s="1">
        <v>2.1999999999999999E-2</v>
      </c>
      <c r="AC4947" s="1">
        <v>3.15E-2</v>
      </c>
      <c r="AD4947" s="1">
        <v>1.5699999999999999E-2</v>
      </c>
    </row>
    <row r="4948" spans="1:31">
      <c r="A4948" t="s">
        <v>204</v>
      </c>
      <c r="B4948">
        <v>109</v>
      </c>
      <c r="C4948" t="s">
        <v>207</v>
      </c>
      <c r="D4948">
        <v>741</v>
      </c>
      <c r="E4948" s="1">
        <v>1.06E-2</v>
      </c>
      <c r="F4948" s="1">
        <v>3.8699999999999998E-2</v>
      </c>
      <c r="G4948" s="1">
        <v>0.71289999999999998</v>
      </c>
      <c r="H4948" s="1">
        <v>6.3E-3</v>
      </c>
      <c r="I4948" s="1">
        <v>3.5299999999999998E-2</v>
      </c>
      <c r="J4948" s="1">
        <v>0.04</v>
      </c>
      <c r="K4948" s="1">
        <v>1.2500000000000001E-2</v>
      </c>
      <c r="L4948" s="1">
        <v>8.6300000000000002E-2</v>
      </c>
      <c r="M4948" s="1">
        <v>0.40739999999999998</v>
      </c>
      <c r="N4948" s="1">
        <v>0.28010000000000002</v>
      </c>
      <c r="O4948" s="1">
        <v>1.01E-2</v>
      </c>
      <c r="P4948" s="1">
        <v>0.311</v>
      </c>
      <c r="Q4948" s="1">
        <v>1.7100000000000001E-2</v>
      </c>
      <c r="R4948" s="1">
        <v>0.1082</v>
      </c>
      <c r="S4948" s="1">
        <v>5.9499999999999997E-2</v>
      </c>
      <c r="T4948" s="1">
        <v>5.4999999999999997E-3</v>
      </c>
      <c r="U4948" s="1">
        <v>3.8999999999999998E-3</v>
      </c>
      <c r="V4948" s="1">
        <v>0.1981</v>
      </c>
      <c r="W4948" s="1">
        <v>0.22159999999999999</v>
      </c>
      <c r="X4948" s="1">
        <v>3.8999999999999998E-3</v>
      </c>
      <c r="Y4948" s="1">
        <v>1.6999999999999999E-3</v>
      </c>
      <c r="Z4948" s="1">
        <v>0.23680000000000001</v>
      </c>
      <c r="AA4948" s="1">
        <v>5.9799999999999999E-2</v>
      </c>
      <c r="AC4948" s="1">
        <v>1.2699999999999999E-2</v>
      </c>
      <c r="AD4948" s="1">
        <v>2.5999999999999999E-3</v>
      </c>
    </row>
    <row r="4949" spans="1:31">
      <c r="A4949" t="s">
        <v>204</v>
      </c>
      <c r="B4949">
        <v>64</v>
      </c>
      <c r="C4949" t="s">
        <v>208</v>
      </c>
      <c r="D4949">
        <v>741</v>
      </c>
      <c r="E4949" s="1">
        <v>3.1199999999999999E-2</v>
      </c>
      <c r="F4949" s="1">
        <v>9.3799999999999994E-2</v>
      </c>
      <c r="G4949" s="1">
        <v>0.75</v>
      </c>
      <c r="I4949" s="1">
        <v>0.21879999999999999</v>
      </c>
      <c r="J4949" s="1">
        <v>9.3799999999999994E-2</v>
      </c>
      <c r="K4949" s="1">
        <v>4.6899999999999997E-2</v>
      </c>
      <c r="L4949" s="1">
        <v>0.21879999999999999</v>
      </c>
      <c r="M4949" s="1">
        <v>0.3125</v>
      </c>
      <c r="N4949" s="1">
        <v>0.34379999999999999</v>
      </c>
      <c r="O4949" s="1">
        <v>6.25E-2</v>
      </c>
      <c r="P4949" s="1">
        <v>0.1094</v>
      </c>
      <c r="Q4949" s="1">
        <v>0.1094</v>
      </c>
      <c r="R4949" s="1">
        <v>1.5599999999999999E-2</v>
      </c>
      <c r="T4949" s="1">
        <v>1.5599999999999999E-2</v>
      </c>
      <c r="U4949" s="1">
        <v>1.5599999999999999E-2</v>
      </c>
      <c r="V4949" s="1">
        <v>0.125</v>
      </c>
      <c r="W4949" s="1">
        <v>0.25</v>
      </c>
      <c r="X4949" s="1">
        <v>4.6899999999999997E-2</v>
      </c>
      <c r="Z4949" s="1">
        <v>0.1875</v>
      </c>
      <c r="AA4949" s="1">
        <v>1.5599999999999999E-2</v>
      </c>
      <c r="AC4949" s="1">
        <v>1.5599999999999999E-2</v>
      </c>
    </row>
    <row r="4950" spans="1:31">
      <c r="A4950" t="s">
        <v>199</v>
      </c>
      <c r="B4950">
        <v>57</v>
      </c>
      <c r="C4950" t="s">
        <v>200</v>
      </c>
      <c r="D4950">
        <v>741</v>
      </c>
      <c r="E4950" s="1">
        <v>0.1041</v>
      </c>
      <c r="F4950" s="1">
        <v>0.29580000000000001</v>
      </c>
      <c r="G4950" s="1">
        <v>0.91439999999999999</v>
      </c>
      <c r="I4950" s="1">
        <v>3.2199999999999999E-2</v>
      </c>
      <c r="J4950" s="1">
        <v>9.4600000000000004E-2</v>
      </c>
      <c r="L4950" s="1">
        <v>6.4399999999999999E-2</v>
      </c>
      <c r="M4950" s="1">
        <v>0.5474</v>
      </c>
      <c r="N4950" s="1">
        <v>0.55989999999999995</v>
      </c>
      <c r="O4950" s="1">
        <v>1.9E-3</v>
      </c>
      <c r="P4950" s="1">
        <v>0.31790000000000002</v>
      </c>
      <c r="Q4950" s="1">
        <v>3.7400000000000003E-2</v>
      </c>
      <c r="R4950" s="1">
        <v>6.0600000000000001E-2</v>
      </c>
      <c r="T4950" s="1">
        <v>1.9E-3</v>
      </c>
      <c r="U4950" s="1">
        <v>1.9E-3</v>
      </c>
      <c r="V4950" s="1">
        <v>0.32990000000000003</v>
      </c>
      <c r="W4950" s="1">
        <v>0.40529999999999999</v>
      </c>
      <c r="X4950" s="1">
        <v>8.3500000000000005E-2</v>
      </c>
      <c r="Z4950" s="1">
        <v>0.36349999999999999</v>
      </c>
      <c r="AA4950" s="1">
        <v>1.9E-3</v>
      </c>
      <c r="AC4950" s="1">
        <v>7.7299999999999994E-2</v>
      </c>
      <c r="AD4950" s="1">
        <v>5.67E-2</v>
      </c>
    </row>
    <row r="4951" spans="1:31">
      <c r="A4951" t="s">
        <v>199</v>
      </c>
      <c r="B4951">
        <v>74</v>
      </c>
      <c r="C4951" t="s">
        <v>201</v>
      </c>
      <c r="D4951">
        <v>741</v>
      </c>
      <c r="E4951" s="1">
        <v>5.4100000000000002E-2</v>
      </c>
      <c r="F4951" s="1">
        <v>1.35E-2</v>
      </c>
      <c r="G4951" s="1">
        <v>0.56759999999999999</v>
      </c>
      <c r="I4951" s="1">
        <v>8.1100000000000005E-2</v>
      </c>
      <c r="J4951" s="1">
        <v>0.18920000000000001</v>
      </c>
      <c r="K4951" s="1">
        <v>8.1100000000000005E-2</v>
      </c>
      <c r="L4951" s="1">
        <v>8.1100000000000005E-2</v>
      </c>
      <c r="M4951" s="1">
        <v>0.33779999999999999</v>
      </c>
      <c r="N4951" s="1">
        <v>0.31080000000000002</v>
      </c>
      <c r="O4951" s="1">
        <v>4.0500000000000001E-2</v>
      </c>
      <c r="P4951" s="1">
        <v>6.7599999999999993E-2</v>
      </c>
      <c r="Q4951" s="1">
        <v>0.1351</v>
      </c>
      <c r="R4951" s="1">
        <v>6.7599999999999993E-2</v>
      </c>
      <c r="S4951" s="1">
        <v>2.7E-2</v>
      </c>
      <c r="T4951" s="1">
        <v>4.0500000000000001E-2</v>
      </c>
      <c r="V4951" s="1">
        <v>0.1081</v>
      </c>
      <c r="W4951" s="1">
        <v>0.1757</v>
      </c>
      <c r="X4951" s="1">
        <v>0.1081</v>
      </c>
      <c r="Z4951" s="1">
        <v>0.1081</v>
      </c>
      <c r="AA4951" s="1">
        <v>2.7E-2</v>
      </c>
      <c r="AB4951" s="1">
        <v>2.7E-2</v>
      </c>
      <c r="AC4951" s="1">
        <v>1.35E-2</v>
      </c>
    </row>
    <row r="4952" spans="1:31">
      <c r="A4952" t="s">
        <v>199</v>
      </c>
      <c r="B4952">
        <v>60</v>
      </c>
      <c r="C4952" t="s">
        <v>202</v>
      </c>
      <c r="D4952">
        <v>741</v>
      </c>
      <c r="G4952" s="1">
        <v>0.44840000000000002</v>
      </c>
      <c r="I4952" s="1">
        <v>7.3200000000000001E-2</v>
      </c>
      <c r="J4952" s="1">
        <v>0.14449999999999999</v>
      </c>
      <c r="M4952" s="1">
        <v>0.28610000000000002</v>
      </c>
      <c r="N4952" s="1">
        <v>0.24360000000000001</v>
      </c>
      <c r="O4952" s="1">
        <v>5.2400000000000002E-2</v>
      </c>
      <c r="P4952" s="1">
        <v>7.5700000000000003E-2</v>
      </c>
      <c r="Q4952" s="1">
        <v>0.12479999999999999</v>
      </c>
      <c r="R4952" s="1">
        <v>0.15060000000000001</v>
      </c>
      <c r="S4952" s="1">
        <v>6.0499999999999998E-2</v>
      </c>
      <c r="T4952" s="1">
        <v>6.2199999999999998E-2</v>
      </c>
      <c r="U4952" s="1">
        <v>1.3899999999999999E-2</v>
      </c>
      <c r="V4952" s="1">
        <v>6.6600000000000006E-2</v>
      </c>
      <c r="W4952" s="1">
        <v>0.1227</v>
      </c>
      <c r="X4952" s="1">
        <v>6.6500000000000004E-2</v>
      </c>
      <c r="Y4952" s="1">
        <v>1.8800000000000001E-2</v>
      </c>
      <c r="Z4952" s="1">
        <v>0.1938</v>
      </c>
      <c r="AA4952" s="1">
        <v>6.0499999999999998E-2</v>
      </c>
      <c r="AB4952" s="1">
        <v>1.3899999999999999E-2</v>
      </c>
      <c r="AC4952" s="1">
        <v>1.8800000000000001E-2</v>
      </c>
    </row>
    <row r="4953" spans="1:31">
      <c r="A4953" t="s">
        <v>199</v>
      </c>
      <c r="B4953">
        <v>58</v>
      </c>
      <c r="C4953" t="s">
        <v>203</v>
      </c>
      <c r="D4953">
        <v>741</v>
      </c>
      <c r="E4953" s="1">
        <v>5.1999999999999998E-2</v>
      </c>
      <c r="F4953" s="1">
        <v>0.1489</v>
      </c>
      <c r="G4953" s="1">
        <v>0.68400000000000005</v>
      </c>
      <c r="H4953" s="1">
        <v>2.3900000000000001E-2</v>
      </c>
      <c r="I4953" s="1">
        <v>0.187</v>
      </c>
      <c r="J4953" s="1">
        <v>0.17349999999999999</v>
      </c>
      <c r="K4953" s="1">
        <v>7.8299999999999995E-2</v>
      </c>
      <c r="L4953" s="1">
        <v>0.1226</v>
      </c>
      <c r="M4953" s="1">
        <v>0.44390000000000002</v>
      </c>
      <c r="N4953" s="1">
        <v>0.36870000000000003</v>
      </c>
      <c r="P4953" s="1">
        <v>0.1331</v>
      </c>
      <c r="Q4953" s="1">
        <v>0.15479999999999999</v>
      </c>
      <c r="R4953" s="1">
        <v>6.1899999999999997E-2</v>
      </c>
      <c r="S4953" s="1">
        <v>1.46E-2</v>
      </c>
      <c r="V4953" s="1">
        <v>0.2974</v>
      </c>
      <c r="W4953" s="1">
        <v>0.29149999999999998</v>
      </c>
      <c r="X4953" s="1">
        <v>6.4899999999999999E-2</v>
      </c>
      <c r="Y4953" s="1">
        <v>1.0500000000000001E-2</v>
      </c>
      <c r="Z4953" s="1">
        <v>0.14899999999999999</v>
      </c>
      <c r="AA4953" s="1">
        <v>6.54E-2</v>
      </c>
      <c r="AB4953" s="1">
        <v>3.7999999999999999E-2</v>
      </c>
      <c r="AC4953" s="1">
        <v>6.3100000000000003E-2</v>
      </c>
    </row>
    <row r="4954" spans="1:31">
      <c r="A4954" t="s">
        <v>209</v>
      </c>
      <c r="B4954">
        <v>55</v>
      </c>
      <c r="C4954" t="s">
        <v>210</v>
      </c>
      <c r="D4954">
        <v>741</v>
      </c>
      <c r="E4954" s="1">
        <v>2.3300000000000001E-2</v>
      </c>
      <c r="F4954" s="1">
        <v>7.9699999999999993E-2</v>
      </c>
      <c r="G4954" s="1">
        <v>0.59619999999999995</v>
      </c>
      <c r="H4954" s="1">
        <v>2.3300000000000001E-2</v>
      </c>
      <c r="I4954" s="1">
        <v>0.12509999999999999</v>
      </c>
      <c r="J4954" s="1">
        <v>0.12509999999999999</v>
      </c>
      <c r="K4954" s="1">
        <v>6.7400000000000002E-2</v>
      </c>
      <c r="L4954" s="1">
        <v>0.10299999999999999</v>
      </c>
      <c r="M4954" s="1">
        <v>0.151</v>
      </c>
      <c r="N4954" s="1">
        <v>0.25280000000000002</v>
      </c>
      <c r="P4954" s="1">
        <v>3.4299999999999997E-2</v>
      </c>
      <c r="Q4954" s="1">
        <v>5.7700000000000001E-2</v>
      </c>
      <c r="R4954" s="1">
        <v>9.3299999999999994E-2</v>
      </c>
      <c r="U4954" s="1">
        <v>1.0999999999999999E-2</v>
      </c>
      <c r="V4954" s="1">
        <v>7.9699999999999993E-2</v>
      </c>
      <c r="W4954" s="1">
        <v>0.12509999999999999</v>
      </c>
      <c r="X4954" s="1">
        <v>5.7700000000000001E-2</v>
      </c>
      <c r="Z4954" s="1">
        <v>0.17299999999999999</v>
      </c>
      <c r="AA4954" s="1">
        <v>2.1999999999999999E-2</v>
      </c>
      <c r="AC4954" s="1">
        <v>5.7700000000000001E-2</v>
      </c>
      <c r="AD4954" s="1">
        <v>1.0999999999999999E-2</v>
      </c>
    </row>
    <row r="4955" spans="1:31">
      <c r="A4955" t="s">
        <v>209</v>
      </c>
      <c r="B4955">
        <v>74</v>
      </c>
      <c r="C4955" t="s">
        <v>211</v>
      </c>
      <c r="D4955">
        <v>741</v>
      </c>
      <c r="E4955" s="1">
        <v>0.1164</v>
      </c>
      <c r="F4955" s="1">
        <v>0.1915</v>
      </c>
      <c r="G4955" s="1">
        <v>0.56799999999999995</v>
      </c>
      <c r="H4955" s="1">
        <v>2.23E-2</v>
      </c>
      <c r="I4955" s="1">
        <v>0.1789</v>
      </c>
      <c r="J4955" s="1">
        <v>0.13569999999999999</v>
      </c>
      <c r="K4955" s="1">
        <v>4.4600000000000001E-2</v>
      </c>
      <c r="L4955" s="1">
        <v>0.1474</v>
      </c>
      <c r="M4955" s="1">
        <v>0.35970000000000002</v>
      </c>
      <c r="N4955" s="1">
        <v>0.23350000000000001</v>
      </c>
      <c r="O4955" s="1">
        <v>6.6900000000000001E-2</v>
      </c>
      <c r="P4955" s="1">
        <v>0.158</v>
      </c>
      <c r="Q4955" s="1">
        <v>0.13719999999999999</v>
      </c>
      <c r="R4955" s="1">
        <v>7.9500000000000001E-2</v>
      </c>
      <c r="S4955" s="1">
        <v>4.7399999999999998E-2</v>
      </c>
      <c r="T4955" s="1">
        <v>4.02E-2</v>
      </c>
      <c r="U4955" s="1">
        <v>3.3000000000000002E-2</v>
      </c>
      <c r="V4955" s="1">
        <v>0.17829999999999999</v>
      </c>
      <c r="W4955" s="1">
        <v>0.28449999999999998</v>
      </c>
      <c r="X4955" s="1">
        <v>5.67E-2</v>
      </c>
      <c r="Y4955" s="1">
        <v>3.1E-2</v>
      </c>
      <c r="Z4955" s="1">
        <v>0.1933</v>
      </c>
      <c r="AA4955" s="1">
        <v>3.5799999999999998E-2</v>
      </c>
      <c r="AC4955" s="1">
        <v>8.9099999999999999E-2</v>
      </c>
    </row>
    <row r="4956" spans="1:31">
      <c r="A4956" t="s">
        <v>209</v>
      </c>
      <c r="B4956">
        <v>68</v>
      </c>
      <c r="C4956" t="s">
        <v>212</v>
      </c>
      <c r="D4956">
        <v>741</v>
      </c>
      <c r="F4956" s="1">
        <v>3.61E-2</v>
      </c>
      <c r="G4956" s="1">
        <v>0.60350000000000004</v>
      </c>
      <c r="H4956" s="1">
        <v>8.8999999999999999E-3</v>
      </c>
      <c r="I4956" s="1">
        <v>0.1177</v>
      </c>
      <c r="J4956" s="1">
        <v>0.12720000000000001</v>
      </c>
      <c r="K4956" s="1">
        <v>5.0799999999999998E-2</v>
      </c>
      <c r="L4956" s="1">
        <v>0.17219999999999999</v>
      </c>
      <c r="M4956" s="1">
        <v>0.34699999999999998</v>
      </c>
      <c r="N4956" s="1">
        <v>0.2387</v>
      </c>
      <c r="O4956" s="1">
        <v>3.09E-2</v>
      </c>
      <c r="P4956" s="1">
        <v>0.1045</v>
      </c>
      <c r="Q4956" s="1">
        <v>0.12939999999999999</v>
      </c>
      <c r="R4956" s="1">
        <v>4.2700000000000002E-2</v>
      </c>
      <c r="S4956" s="1">
        <v>2.2800000000000001E-2</v>
      </c>
      <c r="T4956" s="1">
        <v>3.3799999999999997E-2</v>
      </c>
      <c r="U4956" s="1">
        <v>1.4E-2</v>
      </c>
      <c r="V4956" s="1">
        <v>0.2069</v>
      </c>
      <c r="W4956" s="1">
        <v>0.20530000000000001</v>
      </c>
      <c r="X4956" s="1">
        <v>6.4699999999999994E-2</v>
      </c>
      <c r="Y4956" s="1">
        <v>1.6299999999999999E-2</v>
      </c>
      <c r="Z4956" s="1">
        <v>0.2016</v>
      </c>
      <c r="AA4956" s="1">
        <v>6.7000000000000004E-2</v>
      </c>
      <c r="AB4956" s="1">
        <v>1.6899999999999998E-2</v>
      </c>
      <c r="AC4956" s="1">
        <v>1.4E-2</v>
      </c>
      <c r="AD4956" s="1">
        <v>3.0300000000000001E-2</v>
      </c>
    </row>
    <row r="4958" spans="1:31">
      <c r="A4958" t="s">
        <v>1092</v>
      </c>
    </row>
    <row r="4959" spans="1:31">
      <c r="A4959" t="s">
        <v>214</v>
      </c>
      <c r="B4959" t="s">
        <v>189</v>
      </c>
      <c r="C4959" t="s">
        <v>195</v>
      </c>
      <c r="D4959" t="s">
        <v>190</v>
      </c>
      <c r="E4959" t="s">
        <v>196</v>
      </c>
      <c r="F4959" t="s">
        <v>1068</v>
      </c>
      <c r="G4959" t="s">
        <v>1069</v>
      </c>
      <c r="H4959" t="s">
        <v>1070</v>
      </c>
      <c r="I4959" t="s">
        <v>1071</v>
      </c>
      <c r="J4959" t="s">
        <v>1072</v>
      </c>
      <c r="K4959" t="s">
        <v>1073</v>
      </c>
      <c r="L4959" t="s">
        <v>1074</v>
      </c>
      <c r="M4959" t="s">
        <v>1075</v>
      </c>
      <c r="N4959" t="s">
        <v>1076</v>
      </c>
      <c r="O4959" t="s">
        <v>1077</v>
      </c>
      <c r="P4959" t="s">
        <v>1078</v>
      </c>
      <c r="Q4959" t="s">
        <v>1079</v>
      </c>
      <c r="R4959" t="s">
        <v>1080</v>
      </c>
      <c r="S4959" t="s">
        <v>276</v>
      </c>
      <c r="T4959" t="s">
        <v>1081</v>
      </c>
      <c r="U4959" t="s">
        <v>1082</v>
      </c>
      <c r="V4959" t="s">
        <v>278</v>
      </c>
      <c r="W4959" t="s">
        <v>1083</v>
      </c>
      <c r="X4959" t="s">
        <v>1084</v>
      </c>
      <c r="Y4959" t="s">
        <v>1085</v>
      </c>
      <c r="Z4959" t="s">
        <v>1086</v>
      </c>
      <c r="AA4959" t="s">
        <v>1087</v>
      </c>
      <c r="AB4959" t="s">
        <v>1088</v>
      </c>
      <c r="AC4959" t="s">
        <v>1089</v>
      </c>
      <c r="AD4959" t="s">
        <v>1090</v>
      </c>
      <c r="AE4959" t="s">
        <v>1091</v>
      </c>
    </row>
    <row r="4960" spans="1:31">
      <c r="A4960" t="s">
        <v>198</v>
      </c>
      <c r="B4960" t="s">
        <v>197</v>
      </c>
      <c r="C4960">
        <v>741</v>
      </c>
      <c r="D4960" t="s">
        <v>198</v>
      </c>
      <c r="E4960">
        <v>741</v>
      </c>
      <c r="F4960" s="1">
        <v>2.7799999999999998E-2</v>
      </c>
      <c r="G4960" s="1">
        <v>4.7500000000000001E-2</v>
      </c>
      <c r="H4960" s="1">
        <v>0.65290000000000004</v>
      </c>
      <c r="I4960" s="1">
        <v>7.3000000000000001E-3</v>
      </c>
      <c r="J4960" s="1">
        <v>8.4699999999999998E-2</v>
      </c>
      <c r="K4960" s="1">
        <v>0.13189999999999999</v>
      </c>
      <c r="L4960" s="1">
        <v>3.5000000000000003E-2</v>
      </c>
      <c r="M4960" s="1">
        <v>8.3400000000000002E-2</v>
      </c>
      <c r="N4960" s="1">
        <v>0.35570000000000002</v>
      </c>
      <c r="O4960" s="1">
        <v>0.2838</v>
      </c>
      <c r="P4960" s="1">
        <v>3.0499999999999999E-2</v>
      </c>
      <c r="Q4960" s="1">
        <v>0.14249999999999999</v>
      </c>
      <c r="R4960" s="1">
        <v>0.1089</v>
      </c>
      <c r="S4960" s="1">
        <v>8.2799999999999999E-2</v>
      </c>
      <c r="T4960" s="1">
        <v>3.4599999999999999E-2</v>
      </c>
      <c r="U4960" s="1">
        <v>2.7699999999999999E-2</v>
      </c>
      <c r="V4960" s="1">
        <v>6.8999999999999999E-3</v>
      </c>
      <c r="W4960" s="1">
        <v>0.14149999999999999</v>
      </c>
      <c r="X4960" s="1">
        <v>0.2195</v>
      </c>
      <c r="Y4960" s="1">
        <v>4.8300000000000003E-2</v>
      </c>
      <c r="Z4960" s="1">
        <v>6.1999999999999998E-3</v>
      </c>
      <c r="AA4960" s="1">
        <v>0.21390000000000001</v>
      </c>
      <c r="AB4960" s="1">
        <v>3.9800000000000002E-2</v>
      </c>
      <c r="AC4960" s="1">
        <v>1.09E-2</v>
      </c>
      <c r="AD4960" s="1">
        <v>2.0799999999999999E-2</v>
      </c>
      <c r="AE4960" s="1">
        <v>1.29E-2</v>
      </c>
    </row>
    <row r="4961" spans="1:31">
      <c r="A4961" t="s">
        <v>235</v>
      </c>
      <c r="B4961" t="s">
        <v>204</v>
      </c>
      <c r="C4961">
        <v>53</v>
      </c>
      <c r="D4961" t="s">
        <v>208</v>
      </c>
      <c r="E4961">
        <v>741</v>
      </c>
      <c r="F4961" s="1">
        <v>1.89E-2</v>
      </c>
      <c r="G4961" s="1">
        <v>3.7699999999999997E-2</v>
      </c>
      <c r="H4961" s="1">
        <v>0.81130000000000002</v>
      </c>
      <c r="J4961" s="1">
        <v>0.24529999999999999</v>
      </c>
      <c r="K4961" s="1">
        <v>0.1132</v>
      </c>
      <c r="L4961" s="1">
        <v>5.6599999999999998E-2</v>
      </c>
      <c r="M4961" s="1">
        <v>0.20749999999999999</v>
      </c>
      <c r="N4961" s="1">
        <v>0.32079999999999997</v>
      </c>
      <c r="O4961" s="1">
        <v>0.33960000000000001</v>
      </c>
      <c r="P4961" s="1">
        <v>5.6599999999999998E-2</v>
      </c>
      <c r="Q4961" s="1">
        <v>0.1321</v>
      </c>
      <c r="R4961" s="1">
        <v>7.5499999999999998E-2</v>
      </c>
      <c r="S4961" s="1">
        <v>1.89E-2</v>
      </c>
      <c r="U4961" s="1">
        <v>1.89E-2</v>
      </c>
      <c r="W4961" s="1">
        <v>0.1132</v>
      </c>
      <c r="X4961" s="1">
        <v>0.24529999999999999</v>
      </c>
      <c r="Y4961" s="1">
        <v>3.7699999999999997E-2</v>
      </c>
      <c r="AA4961" s="1">
        <v>0.18870000000000001</v>
      </c>
      <c r="AB4961" s="1">
        <v>1.89E-2</v>
      </c>
      <c r="AD4961" s="1">
        <v>1.89E-2</v>
      </c>
    </row>
    <row r="4962" spans="1:31" s="26" customFormat="1">
      <c r="A4962" s="26" t="s">
        <v>236</v>
      </c>
      <c r="B4962" s="26" t="s">
        <v>204</v>
      </c>
      <c r="C4962" s="26">
        <v>25</v>
      </c>
      <c r="D4962" s="26" t="s">
        <v>205</v>
      </c>
      <c r="E4962" s="26">
        <v>741</v>
      </c>
      <c r="F4962" s="27">
        <v>5.4699999999999999E-2</v>
      </c>
      <c r="G4962" s="27">
        <v>5.4699999999999999E-2</v>
      </c>
      <c r="H4962" s="27">
        <v>0.63229999999999997</v>
      </c>
      <c r="J4962" s="27">
        <v>3.1399999999999997E-2</v>
      </c>
      <c r="K4962" s="27">
        <v>9.0899999999999995E-2</v>
      </c>
      <c r="L4962" s="27">
        <v>7.0400000000000004E-2</v>
      </c>
      <c r="N4962" s="27">
        <v>0.2843</v>
      </c>
      <c r="O4962" s="27">
        <v>0.29060000000000002</v>
      </c>
      <c r="P4962" s="27">
        <v>7.5200000000000003E-2</v>
      </c>
      <c r="Q4962" s="27">
        <v>0.16830000000000001</v>
      </c>
      <c r="R4962" s="27">
        <v>7.5200000000000003E-2</v>
      </c>
      <c r="S4962" s="27">
        <v>0.26869999999999999</v>
      </c>
      <c r="U4962" s="27">
        <v>0.10929999999999999</v>
      </c>
      <c r="W4962" s="27">
        <v>0.1182</v>
      </c>
      <c r="X4962" s="27">
        <v>0.18859999999999999</v>
      </c>
      <c r="AA4962" s="27">
        <v>3.6200000000000003E-2</v>
      </c>
      <c r="AD4962" s="27">
        <v>3.1399999999999997E-2</v>
      </c>
    </row>
    <row r="4963" spans="1:31">
      <c r="A4963" t="s">
        <v>235</v>
      </c>
      <c r="B4963" t="s">
        <v>204</v>
      </c>
      <c r="C4963">
        <v>42</v>
      </c>
      <c r="D4963" t="s">
        <v>205</v>
      </c>
      <c r="E4963">
        <v>741</v>
      </c>
      <c r="F4963" s="1">
        <v>5.4000000000000003E-3</v>
      </c>
      <c r="G4963" s="1">
        <v>5.4000000000000003E-3</v>
      </c>
      <c r="H4963" s="1">
        <v>0.8175</v>
      </c>
      <c r="I4963" s="1">
        <v>2.0400000000000001E-2</v>
      </c>
      <c r="J4963" s="1">
        <v>4.07E-2</v>
      </c>
      <c r="K4963" s="1">
        <v>0.1855</v>
      </c>
      <c r="M4963" s="1">
        <v>2.0400000000000001E-2</v>
      </c>
      <c r="N4963" s="1">
        <v>0.37940000000000002</v>
      </c>
      <c r="O4963" s="1">
        <v>0.24740000000000001</v>
      </c>
      <c r="Q4963" s="1">
        <v>0.10630000000000001</v>
      </c>
      <c r="R4963" s="1">
        <v>0.16139999999999999</v>
      </c>
      <c r="S4963" s="1">
        <v>4.0899999999999999E-2</v>
      </c>
      <c r="T4963" s="1">
        <v>3.5499999999999997E-2</v>
      </c>
      <c r="W4963" s="1">
        <v>6.3600000000000004E-2</v>
      </c>
      <c r="X4963" s="1">
        <v>0.28739999999999999</v>
      </c>
      <c r="AA4963" s="1">
        <v>0.4027</v>
      </c>
      <c r="AB4963" s="1">
        <v>2.2800000000000001E-2</v>
      </c>
      <c r="AC4963" s="1">
        <v>4.1000000000000003E-3</v>
      </c>
      <c r="AD4963" s="1">
        <v>4.1000000000000003E-3</v>
      </c>
      <c r="AE4963" s="1">
        <v>4.5699999999999998E-2</v>
      </c>
    </row>
    <row r="4964" spans="1:31" s="26" customFormat="1">
      <c r="A4964" s="26" t="s">
        <v>236</v>
      </c>
      <c r="B4964" s="26" t="s">
        <v>204</v>
      </c>
      <c r="C4964" s="26">
        <v>17</v>
      </c>
      <c r="D4964" s="26" t="s">
        <v>206</v>
      </c>
      <c r="E4964" s="26">
        <v>741</v>
      </c>
      <c r="G4964" s="27">
        <v>0.25790000000000002</v>
      </c>
      <c r="H4964" s="27">
        <v>0.76349999999999996</v>
      </c>
      <c r="J4964" s="27">
        <v>7.51E-2</v>
      </c>
      <c r="K4964" s="27">
        <v>0.15029999999999999</v>
      </c>
      <c r="L4964" s="27">
        <v>0.1076</v>
      </c>
      <c r="N4964" s="27">
        <v>0.2152</v>
      </c>
      <c r="O4964" s="27">
        <v>0.12889999999999999</v>
      </c>
      <c r="Q4964" s="27">
        <v>7.51E-2</v>
      </c>
      <c r="R4964" s="27">
        <v>0.12889999999999999</v>
      </c>
      <c r="S4964" s="27">
        <v>7.51E-2</v>
      </c>
      <c r="V4964" s="27">
        <v>5.3800000000000001E-2</v>
      </c>
      <c r="W4964" s="27">
        <v>0.36549999999999999</v>
      </c>
      <c r="X4964" s="27">
        <v>0.31169999999999998</v>
      </c>
      <c r="AA4964" s="27">
        <v>7.51E-2</v>
      </c>
      <c r="AB4964" s="27">
        <v>5.3800000000000001E-2</v>
      </c>
      <c r="AC4964" s="27">
        <v>7.51E-2</v>
      </c>
      <c r="AD4964" s="27">
        <v>5.3800000000000001E-2</v>
      </c>
    </row>
    <row r="4965" spans="1:31">
      <c r="A4965" t="s">
        <v>235</v>
      </c>
      <c r="B4965" t="s">
        <v>204</v>
      </c>
      <c r="C4965">
        <v>33</v>
      </c>
      <c r="D4965" t="s">
        <v>206</v>
      </c>
      <c r="E4965">
        <v>741</v>
      </c>
      <c r="F4965" s="1">
        <v>2.47E-2</v>
      </c>
      <c r="G4965" s="1">
        <v>9.3600000000000003E-2</v>
      </c>
      <c r="H4965" s="1">
        <v>0.61080000000000001</v>
      </c>
      <c r="J4965" s="1">
        <v>0.1331</v>
      </c>
      <c r="K4965" s="1">
        <v>0.1527</v>
      </c>
      <c r="M4965" s="1">
        <v>9.3600000000000003E-2</v>
      </c>
      <c r="N4965" s="1">
        <v>0.24629999999999999</v>
      </c>
      <c r="O4965" s="1">
        <v>0.1774</v>
      </c>
      <c r="P4965" s="1">
        <v>3.4500000000000003E-2</v>
      </c>
      <c r="Q4965" s="1">
        <v>2.47E-2</v>
      </c>
      <c r="R4965" s="1">
        <v>9.3600000000000003E-2</v>
      </c>
      <c r="S4965" s="1">
        <v>3.4500000000000003E-2</v>
      </c>
      <c r="T4965" s="1">
        <v>5.91E-2</v>
      </c>
      <c r="W4965" s="1">
        <v>9.3600000000000003E-2</v>
      </c>
      <c r="X4965" s="1">
        <v>0.18720000000000001</v>
      </c>
      <c r="Y4965" s="1">
        <v>9.3600000000000003E-2</v>
      </c>
      <c r="AA4965" s="1">
        <v>0.1182</v>
      </c>
      <c r="AD4965" s="1">
        <v>2.47E-2</v>
      </c>
      <c r="AE4965" s="1">
        <v>2.47E-2</v>
      </c>
    </row>
    <row r="4966" spans="1:31">
      <c r="A4966" t="s">
        <v>236</v>
      </c>
      <c r="B4966" t="s">
        <v>204</v>
      </c>
      <c r="C4966">
        <v>69</v>
      </c>
      <c r="D4966" t="s">
        <v>207</v>
      </c>
      <c r="E4966">
        <v>741</v>
      </c>
      <c r="F4966" s="1">
        <v>1.9E-2</v>
      </c>
      <c r="G4966" s="1">
        <v>9.3100000000000002E-2</v>
      </c>
      <c r="H4966" s="1">
        <v>0.65290000000000004</v>
      </c>
      <c r="I4966" s="1">
        <v>1.2699999999999999E-2</v>
      </c>
      <c r="J4966" s="1">
        <v>4.6699999999999998E-2</v>
      </c>
      <c r="K4966" s="1">
        <v>5.7500000000000002E-2</v>
      </c>
      <c r="L4966" s="1">
        <v>1.6899999999999998E-2</v>
      </c>
      <c r="M4966" s="1">
        <v>3.9199999999999999E-2</v>
      </c>
      <c r="N4966" s="1">
        <v>0.31209999999999999</v>
      </c>
      <c r="O4966" s="1">
        <v>0.15190000000000001</v>
      </c>
      <c r="P4966" s="1">
        <v>8.9999999999999993E-3</v>
      </c>
      <c r="Q4966" s="1">
        <v>0.1343</v>
      </c>
      <c r="R4966" s="1">
        <v>2.1499999999999998E-2</v>
      </c>
      <c r="S4966" s="1">
        <v>0.2404</v>
      </c>
      <c r="T4966" s="1">
        <v>1.06E-2</v>
      </c>
      <c r="U4966" s="1">
        <v>6.6E-3</v>
      </c>
      <c r="V4966" s="1">
        <v>9.4999999999999998E-3</v>
      </c>
      <c r="W4966" s="1">
        <v>9.3700000000000006E-2</v>
      </c>
      <c r="X4966" s="1">
        <v>0.1239</v>
      </c>
      <c r="Y4966" s="1">
        <v>9.4999999999999998E-3</v>
      </c>
      <c r="Z4966" s="1">
        <v>4.0000000000000001E-3</v>
      </c>
      <c r="AA4966" s="1">
        <v>0.17849999999999999</v>
      </c>
      <c r="AB4966" s="1">
        <v>2.35E-2</v>
      </c>
      <c r="AD4966" s="1">
        <v>2.3300000000000001E-2</v>
      </c>
      <c r="AE4966" s="1">
        <v>6.1999999999999998E-3</v>
      </c>
    </row>
    <row r="4967" spans="1:31">
      <c r="A4967" t="s">
        <v>235</v>
      </c>
      <c r="B4967" t="s">
        <v>204</v>
      </c>
      <c r="C4967">
        <v>36</v>
      </c>
      <c r="D4967" t="s">
        <v>207</v>
      </c>
      <c r="E4967">
        <v>741</v>
      </c>
      <c r="F4967" s="1">
        <v>4.7999999999999996E-3</v>
      </c>
      <c r="H4967" s="1">
        <v>0.76690000000000003</v>
      </c>
      <c r="I4967" s="1">
        <v>1.8E-3</v>
      </c>
      <c r="J4967" s="1">
        <v>2.0899999999999998E-2</v>
      </c>
      <c r="K4967" s="1">
        <v>2.3300000000000001E-2</v>
      </c>
      <c r="L4967" s="1">
        <v>4.7999999999999996E-3</v>
      </c>
      <c r="M4967" s="1">
        <v>0.11070000000000001</v>
      </c>
      <c r="N4967" s="1">
        <v>0.47570000000000001</v>
      </c>
      <c r="O4967" s="1">
        <v>0.37440000000000001</v>
      </c>
      <c r="P4967" s="1">
        <v>1.12E-2</v>
      </c>
      <c r="Q4967" s="1">
        <v>0.44130000000000003</v>
      </c>
      <c r="R4967" s="1">
        <v>9.4000000000000004E-3</v>
      </c>
      <c r="S4967" s="1">
        <v>1.44E-2</v>
      </c>
      <c r="T4967" s="1">
        <v>9.6299999999999997E-2</v>
      </c>
      <c r="W4967" s="1">
        <v>0.26869999999999999</v>
      </c>
      <c r="X4967" s="1">
        <v>0.28560000000000002</v>
      </c>
      <c r="AA4967" s="1">
        <v>0.27939999999999998</v>
      </c>
      <c r="AB4967" s="1">
        <v>8.7400000000000005E-2</v>
      </c>
      <c r="AD4967" s="1">
        <v>5.3E-3</v>
      </c>
    </row>
    <row r="4968" spans="1:31" s="26" customFormat="1">
      <c r="A4968" s="26" t="s">
        <v>236</v>
      </c>
      <c r="B4968" s="26" t="s">
        <v>204</v>
      </c>
      <c r="C4968" s="26">
        <v>11</v>
      </c>
      <c r="D4968" s="26" t="s">
        <v>208</v>
      </c>
      <c r="E4968" s="26">
        <v>741</v>
      </c>
      <c r="F4968" s="27">
        <v>9.0899999999999995E-2</v>
      </c>
      <c r="G4968" s="27">
        <v>0.36359999999999998</v>
      </c>
      <c r="H4968" s="27">
        <v>0.45450000000000002</v>
      </c>
      <c r="J4968" s="27">
        <v>9.0899999999999995E-2</v>
      </c>
      <c r="M4968" s="27">
        <v>0.2727</v>
      </c>
      <c r="N4968" s="27">
        <v>0.2727</v>
      </c>
      <c r="O4968" s="27">
        <v>0.36359999999999998</v>
      </c>
      <c r="P4968" s="27">
        <v>9.0899999999999995E-2</v>
      </c>
      <c r="R4968" s="27">
        <v>0.2727</v>
      </c>
      <c r="V4968" s="27">
        <v>9.0899999999999995E-2</v>
      </c>
      <c r="W4968" s="27">
        <v>0.18179999999999999</v>
      </c>
      <c r="X4968" s="27">
        <v>0.2727</v>
      </c>
      <c r="Y4968" s="27">
        <v>9.0899999999999995E-2</v>
      </c>
      <c r="AA4968" s="27">
        <v>0.18179999999999999</v>
      </c>
    </row>
    <row r="4969" spans="1:31">
      <c r="A4969" t="s">
        <v>235</v>
      </c>
      <c r="B4969" t="s">
        <v>199</v>
      </c>
      <c r="C4969">
        <v>32</v>
      </c>
      <c r="D4969" t="s">
        <v>203</v>
      </c>
      <c r="E4969">
        <v>741</v>
      </c>
      <c r="G4969" s="1">
        <v>1.8499999999999999E-2</v>
      </c>
      <c r="H4969" s="1">
        <v>0.67059999999999997</v>
      </c>
      <c r="J4969" s="1">
        <v>0.19950000000000001</v>
      </c>
      <c r="K4969" s="1">
        <v>0.18</v>
      </c>
      <c r="L4969" s="1">
        <v>8.1699999999999995E-2</v>
      </c>
      <c r="M4969" s="1">
        <v>0.1187</v>
      </c>
      <c r="N4969" s="1">
        <v>0.40989999999999999</v>
      </c>
      <c r="O4969" s="1">
        <v>0.34520000000000001</v>
      </c>
      <c r="Q4969" s="1">
        <v>0.13170000000000001</v>
      </c>
      <c r="R4969" s="1">
        <v>0.1439</v>
      </c>
      <c r="S4969" s="1">
        <v>7.6999999999999999E-2</v>
      </c>
      <c r="W4969" s="1">
        <v>0.31269999999999998</v>
      </c>
      <c r="X4969" s="1">
        <v>0.22170000000000001</v>
      </c>
      <c r="Y4969" s="1">
        <v>8.1699999999999995E-2</v>
      </c>
      <c r="Z4969" s="1">
        <v>1.67E-2</v>
      </c>
      <c r="AA4969" s="1">
        <v>0.154</v>
      </c>
      <c r="AB4969" s="1">
        <v>6.1199999999999997E-2</v>
      </c>
      <c r="AC4969" s="1">
        <v>6.0299999999999999E-2</v>
      </c>
      <c r="AD4969" s="1">
        <v>6.0299999999999999E-2</v>
      </c>
    </row>
    <row r="4970" spans="1:31" s="26" customFormat="1">
      <c r="A4970" s="26" t="s">
        <v>236</v>
      </c>
      <c r="B4970" s="26" t="s">
        <v>199</v>
      </c>
      <c r="C4970" s="26">
        <v>25</v>
      </c>
      <c r="D4970" s="26" t="s">
        <v>203</v>
      </c>
      <c r="E4970" s="26">
        <v>741</v>
      </c>
      <c r="F4970" s="27">
        <v>0.15640000000000001</v>
      </c>
      <c r="G4970" s="27">
        <v>0.41310000000000002</v>
      </c>
      <c r="H4970" s="27">
        <v>0.67320000000000002</v>
      </c>
      <c r="I4970" s="27">
        <v>7.1999999999999995E-2</v>
      </c>
      <c r="J4970" s="27">
        <v>0.1845</v>
      </c>
      <c r="K4970" s="27">
        <v>0.18110000000000001</v>
      </c>
      <c r="L4970" s="27">
        <v>8.09E-2</v>
      </c>
      <c r="M4970" s="27">
        <v>0.14410000000000001</v>
      </c>
      <c r="N4970" s="27">
        <v>0.55900000000000005</v>
      </c>
      <c r="O4970" s="27">
        <v>0.34100000000000003</v>
      </c>
      <c r="Q4970" s="27">
        <v>0.15110000000000001</v>
      </c>
      <c r="R4970" s="27">
        <v>0.19339999999999999</v>
      </c>
      <c r="S4970" s="27">
        <v>4.0399999999999998E-2</v>
      </c>
      <c r="T4970" s="27">
        <v>4.3900000000000002E-2</v>
      </c>
      <c r="W4970" s="27">
        <v>0.3024</v>
      </c>
      <c r="X4970" s="27">
        <v>0.4572</v>
      </c>
      <c r="Y4970" s="27">
        <v>4.0399999999999998E-2</v>
      </c>
      <c r="AA4970" s="27">
        <v>0.15640000000000001</v>
      </c>
      <c r="AB4970" s="27">
        <v>8.09E-2</v>
      </c>
      <c r="AD4970" s="27">
        <v>7.5499999999999998E-2</v>
      </c>
    </row>
    <row r="4971" spans="1:31">
      <c r="A4971" t="s">
        <v>235</v>
      </c>
      <c r="B4971" t="s">
        <v>199</v>
      </c>
      <c r="C4971">
        <v>33</v>
      </c>
      <c r="D4971" t="s">
        <v>202</v>
      </c>
      <c r="E4971">
        <v>741</v>
      </c>
      <c r="H4971" s="1">
        <v>0.43640000000000001</v>
      </c>
      <c r="J4971" s="1">
        <v>0.13969999999999999</v>
      </c>
      <c r="K4971" s="1">
        <v>0.14449999999999999</v>
      </c>
      <c r="N4971" s="1">
        <v>0.32100000000000001</v>
      </c>
      <c r="O4971" s="1">
        <v>0.24299999999999999</v>
      </c>
      <c r="P4971" s="1">
        <v>3.5799999999999998E-2</v>
      </c>
      <c r="Q4971" s="1">
        <v>0.1444</v>
      </c>
      <c r="R4971" s="1">
        <v>0.1187</v>
      </c>
      <c r="S4971" s="1">
        <v>0.13969999999999999</v>
      </c>
      <c r="T4971" s="1">
        <v>7.5600000000000001E-2</v>
      </c>
      <c r="U4971" s="1">
        <v>7.9600000000000004E-2</v>
      </c>
      <c r="V4971" s="1">
        <v>2.6499999999999999E-2</v>
      </c>
      <c r="W4971" s="1">
        <v>3.9100000000000003E-2</v>
      </c>
      <c r="X4971" s="1">
        <v>7.8899999999999998E-2</v>
      </c>
      <c r="Y4971" s="1">
        <v>8.72E-2</v>
      </c>
      <c r="AA4971" s="1">
        <v>0.1</v>
      </c>
      <c r="AB4971" s="1">
        <v>3.5799999999999998E-2</v>
      </c>
      <c r="AC4971" s="1">
        <v>2.6499999999999999E-2</v>
      </c>
    </row>
    <row r="4972" spans="1:31" s="26" customFormat="1">
      <c r="A4972" s="26" t="s">
        <v>236</v>
      </c>
      <c r="B4972" s="26" t="s">
        <v>199</v>
      </c>
      <c r="C4972" s="26">
        <v>20</v>
      </c>
      <c r="D4972" s="26" t="s">
        <v>200</v>
      </c>
      <c r="E4972" s="26">
        <v>741</v>
      </c>
      <c r="F4972" s="27">
        <v>0.215</v>
      </c>
      <c r="G4972" s="27">
        <v>0.2576</v>
      </c>
      <c r="H4972" s="27">
        <v>0.86709999999999998</v>
      </c>
      <c r="J4972" s="27">
        <v>4.2599999999999999E-2</v>
      </c>
      <c r="K4972" s="27">
        <v>0.1913</v>
      </c>
      <c r="N4972" s="27">
        <v>0.60550000000000004</v>
      </c>
      <c r="O4972" s="27">
        <v>0.4637</v>
      </c>
      <c r="Q4972" s="27">
        <v>0.219</v>
      </c>
      <c r="R4972" s="27">
        <v>7.7200000000000005E-2</v>
      </c>
      <c r="S4972" s="27">
        <v>0.121</v>
      </c>
      <c r="W4972" s="27">
        <v>0.37559999999999999</v>
      </c>
      <c r="X4972" s="27">
        <v>0.38650000000000001</v>
      </c>
      <c r="AA4972" s="27">
        <v>0.215</v>
      </c>
      <c r="AD4972" s="27">
        <v>4.2599999999999999E-2</v>
      </c>
    </row>
    <row r="4973" spans="1:31">
      <c r="A4973" t="s">
        <v>235</v>
      </c>
      <c r="B4973" t="s">
        <v>199</v>
      </c>
      <c r="C4973">
        <v>35</v>
      </c>
      <c r="D4973" t="s">
        <v>200</v>
      </c>
      <c r="E4973">
        <v>741</v>
      </c>
      <c r="G4973" s="1">
        <v>0.33410000000000001</v>
      </c>
      <c r="H4973" s="1">
        <v>0.96230000000000004</v>
      </c>
      <c r="J4973" s="1">
        <v>1.8800000000000001E-2</v>
      </c>
      <c r="K4973" s="1">
        <v>3.8E-3</v>
      </c>
      <c r="M4973" s="1">
        <v>0.12590000000000001</v>
      </c>
      <c r="N4973" s="1">
        <v>0.49280000000000002</v>
      </c>
      <c r="O4973" s="1">
        <v>0.65149999999999997</v>
      </c>
      <c r="P4973" s="1">
        <v>3.8E-3</v>
      </c>
      <c r="Q4973" s="1">
        <v>0.41399999999999998</v>
      </c>
      <c r="S4973" s="1">
        <v>3.8E-3</v>
      </c>
      <c r="U4973" s="1">
        <v>3.8E-3</v>
      </c>
      <c r="V4973" s="1">
        <v>3.8E-3</v>
      </c>
      <c r="W4973" s="1">
        <v>0.2853</v>
      </c>
      <c r="X4973" s="1">
        <v>0.42609999999999998</v>
      </c>
      <c r="Y4973" s="1">
        <v>0.16320000000000001</v>
      </c>
      <c r="AA4973" s="1">
        <v>0.50690000000000002</v>
      </c>
      <c r="AB4973" s="1">
        <v>3.8E-3</v>
      </c>
      <c r="AD4973" s="1">
        <v>0.1108</v>
      </c>
      <c r="AE4973" s="1">
        <v>0.1108</v>
      </c>
    </row>
    <row r="4974" spans="1:31" s="26" customFormat="1">
      <c r="A4974" s="26" t="s">
        <v>236</v>
      </c>
      <c r="B4974" s="26" t="s">
        <v>199</v>
      </c>
      <c r="C4974" s="26">
        <v>26</v>
      </c>
      <c r="D4974" s="26" t="s">
        <v>202</v>
      </c>
      <c r="E4974" s="26">
        <v>741</v>
      </c>
      <c r="H4974" s="27">
        <v>0.4829</v>
      </c>
      <c r="K4974" s="27">
        <v>0.1052</v>
      </c>
      <c r="N4974" s="27">
        <v>0.25900000000000001</v>
      </c>
      <c r="O4974" s="27">
        <v>0.20960000000000001</v>
      </c>
      <c r="P4974" s="27">
        <v>7.3899999999999993E-2</v>
      </c>
      <c r="R4974" s="27">
        <v>0.13750000000000001</v>
      </c>
      <c r="S4974" s="27">
        <v>0.17</v>
      </c>
      <c r="T4974" s="27">
        <v>4.58E-2</v>
      </c>
      <c r="U4974" s="27">
        <v>4.5100000000000001E-2</v>
      </c>
      <c r="W4974" s="27">
        <v>0.1014</v>
      </c>
      <c r="X4974" s="27">
        <v>0.17879999999999999</v>
      </c>
      <c r="Y4974" s="27">
        <v>4.58E-2</v>
      </c>
      <c r="Z4974" s="27">
        <v>4.1300000000000003E-2</v>
      </c>
      <c r="AA4974" s="27">
        <v>0.31080000000000002</v>
      </c>
      <c r="AB4974" s="27">
        <v>9.1700000000000004E-2</v>
      </c>
      <c r="AD4974" s="27">
        <v>4.1300000000000003E-2</v>
      </c>
    </row>
    <row r="4975" spans="1:31">
      <c r="A4975" t="s">
        <v>235</v>
      </c>
      <c r="B4975" t="s">
        <v>199</v>
      </c>
      <c r="C4975">
        <v>74</v>
      </c>
      <c r="D4975" t="s">
        <v>201</v>
      </c>
      <c r="E4975">
        <v>741</v>
      </c>
      <c r="F4975" s="1">
        <v>5.4100000000000002E-2</v>
      </c>
      <c r="G4975" s="1">
        <v>1.35E-2</v>
      </c>
      <c r="H4975" s="1">
        <v>0.56759999999999999</v>
      </c>
      <c r="J4975" s="1">
        <v>8.1100000000000005E-2</v>
      </c>
      <c r="K4975" s="1">
        <v>0.18920000000000001</v>
      </c>
      <c r="L4975" s="1">
        <v>8.1100000000000005E-2</v>
      </c>
      <c r="M4975" s="1">
        <v>8.1100000000000005E-2</v>
      </c>
      <c r="N4975" s="1">
        <v>0.33779999999999999</v>
      </c>
      <c r="O4975" s="1">
        <v>0.31080000000000002</v>
      </c>
      <c r="P4975" s="1">
        <v>4.0500000000000001E-2</v>
      </c>
      <c r="Q4975" s="1">
        <v>6.7599999999999993E-2</v>
      </c>
      <c r="R4975" s="1">
        <v>0.1351</v>
      </c>
      <c r="S4975" s="1">
        <v>6.7599999999999993E-2</v>
      </c>
      <c r="T4975" s="1">
        <v>2.7E-2</v>
      </c>
      <c r="U4975" s="1">
        <v>4.0500000000000001E-2</v>
      </c>
      <c r="W4975" s="1">
        <v>0.1081</v>
      </c>
      <c r="X4975" s="1">
        <v>0.1757</v>
      </c>
      <c r="Y4975" s="1">
        <v>0.1081</v>
      </c>
      <c r="AA4975" s="1">
        <v>0.1081</v>
      </c>
      <c r="AB4975" s="1">
        <v>2.7E-2</v>
      </c>
      <c r="AC4975" s="1">
        <v>2.7E-2</v>
      </c>
      <c r="AD4975" s="1">
        <v>1.35E-2</v>
      </c>
    </row>
    <row r="4976" spans="1:31" s="26" customFormat="1">
      <c r="A4976" s="26" t="s">
        <v>236</v>
      </c>
      <c r="B4976" s="26" t="s">
        <v>209</v>
      </c>
      <c r="C4976" s="26">
        <v>27</v>
      </c>
      <c r="D4976" s="26" t="s">
        <v>211</v>
      </c>
      <c r="E4976" s="26">
        <v>741</v>
      </c>
      <c r="F4976" s="27">
        <v>0.2215</v>
      </c>
      <c r="G4976" s="27">
        <v>0.40679999999999999</v>
      </c>
      <c r="H4976" s="27">
        <v>0.49009999999999998</v>
      </c>
      <c r="I4976" s="27">
        <v>7.5399999999999995E-2</v>
      </c>
      <c r="J4976" s="27">
        <v>0.4037</v>
      </c>
      <c r="K4976" s="27">
        <v>0.1147</v>
      </c>
      <c r="L4976" s="27">
        <v>7.5399999999999995E-2</v>
      </c>
      <c r="M4976" s="27">
        <v>0.3165</v>
      </c>
      <c r="N4976" s="27">
        <v>0.49359999999999998</v>
      </c>
      <c r="O4976" s="27">
        <v>0.28999999999999998</v>
      </c>
      <c r="P4976" s="27">
        <v>7.5399999999999995E-2</v>
      </c>
      <c r="Q4976" s="27">
        <v>0.31140000000000001</v>
      </c>
      <c r="R4976" s="27">
        <v>0.15079999999999999</v>
      </c>
      <c r="S4976" s="27">
        <v>0.1017</v>
      </c>
      <c r="T4976" s="27">
        <v>1.9599999999999999E-2</v>
      </c>
      <c r="W4976" s="27">
        <v>0.32129999999999997</v>
      </c>
      <c r="X4976" s="27">
        <v>0.52810000000000001</v>
      </c>
      <c r="Y4976" s="27">
        <v>7.5399999999999995E-2</v>
      </c>
      <c r="Z4976" s="27">
        <v>6.5500000000000003E-2</v>
      </c>
      <c r="AA4976" s="27">
        <v>7.85E-2</v>
      </c>
      <c r="AB4976" s="27">
        <v>7.5399999999999995E-2</v>
      </c>
      <c r="AD4976" s="27">
        <v>0.1409</v>
      </c>
    </row>
    <row r="4977" spans="1:31">
      <c r="A4977" t="s">
        <v>235</v>
      </c>
      <c r="B4977" t="s">
        <v>209</v>
      </c>
      <c r="C4977">
        <v>46</v>
      </c>
      <c r="D4977" t="s">
        <v>211</v>
      </c>
      <c r="E4977">
        <v>741</v>
      </c>
      <c r="F4977" s="1">
        <v>7.4499999999999997E-2</v>
      </c>
      <c r="G4977" s="1">
        <v>0.1042</v>
      </c>
      <c r="H4977" s="1">
        <v>0.58860000000000001</v>
      </c>
      <c r="J4977" s="1">
        <v>8.7300000000000003E-2</v>
      </c>
      <c r="K4977" s="1">
        <v>0.1489</v>
      </c>
      <c r="L4977" s="1">
        <v>3.2599999999999997E-2</v>
      </c>
      <c r="M4977" s="1">
        <v>7.8799999999999995E-2</v>
      </c>
      <c r="N4977" s="1">
        <v>0.28220000000000001</v>
      </c>
      <c r="O4977" s="1">
        <v>0.21629999999999999</v>
      </c>
      <c r="P4977" s="1">
        <v>6.5199999999999994E-2</v>
      </c>
      <c r="Q4977" s="1">
        <v>9.6500000000000002E-2</v>
      </c>
      <c r="R4977" s="1">
        <v>0.13550000000000001</v>
      </c>
      <c r="S4977" s="1">
        <v>7.2400000000000006E-2</v>
      </c>
      <c r="T4977" s="1">
        <v>6.0900000000000003E-2</v>
      </c>
      <c r="U4977" s="1">
        <v>5.8799999999999998E-2</v>
      </c>
      <c r="V4977" s="1">
        <v>4.82E-2</v>
      </c>
      <c r="W4977" s="1">
        <v>9.1499999999999998E-2</v>
      </c>
      <c r="X4977" s="1">
        <v>0.18790000000000001</v>
      </c>
      <c r="Y4977" s="1">
        <v>5.04E-2</v>
      </c>
      <c r="Z4977" s="1">
        <v>1.7000000000000001E-2</v>
      </c>
      <c r="AA4977" s="1">
        <v>0.24890000000000001</v>
      </c>
      <c r="AB4977" s="1">
        <v>1.9800000000000002E-2</v>
      </c>
      <c r="AD4977" s="1">
        <v>6.9400000000000003E-2</v>
      </c>
    </row>
    <row r="4978" spans="1:31">
      <c r="A4978" t="s">
        <v>235</v>
      </c>
      <c r="B4978" t="s">
        <v>209</v>
      </c>
      <c r="C4978">
        <v>56</v>
      </c>
      <c r="D4978" t="s">
        <v>212</v>
      </c>
      <c r="E4978">
        <v>741</v>
      </c>
      <c r="G4978" s="1">
        <v>3.7499999999999999E-2</v>
      </c>
      <c r="H4978" s="1">
        <v>0.5675</v>
      </c>
      <c r="I4978" s="1">
        <v>1.01E-2</v>
      </c>
      <c r="J4978" s="1">
        <v>0.1147</v>
      </c>
      <c r="K4978" s="1">
        <v>0.13719999999999999</v>
      </c>
      <c r="L4978" s="1">
        <v>5.4100000000000002E-2</v>
      </c>
      <c r="M4978" s="1">
        <v>0.1789</v>
      </c>
      <c r="N4978" s="1">
        <v>0.30320000000000003</v>
      </c>
      <c r="O4978" s="1">
        <v>0.2248</v>
      </c>
      <c r="P4978" s="1">
        <v>3.5000000000000003E-2</v>
      </c>
      <c r="Q4978" s="1">
        <v>9.8900000000000002E-2</v>
      </c>
      <c r="R4978" s="1">
        <v>0.1305</v>
      </c>
      <c r="S4978" s="1">
        <v>4.8300000000000003E-2</v>
      </c>
      <c r="T4978" s="1">
        <v>1.9099999999999999E-2</v>
      </c>
      <c r="U4978" s="1">
        <v>3.8199999999999998E-2</v>
      </c>
      <c r="V4978" s="1">
        <v>1.5800000000000002E-2</v>
      </c>
      <c r="W4978" s="1">
        <v>0.16800000000000001</v>
      </c>
      <c r="X4978" s="1">
        <v>0.20050000000000001</v>
      </c>
      <c r="Y4978" s="1">
        <v>7.3200000000000001E-2</v>
      </c>
      <c r="Z4978" s="1">
        <v>1.84E-2</v>
      </c>
      <c r="AA4978" s="1">
        <v>0.1905</v>
      </c>
      <c r="AB4978" s="1">
        <v>5.7299999999999997E-2</v>
      </c>
      <c r="AC4978" s="1">
        <v>1.9099999999999999E-2</v>
      </c>
      <c r="AE4978" s="1">
        <v>1.84E-2</v>
      </c>
    </row>
    <row r="4979" spans="1:31" s="26" customFormat="1">
      <c r="A4979" s="26" t="s">
        <v>236</v>
      </c>
      <c r="B4979" s="26" t="s">
        <v>209</v>
      </c>
      <c r="C4979" s="26">
        <v>12</v>
      </c>
      <c r="D4979" s="26" t="s">
        <v>212</v>
      </c>
      <c r="E4979" s="26">
        <v>741</v>
      </c>
      <c r="G4979" s="27">
        <v>2.5600000000000001E-2</v>
      </c>
      <c r="H4979" s="27">
        <v>0.87890000000000001</v>
      </c>
      <c r="J4979" s="27">
        <v>0.14050000000000001</v>
      </c>
      <c r="K4979" s="27">
        <v>5.1200000000000002E-2</v>
      </c>
      <c r="L4979" s="27">
        <v>2.5600000000000001E-2</v>
      </c>
      <c r="M4979" s="27">
        <v>0.1211</v>
      </c>
      <c r="N4979" s="27">
        <v>0.68210000000000004</v>
      </c>
      <c r="O4979" s="27">
        <v>0.34470000000000001</v>
      </c>
      <c r="Q4979" s="27">
        <v>0.1467</v>
      </c>
      <c r="R4979" s="27">
        <v>0.1211</v>
      </c>
      <c r="T4979" s="27">
        <v>5.1200000000000002E-2</v>
      </c>
      <c r="W4979" s="27">
        <v>0.50390000000000001</v>
      </c>
      <c r="X4979" s="27">
        <v>0.24229999999999999</v>
      </c>
      <c r="AA4979" s="27">
        <v>0.28670000000000001</v>
      </c>
      <c r="AB4979" s="27">
        <v>0.14050000000000001</v>
      </c>
      <c r="AD4979" s="27">
        <v>0.1211</v>
      </c>
      <c r="AE4979" s="27">
        <v>0.1211</v>
      </c>
    </row>
    <row r="4980" spans="1:31" s="26" customFormat="1">
      <c r="A4980" s="26" t="s">
        <v>236</v>
      </c>
      <c r="B4980" s="26" t="s">
        <v>209</v>
      </c>
      <c r="C4980" s="26">
        <v>26</v>
      </c>
      <c r="D4980" s="26" t="s">
        <v>210</v>
      </c>
      <c r="E4980" s="26">
        <v>741</v>
      </c>
      <c r="G4980" s="27">
        <v>6.3299999999999995E-2</v>
      </c>
      <c r="H4980" s="27">
        <v>0.64429999999999998</v>
      </c>
      <c r="J4980" s="27">
        <v>0.19370000000000001</v>
      </c>
      <c r="K4980" s="27">
        <v>0.12659999999999999</v>
      </c>
      <c r="L4980" s="27">
        <v>0.16200000000000001</v>
      </c>
      <c r="M4980" s="27">
        <v>0.13039999999999999</v>
      </c>
      <c r="N4980" s="27">
        <v>0.16569999999999999</v>
      </c>
      <c r="O4980" s="27">
        <v>0.29239999999999999</v>
      </c>
      <c r="Q4980" s="27">
        <v>3.1699999999999999E-2</v>
      </c>
      <c r="R4980" s="27">
        <v>3.1699999999999999E-2</v>
      </c>
      <c r="V4980" s="27">
        <v>3.1699999999999999E-2</v>
      </c>
      <c r="W4980" s="27">
        <v>9.5000000000000001E-2</v>
      </c>
      <c r="X4980" s="27">
        <v>0.16200000000000001</v>
      </c>
      <c r="Y4980" s="27">
        <v>3.1699999999999999E-2</v>
      </c>
      <c r="AA4980" s="27">
        <v>0.13039999999999999</v>
      </c>
      <c r="AB4980" s="27">
        <v>3.1699999999999999E-2</v>
      </c>
      <c r="AD4980" s="27">
        <v>3.1699999999999999E-2</v>
      </c>
      <c r="AE4980" s="27">
        <v>3.1699999999999999E-2</v>
      </c>
    </row>
    <row r="4981" spans="1:31" s="26" customFormat="1">
      <c r="A4981" s="26" t="s">
        <v>235</v>
      </c>
      <c r="B4981" s="26" t="s">
        <v>209</v>
      </c>
      <c r="C4981" s="26">
        <v>27</v>
      </c>
      <c r="D4981" s="26" t="s">
        <v>210</v>
      </c>
      <c r="E4981" s="26">
        <v>741</v>
      </c>
      <c r="F4981" s="27">
        <v>3.78E-2</v>
      </c>
      <c r="G4981" s="27">
        <v>9.3399999999999997E-2</v>
      </c>
      <c r="H4981" s="27">
        <v>0.54669999999999996</v>
      </c>
      <c r="I4981" s="27">
        <v>3.78E-2</v>
      </c>
      <c r="J4981" s="27">
        <v>7.5600000000000001E-2</v>
      </c>
      <c r="K4981" s="27">
        <v>0.13120000000000001</v>
      </c>
      <c r="M4981" s="27">
        <v>7.5600000000000001E-2</v>
      </c>
      <c r="N4981" s="27">
        <v>0.15110000000000001</v>
      </c>
      <c r="O4981" s="27">
        <v>0.2445</v>
      </c>
      <c r="Q4981" s="27">
        <v>3.78E-2</v>
      </c>
      <c r="R4981" s="27">
        <v>7.5600000000000001E-2</v>
      </c>
      <c r="S4981" s="27">
        <v>0.15110000000000001</v>
      </c>
      <c r="W4981" s="27">
        <v>7.5600000000000001E-2</v>
      </c>
      <c r="X4981" s="27">
        <v>9.3399999999999997E-2</v>
      </c>
      <c r="Y4981" s="27">
        <v>7.5600000000000001E-2</v>
      </c>
      <c r="AA4981" s="27">
        <v>0.20669999999999999</v>
      </c>
      <c r="AB4981" s="27">
        <v>1.78E-2</v>
      </c>
      <c r="AD4981" s="27">
        <v>7.5600000000000001E-2</v>
      </c>
    </row>
    <row r="4983" spans="1:31">
      <c r="A4983" t="s">
        <v>1093</v>
      </c>
    </row>
    <row r="4984" spans="1:31">
      <c r="A4984" t="s">
        <v>189</v>
      </c>
      <c r="B4984" t="s">
        <v>195</v>
      </c>
      <c r="C4984" t="s">
        <v>190</v>
      </c>
      <c r="D4984" t="s">
        <v>196</v>
      </c>
      <c r="E4984" t="s">
        <v>1094</v>
      </c>
      <c r="F4984" t="s">
        <v>1095</v>
      </c>
      <c r="G4984" t="s">
        <v>228</v>
      </c>
      <c r="H4984" t="s">
        <v>1096</v>
      </c>
      <c r="I4984" t="s">
        <v>1097</v>
      </c>
      <c r="J4984" t="s">
        <v>1098</v>
      </c>
      <c r="K4984" t="s">
        <v>1099</v>
      </c>
      <c r="L4984" t="s">
        <v>1100</v>
      </c>
    </row>
    <row r="4985" spans="1:31">
      <c r="A4985" t="s">
        <v>197</v>
      </c>
      <c r="B4985">
        <v>968</v>
      </c>
      <c r="C4985" t="s">
        <v>198</v>
      </c>
      <c r="D4985">
        <v>968</v>
      </c>
      <c r="E4985" s="1">
        <v>0.42699999999999999</v>
      </c>
      <c r="F4985" s="1">
        <v>0.2712</v>
      </c>
      <c r="G4985" s="1">
        <v>3.1800000000000002E-2</v>
      </c>
      <c r="H4985" s="1">
        <v>7.0099999999999996E-2</v>
      </c>
      <c r="I4985" s="1">
        <v>0.13089999999999999</v>
      </c>
      <c r="J4985" s="1">
        <v>2E-3</v>
      </c>
      <c r="K4985" s="1">
        <v>2.98E-2</v>
      </c>
      <c r="L4985" s="1">
        <v>3.73E-2</v>
      </c>
    </row>
    <row r="4986" spans="1:31">
      <c r="A4986" t="s">
        <v>204</v>
      </c>
      <c r="B4986">
        <v>91</v>
      </c>
      <c r="C4986" t="s">
        <v>205</v>
      </c>
      <c r="D4986">
        <v>968</v>
      </c>
      <c r="E4986" s="1">
        <v>0.25130000000000002</v>
      </c>
      <c r="F4986" s="1">
        <v>0.45619999999999999</v>
      </c>
      <c r="G4986" s="1">
        <v>8.0000000000000002E-3</v>
      </c>
      <c r="H4986" s="1">
        <v>6.93E-2</v>
      </c>
      <c r="I4986" s="1">
        <v>0.1749</v>
      </c>
      <c r="K4986" s="1">
        <v>4.0300000000000002E-2</v>
      </c>
    </row>
    <row r="4987" spans="1:31">
      <c r="A4987" t="s">
        <v>204</v>
      </c>
      <c r="B4987">
        <v>72</v>
      </c>
      <c r="C4987" t="s">
        <v>206</v>
      </c>
      <c r="D4987">
        <v>968</v>
      </c>
      <c r="E4987" s="1">
        <v>0.60929999999999995</v>
      </c>
      <c r="F4987" s="1">
        <v>0.15579999999999999</v>
      </c>
      <c r="G4987" s="1">
        <v>2.7900000000000001E-2</v>
      </c>
      <c r="H4987" s="1">
        <v>3.2500000000000001E-2</v>
      </c>
      <c r="I4987" s="1">
        <v>0.14660000000000001</v>
      </c>
      <c r="K4987" s="1">
        <v>2.7900000000000001E-2</v>
      </c>
    </row>
    <row r="4988" spans="1:31">
      <c r="A4988" t="s">
        <v>204</v>
      </c>
      <c r="B4988">
        <v>131</v>
      </c>
      <c r="C4988" t="s">
        <v>207</v>
      </c>
      <c r="D4988">
        <v>968</v>
      </c>
      <c r="E4988" s="1">
        <v>0.48259999999999997</v>
      </c>
      <c r="F4988" s="1">
        <v>0.12870000000000001</v>
      </c>
      <c r="G4988" s="1">
        <v>6.08E-2</v>
      </c>
      <c r="H4988" s="1">
        <v>9.6299999999999997E-2</v>
      </c>
      <c r="I4988" s="1">
        <v>0.12540000000000001</v>
      </c>
      <c r="K4988" s="1">
        <v>5.57E-2</v>
      </c>
      <c r="L4988" s="1">
        <v>5.04E-2</v>
      </c>
    </row>
    <row r="4989" spans="1:31">
      <c r="A4989" t="s">
        <v>204</v>
      </c>
      <c r="B4989">
        <v>74</v>
      </c>
      <c r="C4989" t="s">
        <v>208</v>
      </c>
      <c r="D4989">
        <v>968</v>
      </c>
      <c r="E4989" s="1">
        <v>0.5</v>
      </c>
      <c r="F4989" s="1">
        <v>0.39190000000000003</v>
      </c>
      <c r="I4989" s="1">
        <v>6.7599999999999993E-2</v>
      </c>
      <c r="K4989" s="1">
        <v>1.35E-2</v>
      </c>
      <c r="L4989" s="1">
        <v>2.7E-2</v>
      </c>
    </row>
    <row r="4990" spans="1:31">
      <c r="A4990" t="s">
        <v>199</v>
      </c>
      <c r="B4990">
        <v>73</v>
      </c>
      <c r="C4990" t="s">
        <v>200</v>
      </c>
      <c r="D4990">
        <v>968</v>
      </c>
      <c r="E4990" s="1">
        <v>0.70709999999999995</v>
      </c>
      <c r="F4990" s="1">
        <v>0.22120000000000001</v>
      </c>
      <c r="G4990" s="1">
        <v>5.5899999999999998E-2</v>
      </c>
      <c r="I4990" s="1">
        <v>1.4200000000000001E-2</v>
      </c>
      <c r="K4990" s="1">
        <v>1.6000000000000001E-3</v>
      </c>
    </row>
    <row r="4991" spans="1:31">
      <c r="A4991" t="s">
        <v>199</v>
      </c>
      <c r="B4991">
        <v>96</v>
      </c>
      <c r="C4991" t="s">
        <v>201</v>
      </c>
      <c r="D4991">
        <v>968</v>
      </c>
      <c r="E4991" s="1">
        <v>0.5</v>
      </c>
      <c r="F4991" s="1">
        <v>0.25</v>
      </c>
      <c r="G4991" s="1">
        <v>1.04E-2</v>
      </c>
      <c r="H4991" s="1">
        <v>6.25E-2</v>
      </c>
      <c r="I4991" s="1">
        <v>7.2900000000000006E-2</v>
      </c>
      <c r="K4991" s="1">
        <v>3.1199999999999999E-2</v>
      </c>
      <c r="L4991" s="1">
        <v>7.2900000000000006E-2</v>
      </c>
    </row>
    <row r="4992" spans="1:31">
      <c r="A4992" t="s">
        <v>199</v>
      </c>
      <c r="B4992">
        <v>98</v>
      </c>
      <c r="C4992" t="s">
        <v>202</v>
      </c>
      <c r="D4992">
        <v>968</v>
      </c>
      <c r="E4992" s="1">
        <v>0.35630000000000001</v>
      </c>
      <c r="F4992" s="1">
        <v>0.19769999999999999</v>
      </c>
      <c r="G4992" s="1">
        <v>5.2600000000000001E-2</v>
      </c>
      <c r="H4992" s="1">
        <v>0.16889999999999999</v>
      </c>
      <c r="I4992" s="1">
        <v>0.13950000000000001</v>
      </c>
      <c r="J4992" s="1">
        <v>1.35E-2</v>
      </c>
      <c r="K4992" s="1">
        <v>2.2599999999999999E-2</v>
      </c>
      <c r="L4992" s="1">
        <v>4.8899999999999999E-2</v>
      </c>
    </row>
    <row r="4993" spans="1:13">
      <c r="A4993" t="s">
        <v>199</v>
      </c>
      <c r="B4993">
        <v>77</v>
      </c>
      <c r="C4993" t="s">
        <v>203</v>
      </c>
      <c r="D4993">
        <v>968</v>
      </c>
      <c r="E4993" s="1">
        <v>0.53280000000000005</v>
      </c>
      <c r="F4993" s="1">
        <v>0.15240000000000001</v>
      </c>
      <c r="G4993" s="1">
        <v>9.7500000000000003E-2</v>
      </c>
      <c r="H4993" s="1">
        <v>1.5699999999999999E-2</v>
      </c>
      <c r="I4993" s="1">
        <v>0.15609999999999999</v>
      </c>
      <c r="K4993" s="1">
        <v>1.8599999999999998E-2</v>
      </c>
      <c r="L4993" s="1">
        <v>2.69E-2</v>
      </c>
    </row>
    <row r="4994" spans="1:13">
      <c r="A4994" t="s">
        <v>209</v>
      </c>
      <c r="B4994">
        <v>74</v>
      </c>
      <c r="C4994" t="s">
        <v>210</v>
      </c>
      <c r="D4994">
        <v>968</v>
      </c>
      <c r="E4994" s="1">
        <v>0.64410000000000001</v>
      </c>
      <c r="F4994" s="1">
        <v>0.15609999999999999</v>
      </c>
      <c r="G4994" s="1">
        <v>4.2700000000000002E-2</v>
      </c>
      <c r="H4994" s="1">
        <v>1.77E-2</v>
      </c>
      <c r="I4994" s="1">
        <v>7.9000000000000001E-2</v>
      </c>
      <c r="K4994" s="1">
        <v>8.3000000000000001E-3</v>
      </c>
      <c r="L4994" s="1">
        <v>5.1999999999999998E-2</v>
      </c>
    </row>
    <row r="4995" spans="1:13">
      <c r="A4995" t="s">
        <v>209</v>
      </c>
      <c r="B4995">
        <v>97</v>
      </c>
      <c r="C4995" t="s">
        <v>211</v>
      </c>
      <c r="D4995">
        <v>968</v>
      </c>
      <c r="E4995" s="1">
        <v>0.34560000000000002</v>
      </c>
      <c r="F4995" s="1">
        <v>0.2712</v>
      </c>
      <c r="G4995" s="1">
        <v>3.61E-2</v>
      </c>
      <c r="H4995" s="1">
        <v>6.4399999999999999E-2</v>
      </c>
      <c r="I4995" s="1">
        <v>0.24809999999999999</v>
      </c>
      <c r="K4995" s="1">
        <v>1.83E-2</v>
      </c>
      <c r="L4995" s="1">
        <v>1.6299999999999999E-2</v>
      </c>
    </row>
    <row r="4996" spans="1:13">
      <c r="A4996" t="s">
        <v>209</v>
      </c>
      <c r="B4996">
        <v>85</v>
      </c>
      <c r="C4996" t="s">
        <v>212</v>
      </c>
      <c r="D4996">
        <v>968</v>
      </c>
      <c r="E4996" s="1">
        <v>0.505</v>
      </c>
      <c r="F4996" s="1">
        <v>0.25840000000000002</v>
      </c>
      <c r="G4996" s="1">
        <v>3.3599999999999998E-2</v>
      </c>
      <c r="I4996" s="1">
        <v>0.1537</v>
      </c>
      <c r="K4996" s="1">
        <v>7.4000000000000003E-3</v>
      </c>
      <c r="L4996" s="1">
        <v>4.19E-2</v>
      </c>
    </row>
    <row r="4998" spans="1:13">
      <c r="A4998" t="s">
        <v>1101</v>
      </c>
    </row>
    <row r="4999" spans="1:13">
      <c r="A4999" t="s">
        <v>214</v>
      </c>
      <c r="B4999" t="s">
        <v>189</v>
      </c>
      <c r="C4999" t="s">
        <v>195</v>
      </c>
      <c r="D4999" t="s">
        <v>190</v>
      </c>
      <c r="E4999" t="s">
        <v>196</v>
      </c>
      <c r="F4999" t="s">
        <v>1094</v>
      </c>
      <c r="G4999" t="s">
        <v>1095</v>
      </c>
      <c r="H4999" t="s">
        <v>228</v>
      </c>
      <c r="I4999" t="s">
        <v>1096</v>
      </c>
      <c r="J4999" t="s">
        <v>1097</v>
      </c>
      <c r="K4999" t="s">
        <v>1098</v>
      </c>
      <c r="L4999" t="s">
        <v>1099</v>
      </c>
      <c r="M4999" t="s">
        <v>1100</v>
      </c>
    </row>
    <row r="5000" spans="1:13">
      <c r="A5000" t="s">
        <v>198</v>
      </c>
      <c r="B5000" t="s">
        <v>197</v>
      </c>
      <c r="C5000">
        <v>968</v>
      </c>
      <c r="D5000" t="s">
        <v>198</v>
      </c>
      <c r="E5000">
        <v>968</v>
      </c>
      <c r="F5000" s="1">
        <v>0.42699999999999999</v>
      </c>
      <c r="G5000" s="1">
        <v>0.2712</v>
      </c>
      <c r="H5000" s="1">
        <v>3.1800000000000002E-2</v>
      </c>
      <c r="I5000" s="1">
        <v>7.0099999999999996E-2</v>
      </c>
      <c r="J5000" s="1">
        <v>0.13089999999999999</v>
      </c>
      <c r="K5000" s="1">
        <v>2E-3</v>
      </c>
      <c r="L5000" s="1">
        <v>2.98E-2</v>
      </c>
      <c r="M5000" s="1">
        <v>3.73E-2</v>
      </c>
    </row>
    <row r="5001" spans="1:13">
      <c r="A5001" t="s">
        <v>235</v>
      </c>
      <c r="B5001" t="s">
        <v>204</v>
      </c>
      <c r="C5001">
        <v>63</v>
      </c>
      <c r="D5001" t="s">
        <v>208</v>
      </c>
      <c r="E5001">
        <v>968</v>
      </c>
      <c r="F5001" s="1">
        <v>0.47620000000000001</v>
      </c>
      <c r="G5001" s="1">
        <v>0.42859999999999998</v>
      </c>
      <c r="J5001" s="1">
        <v>6.3500000000000001E-2</v>
      </c>
      <c r="L5001" s="1">
        <v>1.5900000000000001E-2</v>
      </c>
      <c r="M5001" s="1">
        <v>1.5900000000000001E-2</v>
      </c>
    </row>
    <row r="5002" spans="1:13">
      <c r="A5002" t="s">
        <v>236</v>
      </c>
      <c r="B5002" t="s">
        <v>204</v>
      </c>
      <c r="C5002">
        <v>32</v>
      </c>
      <c r="D5002" t="s">
        <v>205</v>
      </c>
      <c r="E5002">
        <v>968</v>
      </c>
      <c r="F5002" s="1">
        <v>0.31090000000000001</v>
      </c>
      <c r="G5002" s="1">
        <v>0.2487</v>
      </c>
      <c r="H5002" s="1">
        <v>1.7899999999999999E-2</v>
      </c>
      <c r="I5002" s="1">
        <v>0.25409999999999999</v>
      </c>
      <c r="J5002" s="1">
        <v>0.16839999999999999</v>
      </c>
    </row>
    <row r="5003" spans="1:13">
      <c r="A5003" t="s">
        <v>235</v>
      </c>
      <c r="B5003" t="s">
        <v>204</v>
      </c>
      <c r="C5003">
        <v>58</v>
      </c>
      <c r="D5003" t="s">
        <v>205</v>
      </c>
      <c r="E5003">
        <v>968</v>
      </c>
      <c r="F5003" s="1">
        <v>0.2361</v>
      </c>
      <c r="G5003" s="1">
        <v>0.50260000000000005</v>
      </c>
      <c r="H5003" s="1">
        <v>5.8999999999999999E-3</v>
      </c>
      <c r="I5003" s="1">
        <v>2.93E-2</v>
      </c>
      <c r="J5003" s="1">
        <v>0.17680000000000001</v>
      </c>
      <c r="L5003" s="1">
        <v>4.9200000000000001E-2</v>
      </c>
    </row>
    <row r="5004" spans="1:13" s="26" customFormat="1">
      <c r="A5004" s="26" t="s">
        <v>236</v>
      </c>
      <c r="B5004" s="26" t="s">
        <v>204</v>
      </c>
      <c r="C5004" s="26">
        <v>21</v>
      </c>
      <c r="D5004" s="26" t="s">
        <v>206</v>
      </c>
      <c r="E5004" s="26">
        <v>968</v>
      </c>
      <c r="F5004" s="27">
        <v>0.76919999999999999</v>
      </c>
      <c r="G5004" s="27">
        <v>8.5500000000000007E-2</v>
      </c>
      <c r="J5004" s="27">
        <v>8.5500000000000007E-2</v>
      </c>
      <c r="L5004" s="27">
        <v>5.9700000000000003E-2</v>
      </c>
    </row>
    <row r="5005" spans="1:13">
      <c r="A5005" t="s">
        <v>235</v>
      </c>
      <c r="B5005" t="s">
        <v>204</v>
      </c>
      <c r="C5005">
        <v>47</v>
      </c>
      <c r="D5005" t="s">
        <v>206</v>
      </c>
      <c r="E5005">
        <v>968</v>
      </c>
      <c r="F5005" s="1">
        <v>0.53259999999999996</v>
      </c>
      <c r="G5005" s="1">
        <v>0.1958</v>
      </c>
      <c r="H5005" s="1">
        <v>2.4E-2</v>
      </c>
      <c r="I5005" s="1">
        <v>4.8099999999999997E-2</v>
      </c>
      <c r="J5005" s="1">
        <v>0.1822</v>
      </c>
      <c r="L5005" s="1">
        <v>1.72E-2</v>
      </c>
    </row>
    <row r="5006" spans="1:13">
      <c r="A5006" t="s">
        <v>236</v>
      </c>
      <c r="B5006" t="s">
        <v>204</v>
      </c>
      <c r="C5006">
        <v>81</v>
      </c>
      <c r="D5006" t="s">
        <v>207</v>
      </c>
      <c r="E5006">
        <v>968</v>
      </c>
      <c r="F5006" s="1">
        <v>0.49380000000000002</v>
      </c>
      <c r="G5006" s="1">
        <v>0.16930000000000001</v>
      </c>
      <c r="H5006" s="1">
        <v>0.13769999999999999</v>
      </c>
      <c r="I5006" s="1">
        <v>0.1195</v>
      </c>
      <c r="J5006" s="1">
        <v>6.0199999999999997E-2</v>
      </c>
      <c r="L5006" s="1">
        <v>7.4000000000000003E-3</v>
      </c>
      <c r="M5006" s="1">
        <v>1.21E-2</v>
      </c>
    </row>
    <row r="5007" spans="1:13">
      <c r="A5007" t="s">
        <v>235</v>
      </c>
      <c r="B5007" t="s">
        <v>204</v>
      </c>
      <c r="C5007">
        <v>45</v>
      </c>
      <c r="D5007" t="s">
        <v>207</v>
      </c>
      <c r="E5007">
        <v>968</v>
      </c>
      <c r="F5007" s="1">
        <v>0.46279999999999999</v>
      </c>
      <c r="G5007" s="1">
        <v>0.10340000000000001</v>
      </c>
      <c r="H5007" s="1">
        <v>8.6E-3</v>
      </c>
      <c r="I5007" s="1">
        <v>8.2299999999999998E-2</v>
      </c>
      <c r="J5007" s="1">
        <v>0.1739</v>
      </c>
      <c r="L5007" s="1">
        <v>9.0800000000000006E-2</v>
      </c>
      <c r="M5007" s="1">
        <v>7.8299999999999995E-2</v>
      </c>
    </row>
    <row r="5008" spans="1:13" s="26" customFormat="1">
      <c r="A5008" s="26" t="s">
        <v>236</v>
      </c>
      <c r="B5008" s="26" t="s">
        <v>204</v>
      </c>
      <c r="C5008" s="26">
        <v>11</v>
      </c>
      <c r="D5008" s="26" t="s">
        <v>208</v>
      </c>
      <c r="E5008" s="26">
        <v>968</v>
      </c>
      <c r="F5008" s="27">
        <v>0.63639999999999997</v>
      </c>
      <c r="G5008" s="27">
        <v>0.18179999999999999</v>
      </c>
      <c r="J5008" s="27">
        <v>9.0899999999999995E-2</v>
      </c>
      <c r="M5008" s="27">
        <v>9.0899999999999995E-2</v>
      </c>
    </row>
    <row r="5009" spans="1:13">
      <c r="A5009" t="s">
        <v>235</v>
      </c>
      <c r="B5009" t="s">
        <v>199</v>
      </c>
      <c r="C5009">
        <v>44</v>
      </c>
      <c r="D5009" t="s">
        <v>203</v>
      </c>
      <c r="E5009">
        <v>968</v>
      </c>
      <c r="F5009" s="1">
        <v>0.58199999999999996</v>
      </c>
      <c r="G5009" s="1">
        <v>0.20080000000000001</v>
      </c>
      <c r="H5009" s="1">
        <v>8.5599999999999996E-2</v>
      </c>
      <c r="I5009" s="1">
        <v>2.5000000000000001E-2</v>
      </c>
      <c r="J5009" s="1">
        <v>6.3799999999999996E-2</v>
      </c>
      <c r="M5009" s="1">
        <v>4.2799999999999998E-2</v>
      </c>
    </row>
    <row r="5010" spans="1:13">
      <c r="A5010" t="s">
        <v>236</v>
      </c>
      <c r="B5010" t="s">
        <v>199</v>
      </c>
      <c r="C5010">
        <v>32</v>
      </c>
      <c r="D5010" t="s">
        <v>203</v>
      </c>
      <c r="E5010">
        <v>968</v>
      </c>
      <c r="F5010" s="1">
        <v>0.48499999999999999</v>
      </c>
      <c r="G5010" s="1">
        <v>7.6399999999999996E-2</v>
      </c>
      <c r="H5010" s="1">
        <v>0.12670000000000001</v>
      </c>
      <c r="J5010" s="1">
        <v>0.2581</v>
      </c>
      <c r="L5010" s="1">
        <v>5.3699999999999998E-2</v>
      </c>
    </row>
    <row r="5011" spans="1:13">
      <c r="A5011" t="s">
        <v>235</v>
      </c>
      <c r="B5011" t="s">
        <v>199</v>
      </c>
      <c r="C5011">
        <v>60</v>
      </c>
      <c r="D5011" t="s">
        <v>202</v>
      </c>
      <c r="E5011">
        <v>968</v>
      </c>
      <c r="F5011" s="1">
        <v>0.4007</v>
      </c>
      <c r="G5011" s="1">
        <v>0.1691</v>
      </c>
      <c r="H5011" s="1">
        <v>7.5899999999999995E-2</v>
      </c>
      <c r="I5011" s="1">
        <v>0.1421</v>
      </c>
      <c r="J5011" s="1">
        <v>0.156</v>
      </c>
      <c r="L5011" s="1">
        <v>3.9399999999999998E-2</v>
      </c>
      <c r="M5011" s="1">
        <v>1.6799999999999999E-2</v>
      </c>
    </row>
    <row r="5012" spans="1:13" s="26" customFormat="1">
      <c r="A5012" s="26" t="s">
        <v>236</v>
      </c>
      <c r="B5012" s="26" t="s">
        <v>199</v>
      </c>
      <c r="C5012" s="26">
        <v>24</v>
      </c>
      <c r="D5012" s="26" t="s">
        <v>200</v>
      </c>
      <c r="E5012" s="26">
        <v>968</v>
      </c>
      <c r="F5012" s="27">
        <v>0.66690000000000005</v>
      </c>
      <c r="G5012" s="27">
        <v>0.21410000000000001</v>
      </c>
      <c r="H5012" s="27">
        <v>9.8799999999999999E-2</v>
      </c>
      <c r="J5012" s="27">
        <v>1.6799999999999999E-2</v>
      </c>
      <c r="L5012" s="27">
        <v>3.3999999999999998E-3</v>
      </c>
    </row>
    <row r="5013" spans="1:13">
      <c r="A5013" t="s">
        <v>235</v>
      </c>
      <c r="B5013" t="s">
        <v>199</v>
      </c>
      <c r="C5013">
        <v>46</v>
      </c>
      <c r="D5013" t="s">
        <v>200</v>
      </c>
      <c r="E5013">
        <v>968</v>
      </c>
      <c r="F5013" s="1">
        <v>0.74339999999999995</v>
      </c>
      <c r="G5013" s="1">
        <v>0.2266</v>
      </c>
      <c r="H5013" s="1">
        <v>1.7999999999999999E-2</v>
      </c>
      <c r="J5013" s="1">
        <v>1.2E-2</v>
      </c>
    </row>
    <row r="5014" spans="1:13">
      <c r="A5014" t="s">
        <v>236</v>
      </c>
      <c r="B5014" t="s">
        <v>199</v>
      </c>
      <c r="C5014">
        <v>37</v>
      </c>
      <c r="D5014" t="s">
        <v>202</v>
      </c>
      <c r="E5014">
        <v>968</v>
      </c>
      <c r="F5014" s="1">
        <v>0.27360000000000001</v>
      </c>
      <c r="G5014" s="1">
        <v>0.24390000000000001</v>
      </c>
      <c r="H5014" s="1">
        <v>2.1899999999999999E-2</v>
      </c>
      <c r="I5014" s="1">
        <v>0.2117</v>
      </c>
      <c r="J5014" s="1">
        <v>0.121</v>
      </c>
      <c r="K5014" s="1">
        <v>3.2800000000000003E-2</v>
      </c>
      <c r="M5014" s="1">
        <v>9.5200000000000007E-2</v>
      </c>
    </row>
    <row r="5015" spans="1:13">
      <c r="A5015" t="s">
        <v>235</v>
      </c>
      <c r="B5015" t="s">
        <v>199</v>
      </c>
      <c r="C5015">
        <v>96</v>
      </c>
      <c r="D5015" t="s">
        <v>201</v>
      </c>
      <c r="E5015">
        <v>968</v>
      </c>
      <c r="F5015" s="1">
        <v>0.5</v>
      </c>
      <c r="G5015" s="1">
        <v>0.25</v>
      </c>
      <c r="H5015" s="1">
        <v>1.04E-2</v>
      </c>
      <c r="I5015" s="1">
        <v>6.25E-2</v>
      </c>
      <c r="J5015" s="1">
        <v>7.2900000000000006E-2</v>
      </c>
      <c r="L5015" s="1">
        <v>3.1199999999999999E-2</v>
      </c>
      <c r="M5015" s="1">
        <v>7.2900000000000006E-2</v>
      </c>
    </row>
    <row r="5016" spans="1:13">
      <c r="A5016" t="s">
        <v>236</v>
      </c>
      <c r="B5016" t="s">
        <v>209</v>
      </c>
      <c r="C5016">
        <v>39</v>
      </c>
      <c r="D5016" t="s">
        <v>211</v>
      </c>
      <c r="E5016">
        <v>968</v>
      </c>
      <c r="F5016" s="1">
        <v>0.28839999999999999</v>
      </c>
      <c r="G5016" s="1">
        <v>0.30740000000000001</v>
      </c>
      <c r="H5016" s="1">
        <v>6.7199999999999996E-2</v>
      </c>
      <c r="I5016" s="1">
        <v>7.0199999999999999E-2</v>
      </c>
      <c r="J5016" s="1">
        <v>0.2036</v>
      </c>
      <c r="L5016" s="1">
        <v>5.1299999999999998E-2</v>
      </c>
      <c r="M5016" s="1">
        <v>1.18E-2</v>
      </c>
    </row>
    <row r="5017" spans="1:13">
      <c r="A5017" t="s">
        <v>235</v>
      </c>
      <c r="B5017" t="s">
        <v>209</v>
      </c>
      <c r="C5017">
        <v>56</v>
      </c>
      <c r="D5017" t="s">
        <v>211</v>
      </c>
      <c r="E5017">
        <v>968</v>
      </c>
      <c r="F5017" s="1">
        <v>0.39629999999999999</v>
      </c>
      <c r="G5017" s="1">
        <v>0.21379999999999999</v>
      </c>
      <c r="H5017" s="1">
        <v>1.9599999999999999E-2</v>
      </c>
      <c r="I5017" s="1">
        <v>6.4199999999999993E-2</v>
      </c>
      <c r="J5017" s="1">
        <v>0.28639999999999999</v>
      </c>
      <c r="M5017" s="1">
        <v>1.9599999999999999E-2</v>
      </c>
    </row>
    <row r="5018" spans="1:13">
      <c r="A5018" t="s">
        <v>235</v>
      </c>
      <c r="B5018" t="s">
        <v>209</v>
      </c>
      <c r="C5018">
        <v>67</v>
      </c>
      <c r="D5018" t="s">
        <v>212</v>
      </c>
      <c r="E5018">
        <v>968</v>
      </c>
      <c r="F5018" s="1">
        <v>0.51700000000000002</v>
      </c>
      <c r="G5018" s="1">
        <v>0.26440000000000002</v>
      </c>
      <c r="H5018" s="1">
        <v>3.2399999999999998E-2</v>
      </c>
      <c r="J5018" s="1">
        <v>0.129</v>
      </c>
      <c r="L5018" s="1">
        <v>8.6E-3</v>
      </c>
      <c r="M5018" s="1">
        <v>4.8599999999999997E-2</v>
      </c>
    </row>
    <row r="5019" spans="1:13" s="26" customFormat="1">
      <c r="A5019" s="26" t="s">
        <v>236</v>
      </c>
      <c r="B5019" s="26" t="s">
        <v>209</v>
      </c>
      <c r="C5019" s="26">
        <v>18</v>
      </c>
      <c r="D5019" s="26" t="s">
        <v>212</v>
      </c>
      <c r="E5019" s="26">
        <v>968</v>
      </c>
      <c r="F5019" s="27">
        <v>0.43030000000000002</v>
      </c>
      <c r="G5019" s="27">
        <v>0.22070000000000001</v>
      </c>
      <c r="H5019" s="27">
        <v>4.1099999999999998E-2</v>
      </c>
      <c r="J5019" s="27">
        <v>0.308</v>
      </c>
    </row>
    <row r="5020" spans="1:13">
      <c r="A5020" t="s">
        <v>236</v>
      </c>
      <c r="B5020" t="s">
        <v>209</v>
      </c>
      <c r="C5020">
        <v>38</v>
      </c>
      <c r="D5020" t="s">
        <v>210</v>
      </c>
      <c r="E5020">
        <v>968</v>
      </c>
      <c r="F5020" s="1">
        <v>0.64710000000000001</v>
      </c>
      <c r="G5020" s="1">
        <v>0.18779999999999999</v>
      </c>
      <c r="H5020" s="1">
        <v>4.07E-2</v>
      </c>
      <c r="I5020" s="1">
        <v>4.3099999999999999E-2</v>
      </c>
      <c r="J5020" s="1">
        <v>2.0299999999999999E-2</v>
      </c>
      <c r="L5020" s="1">
        <v>2.0299999999999999E-2</v>
      </c>
      <c r="M5020" s="1">
        <v>4.07E-2</v>
      </c>
    </row>
    <row r="5021" spans="1:13">
      <c r="A5021" t="s">
        <v>235</v>
      </c>
      <c r="B5021" t="s">
        <v>209</v>
      </c>
      <c r="C5021">
        <v>32</v>
      </c>
      <c r="D5021" t="s">
        <v>210</v>
      </c>
      <c r="E5021">
        <v>968</v>
      </c>
      <c r="F5021" s="1">
        <v>0.66159999999999997</v>
      </c>
      <c r="G5021" s="1">
        <v>9.69E-2</v>
      </c>
      <c r="H5021" s="1">
        <v>4.7600000000000003E-2</v>
      </c>
      <c r="J5021" s="1">
        <v>0.1293</v>
      </c>
      <c r="M5021" s="1">
        <v>6.4600000000000005E-2</v>
      </c>
    </row>
    <row r="5023" spans="1:13">
      <c r="A5023" t="s">
        <v>1102</v>
      </c>
    </row>
    <row r="5024" spans="1:13">
      <c r="A5024" t="s">
        <v>190</v>
      </c>
      <c r="B5024" t="s">
        <v>705</v>
      </c>
      <c r="C5024" t="s">
        <v>1103</v>
      </c>
      <c r="D5024" t="s">
        <v>1104</v>
      </c>
      <c r="E5024" t="s">
        <v>1105</v>
      </c>
      <c r="F5024" t="s">
        <v>1106</v>
      </c>
      <c r="G5024" t="s">
        <v>1107</v>
      </c>
      <c r="H5024" t="s">
        <v>716</v>
      </c>
      <c r="I5024" t="s">
        <v>195</v>
      </c>
      <c r="J5024" t="s">
        <v>196</v>
      </c>
    </row>
    <row r="5025" spans="1:10">
      <c r="A5025" t="s">
        <v>198</v>
      </c>
      <c r="B5025" t="s">
        <v>223</v>
      </c>
      <c r="C5025" s="1">
        <v>1.6999999999999999E-3</v>
      </c>
      <c r="H5025">
        <v>81</v>
      </c>
      <c r="I5025">
        <v>81</v>
      </c>
      <c r="J5025">
        <v>81</v>
      </c>
    </row>
    <row r="5026" spans="1:10">
      <c r="A5026" t="s">
        <v>198</v>
      </c>
      <c r="B5026" t="s">
        <v>1108</v>
      </c>
      <c r="C5026" s="1">
        <v>0.3569</v>
      </c>
      <c r="D5026" s="1">
        <v>0.24990000000000001</v>
      </c>
      <c r="E5026" s="1">
        <v>0.38800000000000001</v>
      </c>
      <c r="F5026" s="1">
        <v>0.3206</v>
      </c>
      <c r="G5026" s="1">
        <v>0.41060000000000002</v>
      </c>
      <c r="H5026">
        <v>81</v>
      </c>
      <c r="I5026">
        <v>81</v>
      </c>
      <c r="J5026">
        <v>81</v>
      </c>
    </row>
    <row r="5027" spans="1:10">
      <c r="A5027" t="s">
        <v>198</v>
      </c>
      <c r="B5027" t="s">
        <v>1109</v>
      </c>
      <c r="C5027" s="1">
        <v>0.57809999999999995</v>
      </c>
      <c r="D5027" s="1">
        <v>0.74680000000000002</v>
      </c>
      <c r="E5027" s="1">
        <v>0.59370000000000001</v>
      </c>
      <c r="F5027" s="1">
        <v>0.19009999999999999</v>
      </c>
      <c r="G5027" s="1">
        <v>0.58399999999999996</v>
      </c>
      <c r="H5027">
        <v>81</v>
      </c>
      <c r="I5027">
        <v>81</v>
      </c>
      <c r="J5027">
        <v>81</v>
      </c>
    </row>
    <row r="5028" spans="1:10">
      <c r="A5028" t="s">
        <v>198</v>
      </c>
      <c r="B5028" t="s">
        <v>1110</v>
      </c>
      <c r="C5028" s="1">
        <v>6.3399999999999998E-2</v>
      </c>
      <c r="E5028" s="1">
        <v>1.83E-2</v>
      </c>
      <c r="F5028" s="1">
        <v>0.48699999999999999</v>
      </c>
      <c r="G5028" s="1">
        <v>5.4000000000000003E-3</v>
      </c>
      <c r="H5028">
        <v>81</v>
      </c>
      <c r="I5028">
        <v>81</v>
      </c>
      <c r="J5028">
        <v>81</v>
      </c>
    </row>
    <row r="5029" spans="1:10" s="26" customFormat="1">
      <c r="A5029" s="26" t="s">
        <v>200</v>
      </c>
      <c r="B5029" s="26" t="s">
        <v>1108</v>
      </c>
      <c r="C5029" s="27">
        <v>2.9899999999999999E-2</v>
      </c>
      <c r="D5029" s="27">
        <v>5.0900000000000001E-2</v>
      </c>
      <c r="E5029" s="27">
        <v>2.35E-2</v>
      </c>
      <c r="G5029" s="27">
        <v>0.37409999999999999</v>
      </c>
      <c r="H5029" s="26">
        <v>1</v>
      </c>
      <c r="I5029" s="26">
        <v>5</v>
      </c>
      <c r="J5029" s="26">
        <v>81</v>
      </c>
    </row>
    <row r="5030" spans="1:10" s="26" customFormat="1">
      <c r="A5030" s="26" t="s">
        <v>200</v>
      </c>
      <c r="B5030" s="26" t="s">
        <v>1109</v>
      </c>
      <c r="C5030" s="27">
        <v>0.97009999999999996</v>
      </c>
      <c r="D5030" s="27">
        <v>0.94910000000000005</v>
      </c>
      <c r="E5030" s="27">
        <v>0.97650000000000003</v>
      </c>
      <c r="G5030" s="27">
        <v>0.62590000000000001</v>
      </c>
      <c r="H5030" s="26">
        <v>1</v>
      </c>
      <c r="I5030" s="26">
        <v>5</v>
      </c>
      <c r="J5030" s="26">
        <v>81</v>
      </c>
    </row>
    <row r="5031" spans="1:10" s="26" customFormat="1">
      <c r="A5031" s="26" t="s">
        <v>201</v>
      </c>
      <c r="B5031" s="26" t="s">
        <v>1108</v>
      </c>
      <c r="C5031" s="27">
        <v>0.33329999999999999</v>
      </c>
      <c r="D5031" s="27">
        <v>0.46150000000000002</v>
      </c>
      <c r="E5031" s="27">
        <v>0.5</v>
      </c>
      <c r="F5031" s="27">
        <v>0.25</v>
      </c>
      <c r="H5031" s="26">
        <v>9</v>
      </c>
      <c r="I5031" s="26">
        <v>6</v>
      </c>
      <c r="J5031" s="26">
        <v>81</v>
      </c>
    </row>
    <row r="5032" spans="1:10" s="26" customFormat="1">
      <c r="A5032" s="26" t="s">
        <v>201</v>
      </c>
      <c r="B5032" s="26" t="s">
        <v>1109</v>
      </c>
      <c r="C5032" s="27">
        <v>0.5</v>
      </c>
      <c r="D5032" s="27">
        <v>0.53849999999999998</v>
      </c>
      <c r="E5032" s="27">
        <v>0.375</v>
      </c>
      <c r="F5032" s="27">
        <v>0.25</v>
      </c>
      <c r="G5032" s="27">
        <v>1</v>
      </c>
      <c r="H5032" s="26">
        <v>9</v>
      </c>
      <c r="I5032" s="26">
        <v>6</v>
      </c>
      <c r="J5032" s="26">
        <v>81</v>
      </c>
    </row>
    <row r="5033" spans="1:10" s="26" customFormat="1">
      <c r="A5033" s="26" t="s">
        <v>201</v>
      </c>
      <c r="B5033" s="26" t="s">
        <v>1110</v>
      </c>
      <c r="C5033" s="27">
        <v>0.16669999999999999</v>
      </c>
      <c r="E5033" s="27">
        <v>0.125</v>
      </c>
      <c r="F5033" s="27">
        <v>0.5</v>
      </c>
      <c r="H5033" s="26">
        <v>9</v>
      </c>
      <c r="I5033" s="26">
        <v>6</v>
      </c>
      <c r="J5033" s="26">
        <v>81</v>
      </c>
    </row>
    <row r="5034" spans="1:10" s="26" customFormat="1">
      <c r="A5034" s="26" t="s">
        <v>203</v>
      </c>
      <c r="B5034" s="26" t="s">
        <v>1108</v>
      </c>
      <c r="C5034" s="27">
        <v>0.7097</v>
      </c>
      <c r="D5034" s="27">
        <v>0.41699999999999998</v>
      </c>
      <c r="E5034" s="27">
        <v>0.67200000000000004</v>
      </c>
      <c r="F5034" s="27">
        <v>0.65680000000000005</v>
      </c>
      <c r="G5034" s="27">
        <v>0.66279999999999994</v>
      </c>
      <c r="H5034" s="26">
        <v>2</v>
      </c>
      <c r="I5034" s="26">
        <v>8</v>
      </c>
      <c r="J5034" s="26">
        <v>81</v>
      </c>
    </row>
    <row r="5035" spans="1:10" s="26" customFormat="1">
      <c r="A5035" s="26" t="s">
        <v>203</v>
      </c>
      <c r="B5035" s="26" t="s">
        <v>1109</v>
      </c>
      <c r="C5035" s="27">
        <v>0.2903</v>
      </c>
      <c r="D5035" s="27">
        <v>0.58299999999999996</v>
      </c>
      <c r="E5035" s="27">
        <v>0.32800000000000001</v>
      </c>
      <c r="F5035" s="27">
        <v>0.1716</v>
      </c>
      <c r="G5035" s="27">
        <v>0.3372</v>
      </c>
      <c r="H5035" s="26">
        <v>2</v>
      </c>
      <c r="I5035" s="26">
        <v>8</v>
      </c>
      <c r="J5035" s="26">
        <v>81</v>
      </c>
    </row>
    <row r="5036" spans="1:10" s="26" customFormat="1">
      <c r="A5036" s="26" t="s">
        <v>205</v>
      </c>
      <c r="B5036" s="26" t="s">
        <v>1109</v>
      </c>
      <c r="C5036" s="27">
        <v>1</v>
      </c>
      <c r="D5036" s="27">
        <v>0.86029999999999995</v>
      </c>
      <c r="E5036" s="27">
        <v>0.95640000000000003</v>
      </c>
      <c r="F5036" s="27">
        <v>0.22309999999999999</v>
      </c>
      <c r="G5036" s="27">
        <v>1</v>
      </c>
      <c r="H5036" s="26">
        <v>2</v>
      </c>
      <c r="I5036" s="26">
        <v>1</v>
      </c>
      <c r="J5036" s="26">
        <v>81</v>
      </c>
    </row>
    <row r="5037" spans="1:10" s="26" customFormat="1">
      <c r="A5037" s="26" t="s">
        <v>206</v>
      </c>
      <c r="B5037" s="26" t="s">
        <v>1108</v>
      </c>
      <c r="C5037" s="27">
        <v>0.20860000000000001</v>
      </c>
      <c r="D5037" s="27">
        <v>0.433</v>
      </c>
      <c r="E5037" s="27">
        <v>0.58630000000000004</v>
      </c>
      <c r="F5037" s="27">
        <v>1</v>
      </c>
      <c r="G5037" s="27">
        <v>0.75</v>
      </c>
      <c r="H5037" s="26">
        <v>0</v>
      </c>
      <c r="I5037" s="26">
        <v>4</v>
      </c>
      <c r="J5037" s="26">
        <v>81</v>
      </c>
    </row>
    <row r="5038" spans="1:10" s="26" customFormat="1">
      <c r="A5038" s="26" t="s">
        <v>206</v>
      </c>
      <c r="B5038" s="26" t="s">
        <v>1109</v>
      </c>
      <c r="C5038" s="27">
        <v>0.79139999999999999</v>
      </c>
      <c r="D5038" s="27">
        <v>0.56699999999999995</v>
      </c>
      <c r="E5038" s="27">
        <v>0.41370000000000001</v>
      </c>
      <c r="G5038" s="27">
        <v>0.25</v>
      </c>
      <c r="H5038" s="26">
        <v>0</v>
      </c>
      <c r="I5038" s="26">
        <v>4</v>
      </c>
      <c r="J5038" s="26">
        <v>81</v>
      </c>
    </row>
    <row r="5039" spans="1:10" s="26" customFormat="1">
      <c r="A5039" s="26" t="s">
        <v>207</v>
      </c>
      <c r="B5039" s="26" t="s">
        <v>1108</v>
      </c>
      <c r="C5039" s="27">
        <v>0.7571</v>
      </c>
      <c r="D5039" s="27">
        <v>0.14119999999999999</v>
      </c>
      <c r="E5039" s="27">
        <v>0.3493</v>
      </c>
      <c r="F5039" s="27">
        <v>0.51759999999999995</v>
      </c>
      <c r="G5039" s="27">
        <v>0.1628</v>
      </c>
      <c r="H5039" s="26">
        <v>9</v>
      </c>
      <c r="I5039" s="26">
        <v>15</v>
      </c>
      <c r="J5039" s="26">
        <v>81</v>
      </c>
    </row>
    <row r="5040" spans="1:10" s="26" customFormat="1">
      <c r="A5040" s="26" t="s">
        <v>207</v>
      </c>
      <c r="B5040" s="26" t="s">
        <v>1109</v>
      </c>
      <c r="C5040" s="27">
        <v>0.2429</v>
      </c>
      <c r="D5040" s="27">
        <v>0.84079999999999999</v>
      </c>
      <c r="E5040" s="27">
        <v>0.65069999999999995</v>
      </c>
      <c r="F5040" s="27">
        <v>0.35060000000000002</v>
      </c>
      <c r="G5040" s="27">
        <v>0.83720000000000006</v>
      </c>
      <c r="H5040" s="26">
        <v>9</v>
      </c>
      <c r="I5040" s="26">
        <v>15</v>
      </c>
      <c r="J5040" s="26">
        <v>81</v>
      </c>
    </row>
    <row r="5041" spans="1:11" s="26" customFormat="1">
      <c r="A5041" s="26" t="s">
        <v>208</v>
      </c>
      <c r="B5041" s="26" t="s">
        <v>1108</v>
      </c>
      <c r="C5041" s="27">
        <v>0.5</v>
      </c>
      <c r="D5041" s="27">
        <v>0.5</v>
      </c>
      <c r="E5041" s="27">
        <v>0.25</v>
      </c>
      <c r="F5041" s="27">
        <v>0.33329999999999999</v>
      </c>
      <c r="G5041" s="27">
        <v>0.5</v>
      </c>
      <c r="H5041" s="26">
        <v>9</v>
      </c>
      <c r="I5041" s="26">
        <v>14</v>
      </c>
      <c r="J5041" s="26">
        <v>81</v>
      </c>
    </row>
    <row r="5042" spans="1:11" s="26" customFormat="1">
      <c r="A5042" s="26" t="s">
        <v>208</v>
      </c>
      <c r="B5042" s="26" t="s">
        <v>1109</v>
      </c>
      <c r="C5042" s="27">
        <v>0.42859999999999998</v>
      </c>
      <c r="D5042" s="27">
        <v>0.5</v>
      </c>
      <c r="E5042" s="27">
        <v>0.75</v>
      </c>
      <c r="G5042" s="27">
        <v>0.5</v>
      </c>
      <c r="H5042" s="26">
        <v>9</v>
      </c>
      <c r="I5042" s="26">
        <v>14</v>
      </c>
      <c r="J5042" s="26">
        <v>81</v>
      </c>
    </row>
    <row r="5043" spans="1:11" s="26" customFormat="1">
      <c r="A5043" s="26" t="s">
        <v>208</v>
      </c>
      <c r="B5043" s="26" t="s">
        <v>1110</v>
      </c>
      <c r="C5043" s="27">
        <v>7.1400000000000005E-2</v>
      </c>
      <c r="F5043" s="27">
        <v>0.66669999999999996</v>
      </c>
      <c r="H5043" s="26">
        <v>9</v>
      </c>
      <c r="I5043" s="26">
        <v>14</v>
      </c>
      <c r="J5043" s="26">
        <v>81</v>
      </c>
    </row>
    <row r="5044" spans="1:11" s="26" customFormat="1">
      <c r="A5044" s="26" t="s">
        <v>210</v>
      </c>
      <c r="B5044" s="26" t="s">
        <v>223</v>
      </c>
      <c r="C5044" s="27">
        <v>0.22639999999999999</v>
      </c>
      <c r="H5044" s="26">
        <v>0</v>
      </c>
      <c r="I5044" s="26">
        <v>6</v>
      </c>
      <c r="J5044" s="26">
        <v>81</v>
      </c>
    </row>
    <row r="5045" spans="1:11" s="26" customFormat="1">
      <c r="A5045" s="26" t="s">
        <v>210</v>
      </c>
      <c r="B5045" s="26" t="s">
        <v>1108</v>
      </c>
      <c r="C5045" s="27">
        <v>0.44030000000000002</v>
      </c>
      <c r="D5045" s="27">
        <v>0.45079999999999998</v>
      </c>
      <c r="E5045" s="27">
        <v>0.56910000000000005</v>
      </c>
      <c r="F5045" s="27">
        <v>0.4904</v>
      </c>
      <c r="G5045" s="27">
        <v>0.58540000000000003</v>
      </c>
      <c r="H5045" s="26">
        <v>0</v>
      </c>
      <c r="I5045" s="26">
        <v>6</v>
      </c>
      <c r="J5045" s="26">
        <v>81</v>
      </c>
    </row>
    <row r="5046" spans="1:11" s="26" customFormat="1">
      <c r="A5046" s="26" t="s">
        <v>210</v>
      </c>
      <c r="B5046" s="26" t="s">
        <v>1109</v>
      </c>
      <c r="C5046" s="27">
        <v>0.33329999999999999</v>
      </c>
      <c r="D5046" s="27">
        <v>0.54920000000000002</v>
      </c>
      <c r="E5046" s="27">
        <v>0.43090000000000001</v>
      </c>
      <c r="F5046" s="27">
        <v>0.34610000000000002</v>
      </c>
      <c r="G5046" s="27">
        <v>0.41460000000000002</v>
      </c>
      <c r="H5046" s="26">
        <v>0</v>
      </c>
      <c r="I5046" s="26">
        <v>6</v>
      </c>
      <c r="J5046" s="26">
        <v>81</v>
      </c>
    </row>
    <row r="5047" spans="1:11" s="26" customFormat="1">
      <c r="A5047" s="26" t="s">
        <v>211</v>
      </c>
      <c r="B5047" s="26" t="s">
        <v>1108</v>
      </c>
      <c r="C5047" s="27">
        <v>0.2535</v>
      </c>
      <c r="D5047" s="27">
        <v>0.23</v>
      </c>
      <c r="E5047" s="27">
        <v>0.50290000000000001</v>
      </c>
      <c r="F5047" s="27">
        <v>0.13009999999999999</v>
      </c>
      <c r="G5047" s="27">
        <v>0.34179999999999999</v>
      </c>
      <c r="H5047" s="26">
        <v>4</v>
      </c>
      <c r="I5047" s="26">
        <v>11</v>
      </c>
      <c r="J5047" s="26">
        <v>81</v>
      </c>
    </row>
    <row r="5048" spans="1:11" s="26" customFormat="1">
      <c r="A5048" s="26" t="s">
        <v>211</v>
      </c>
      <c r="B5048" s="26" t="s">
        <v>1109</v>
      </c>
      <c r="C5048" s="27">
        <v>0.74650000000000005</v>
      </c>
      <c r="D5048" s="27">
        <v>0.77</v>
      </c>
      <c r="E5048" s="27">
        <v>0.49709999999999999</v>
      </c>
      <c r="F5048" s="27">
        <v>0.36990000000000001</v>
      </c>
      <c r="G5048" s="27">
        <v>0.62790000000000001</v>
      </c>
      <c r="H5048" s="26">
        <v>4</v>
      </c>
      <c r="I5048" s="26">
        <v>11</v>
      </c>
      <c r="J5048" s="26">
        <v>81</v>
      </c>
    </row>
    <row r="5049" spans="1:11" s="26" customFormat="1">
      <c r="A5049" s="26" t="s">
        <v>212</v>
      </c>
      <c r="B5049" s="26" t="s">
        <v>1109</v>
      </c>
      <c r="C5049" s="27">
        <v>0.91859999999999997</v>
      </c>
      <c r="D5049" s="27">
        <v>0.77029999999999998</v>
      </c>
      <c r="E5049" s="27">
        <v>0.39140000000000003</v>
      </c>
      <c r="H5049" s="26">
        <v>11</v>
      </c>
      <c r="I5049" s="26">
        <v>11</v>
      </c>
      <c r="J5049" s="26">
        <v>81</v>
      </c>
    </row>
    <row r="5050" spans="1:11" s="26" customFormat="1">
      <c r="A5050" s="26" t="s">
        <v>212</v>
      </c>
      <c r="B5050" s="26" t="s">
        <v>1110</v>
      </c>
      <c r="C5050" s="27">
        <v>8.14E-2</v>
      </c>
      <c r="F5050" s="27">
        <v>0.58640000000000003</v>
      </c>
      <c r="H5050" s="26">
        <v>11</v>
      </c>
      <c r="I5050" s="26">
        <v>11</v>
      </c>
      <c r="J5050" s="26">
        <v>81</v>
      </c>
    </row>
    <row r="5052" spans="1:11">
      <c r="A5052" t="s">
        <v>1111</v>
      </c>
    </row>
    <row r="5053" spans="1:11">
      <c r="A5053" t="s">
        <v>189</v>
      </c>
      <c r="B5053" t="s">
        <v>195</v>
      </c>
      <c r="C5053" t="s">
        <v>190</v>
      </c>
      <c r="D5053" t="s">
        <v>196</v>
      </c>
      <c r="E5053" t="s">
        <v>1112</v>
      </c>
      <c r="F5053" t="s">
        <v>1113</v>
      </c>
      <c r="G5053" t="s">
        <v>1114</v>
      </c>
      <c r="H5053" t="s">
        <v>228</v>
      </c>
      <c r="I5053" t="s">
        <v>1115</v>
      </c>
      <c r="J5053" t="s">
        <v>1116</v>
      </c>
      <c r="K5053" t="s">
        <v>1117</v>
      </c>
    </row>
    <row r="5054" spans="1:11">
      <c r="A5054" t="s">
        <v>197</v>
      </c>
      <c r="B5054">
        <v>967</v>
      </c>
      <c r="C5054" t="s">
        <v>198</v>
      </c>
      <c r="D5054">
        <v>967</v>
      </c>
      <c r="E5054" s="1">
        <v>0.22320000000000001</v>
      </c>
      <c r="F5054" s="1">
        <v>0.1542</v>
      </c>
      <c r="G5054" s="1">
        <v>0.1234</v>
      </c>
      <c r="H5054" s="1">
        <v>9.4000000000000004E-3</v>
      </c>
      <c r="I5054" s="1">
        <v>0.20760000000000001</v>
      </c>
      <c r="J5054" s="1">
        <v>0.20660000000000001</v>
      </c>
      <c r="K5054" s="1">
        <v>7.5499999999999998E-2</v>
      </c>
    </row>
    <row r="5055" spans="1:11">
      <c r="A5055" t="s">
        <v>204</v>
      </c>
      <c r="B5055">
        <v>91</v>
      </c>
      <c r="C5055" t="s">
        <v>205</v>
      </c>
      <c r="D5055">
        <v>967</v>
      </c>
      <c r="E5055" s="1">
        <v>0.3125</v>
      </c>
      <c r="F5055" s="1">
        <v>0.20660000000000001</v>
      </c>
      <c r="G5055" s="1">
        <v>0.1547</v>
      </c>
      <c r="I5055" s="1">
        <v>0.18490000000000001</v>
      </c>
      <c r="J5055" s="1">
        <v>7.6300000000000007E-2</v>
      </c>
      <c r="K5055" s="1">
        <v>6.5000000000000002E-2</v>
      </c>
    </row>
    <row r="5056" spans="1:11">
      <c r="A5056" t="s">
        <v>204</v>
      </c>
      <c r="B5056">
        <v>72</v>
      </c>
      <c r="C5056" t="s">
        <v>206</v>
      </c>
      <c r="D5056">
        <v>967</v>
      </c>
      <c r="E5056" s="1">
        <v>0.2301</v>
      </c>
      <c r="F5056" s="1">
        <v>2.7900000000000001E-2</v>
      </c>
      <c r="G5056" s="1">
        <v>2.7900000000000001E-2</v>
      </c>
      <c r="I5056" s="1">
        <v>0.63500000000000001</v>
      </c>
      <c r="J5056" s="1">
        <v>2.3300000000000001E-2</v>
      </c>
      <c r="K5056" s="1">
        <v>5.5800000000000002E-2</v>
      </c>
    </row>
    <row r="5057" spans="1:12">
      <c r="A5057" t="s">
        <v>204</v>
      </c>
      <c r="B5057">
        <v>131</v>
      </c>
      <c r="C5057" t="s">
        <v>207</v>
      </c>
      <c r="D5057">
        <v>967</v>
      </c>
      <c r="E5057" s="1">
        <v>0.15049999999999999</v>
      </c>
      <c r="F5057" s="1">
        <v>0.12470000000000001</v>
      </c>
      <c r="G5057" s="1">
        <v>0.24640000000000001</v>
      </c>
      <c r="I5057" s="1">
        <v>0.2109</v>
      </c>
      <c r="J5057" s="1">
        <v>0.2162</v>
      </c>
      <c r="K5057" s="1">
        <v>5.1400000000000001E-2</v>
      </c>
    </row>
    <row r="5058" spans="1:12">
      <c r="A5058" t="s">
        <v>204</v>
      </c>
      <c r="B5058">
        <v>74</v>
      </c>
      <c r="C5058" t="s">
        <v>208</v>
      </c>
      <c r="D5058">
        <v>967</v>
      </c>
      <c r="E5058" s="1">
        <v>0.33779999999999999</v>
      </c>
      <c r="F5058" s="1">
        <v>8.1100000000000005E-2</v>
      </c>
      <c r="G5058" s="1">
        <v>5.4100000000000002E-2</v>
      </c>
      <c r="H5058" s="1">
        <v>2.7E-2</v>
      </c>
      <c r="I5058" s="1">
        <v>0.39190000000000003</v>
      </c>
      <c r="J5058" s="1">
        <v>0.1081</v>
      </c>
    </row>
    <row r="5059" spans="1:12">
      <c r="A5059" t="s">
        <v>199</v>
      </c>
      <c r="B5059">
        <v>73</v>
      </c>
      <c r="C5059" t="s">
        <v>200</v>
      </c>
      <c r="D5059">
        <v>967</v>
      </c>
      <c r="E5059" s="1">
        <v>0.15490000000000001</v>
      </c>
      <c r="F5059" s="1">
        <v>0.1042</v>
      </c>
      <c r="G5059" s="1">
        <v>0.13830000000000001</v>
      </c>
      <c r="H5059" s="1">
        <v>1.6000000000000001E-3</v>
      </c>
      <c r="I5059" s="1">
        <v>0.13639999999999999</v>
      </c>
      <c r="J5059" s="1">
        <v>0.41499999999999998</v>
      </c>
      <c r="K5059" s="1">
        <v>4.9599999999999998E-2</v>
      </c>
    </row>
    <row r="5060" spans="1:12">
      <c r="A5060" t="s">
        <v>199</v>
      </c>
      <c r="B5060">
        <v>96</v>
      </c>
      <c r="C5060" t="s">
        <v>201</v>
      </c>
      <c r="D5060">
        <v>967</v>
      </c>
      <c r="E5060" s="1">
        <v>0.20830000000000001</v>
      </c>
      <c r="F5060" s="1">
        <v>0.11459999999999999</v>
      </c>
      <c r="G5060" s="1">
        <v>0.11459999999999999</v>
      </c>
      <c r="H5060" s="1">
        <v>1.04E-2</v>
      </c>
      <c r="I5060" s="1">
        <v>0.19789999999999999</v>
      </c>
      <c r="J5060" s="1">
        <v>0.27079999999999999</v>
      </c>
      <c r="K5060" s="1">
        <v>8.3299999999999999E-2</v>
      </c>
    </row>
    <row r="5061" spans="1:12">
      <c r="A5061" t="s">
        <v>199</v>
      </c>
      <c r="B5061">
        <v>98</v>
      </c>
      <c r="C5061" t="s">
        <v>202</v>
      </c>
      <c r="D5061">
        <v>967</v>
      </c>
      <c r="E5061" s="1">
        <v>0.1328</v>
      </c>
      <c r="F5061" s="1">
        <v>0.14249999999999999</v>
      </c>
      <c r="G5061" s="1">
        <v>6.5299999999999997E-2</v>
      </c>
      <c r="H5061" s="1">
        <v>2.69E-2</v>
      </c>
      <c r="I5061" s="1">
        <v>0.1338</v>
      </c>
      <c r="J5061" s="1">
        <v>0.37540000000000001</v>
      </c>
      <c r="K5061" s="1">
        <v>0.1232</v>
      </c>
    </row>
    <row r="5062" spans="1:12">
      <c r="A5062" t="s">
        <v>199</v>
      </c>
      <c r="B5062">
        <v>77</v>
      </c>
      <c r="C5062" t="s">
        <v>203</v>
      </c>
      <c r="D5062">
        <v>967</v>
      </c>
      <c r="E5062" s="1">
        <v>0.24859999999999999</v>
      </c>
      <c r="F5062" s="1">
        <v>0.20649999999999999</v>
      </c>
      <c r="G5062" s="1">
        <v>9.6299999999999997E-2</v>
      </c>
      <c r="H5062" s="1">
        <v>2.69E-2</v>
      </c>
      <c r="I5062" s="1">
        <v>0.12720000000000001</v>
      </c>
      <c r="J5062" s="1">
        <v>0.24129999999999999</v>
      </c>
      <c r="K5062" s="1">
        <v>5.33E-2</v>
      </c>
    </row>
    <row r="5063" spans="1:12">
      <c r="A5063" t="s">
        <v>209</v>
      </c>
      <c r="B5063">
        <v>73</v>
      </c>
      <c r="C5063" t="s">
        <v>210</v>
      </c>
      <c r="D5063">
        <v>967</v>
      </c>
      <c r="E5063" s="1">
        <v>7.8700000000000006E-2</v>
      </c>
      <c r="F5063" s="1">
        <v>6.0900000000000003E-2</v>
      </c>
      <c r="G5063" s="1">
        <v>3.56E-2</v>
      </c>
      <c r="H5063" s="1">
        <v>8.3999999999999995E-3</v>
      </c>
      <c r="I5063" s="1">
        <v>0.65790000000000004</v>
      </c>
      <c r="J5063" s="1">
        <v>5.2499999999999998E-2</v>
      </c>
      <c r="K5063" s="1">
        <v>0.10589999999999999</v>
      </c>
    </row>
    <row r="5064" spans="1:12">
      <c r="A5064" t="s">
        <v>209</v>
      </c>
      <c r="B5064">
        <v>97</v>
      </c>
      <c r="C5064" t="s">
        <v>211</v>
      </c>
      <c r="D5064">
        <v>967</v>
      </c>
      <c r="E5064" s="1">
        <v>0.23089999999999999</v>
      </c>
      <c r="F5064" s="1">
        <v>0.15049999999999999</v>
      </c>
      <c r="G5064" s="1">
        <v>0.1057</v>
      </c>
      <c r="H5064" s="1">
        <v>1.2E-2</v>
      </c>
      <c r="I5064" s="1">
        <v>0.22439999999999999</v>
      </c>
      <c r="J5064" s="1">
        <v>0.18809999999999999</v>
      </c>
      <c r="K5064" s="1">
        <v>8.8400000000000006E-2</v>
      </c>
    </row>
    <row r="5065" spans="1:12">
      <c r="A5065" t="s">
        <v>209</v>
      </c>
      <c r="B5065">
        <v>85</v>
      </c>
      <c r="C5065" t="s">
        <v>212</v>
      </c>
      <c r="D5065">
        <v>967</v>
      </c>
      <c r="E5065" s="1">
        <v>0.25069999999999998</v>
      </c>
      <c r="F5065" s="1">
        <v>0.24129999999999999</v>
      </c>
      <c r="G5065" s="1">
        <v>5.3499999999999999E-2</v>
      </c>
      <c r="I5065" s="1">
        <v>0.22209999999999999</v>
      </c>
      <c r="J5065" s="1">
        <v>0.12809999999999999</v>
      </c>
      <c r="K5065" s="1">
        <v>0.1042</v>
      </c>
    </row>
    <row r="5067" spans="1:12">
      <c r="A5067" t="s">
        <v>1118</v>
      </c>
    </row>
    <row r="5068" spans="1:12">
      <c r="A5068" t="s">
        <v>214</v>
      </c>
      <c r="B5068" t="s">
        <v>189</v>
      </c>
      <c r="C5068" t="s">
        <v>195</v>
      </c>
      <c r="D5068" t="s">
        <v>190</v>
      </c>
      <c r="E5068" t="s">
        <v>196</v>
      </c>
      <c r="F5068" t="s">
        <v>1112</v>
      </c>
      <c r="G5068" t="s">
        <v>1113</v>
      </c>
      <c r="H5068" t="s">
        <v>1114</v>
      </c>
      <c r="I5068" t="s">
        <v>228</v>
      </c>
      <c r="J5068" t="s">
        <v>1115</v>
      </c>
      <c r="K5068" t="s">
        <v>1116</v>
      </c>
      <c r="L5068" t="s">
        <v>1117</v>
      </c>
    </row>
    <row r="5069" spans="1:12">
      <c r="A5069" t="s">
        <v>198</v>
      </c>
      <c r="B5069" t="s">
        <v>197</v>
      </c>
      <c r="C5069">
        <v>967</v>
      </c>
      <c r="D5069" t="s">
        <v>198</v>
      </c>
      <c r="E5069">
        <v>967</v>
      </c>
      <c r="F5069" s="1">
        <v>0.22320000000000001</v>
      </c>
      <c r="G5069" s="1">
        <v>0.1542</v>
      </c>
      <c r="H5069" s="1">
        <v>0.1234</v>
      </c>
      <c r="I5069" s="1">
        <v>9.4000000000000004E-3</v>
      </c>
      <c r="J5069" s="1">
        <v>0.20760000000000001</v>
      </c>
      <c r="K5069" s="1">
        <v>0.20660000000000001</v>
      </c>
      <c r="L5069" s="1">
        <v>7.5499999999999998E-2</v>
      </c>
    </row>
    <row r="5070" spans="1:12">
      <c r="A5070" t="s">
        <v>235</v>
      </c>
      <c r="B5070" t="s">
        <v>204</v>
      </c>
      <c r="C5070">
        <v>63</v>
      </c>
      <c r="D5070" t="s">
        <v>208</v>
      </c>
      <c r="E5070">
        <v>967</v>
      </c>
      <c r="F5070" s="1">
        <v>0.36509999999999998</v>
      </c>
      <c r="G5070" s="1">
        <v>7.9399999999999998E-2</v>
      </c>
      <c r="H5070" s="1">
        <v>6.3500000000000001E-2</v>
      </c>
      <c r="I5070" s="1">
        <v>3.1699999999999999E-2</v>
      </c>
      <c r="J5070" s="1">
        <v>0.33329999999999999</v>
      </c>
      <c r="K5070" s="1">
        <v>0.127</v>
      </c>
    </row>
    <row r="5071" spans="1:12">
      <c r="A5071" t="s">
        <v>236</v>
      </c>
      <c r="B5071" t="s">
        <v>204</v>
      </c>
      <c r="C5071">
        <v>32</v>
      </c>
      <c r="D5071" t="s">
        <v>205</v>
      </c>
      <c r="E5071">
        <v>967</v>
      </c>
      <c r="F5071" s="1">
        <v>0.182</v>
      </c>
      <c r="G5071" s="1">
        <v>4.9399999999999999E-2</v>
      </c>
      <c r="H5071" s="1">
        <v>0.22020000000000001</v>
      </c>
      <c r="J5071" s="1">
        <v>0.30669999999999997</v>
      </c>
      <c r="K5071" s="1">
        <v>0.12859999999999999</v>
      </c>
      <c r="L5071" s="1">
        <v>0.113</v>
      </c>
    </row>
    <row r="5072" spans="1:12">
      <c r="A5072" t="s">
        <v>235</v>
      </c>
      <c r="B5072" t="s">
        <v>204</v>
      </c>
      <c r="C5072">
        <v>58</v>
      </c>
      <c r="D5072" t="s">
        <v>205</v>
      </c>
      <c r="E5072">
        <v>967</v>
      </c>
      <c r="F5072" s="1">
        <v>0.34179999999999999</v>
      </c>
      <c r="G5072" s="1">
        <v>0.24129999999999999</v>
      </c>
      <c r="H5072" s="1">
        <v>0.1409</v>
      </c>
      <c r="J5072" s="1">
        <v>0.159</v>
      </c>
      <c r="K5072" s="1">
        <v>6.2199999999999998E-2</v>
      </c>
      <c r="L5072" s="1">
        <v>5.4800000000000001E-2</v>
      </c>
    </row>
    <row r="5073" spans="1:12" s="26" customFormat="1">
      <c r="A5073" s="26" t="s">
        <v>236</v>
      </c>
      <c r="B5073" s="26" t="s">
        <v>204</v>
      </c>
      <c r="C5073" s="26">
        <v>21</v>
      </c>
      <c r="D5073" s="26" t="s">
        <v>206</v>
      </c>
      <c r="E5073" s="26">
        <v>967</v>
      </c>
      <c r="F5073" s="27">
        <v>0.1195</v>
      </c>
      <c r="G5073" s="27">
        <v>4.2799999999999998E-2</v>
      </c>
      <c r="J5073" s="27">
        <v>0.77800000000000002</v>
      </c>
      <c r="L5073" s="27">
        <v>5.9700000000000003E-2</v>
      </c>
    </row>
    <row r="5074" spans="1:12">
      <c r="A5074" t="s">
        <v>235</v>
      </c>
      <c r="B5074" t="s">
        <v>204</v>
      </c>
      <c r="C5074">
        <v>47</v>
      </c>
      <c r="D5074" t="s">
        <v>206</v>
      </c>
      <c r="E5074">
        <v>967</v>
      </c>
      <c r="F5074" s="1">
        <v>0.27479999999999999</v>
      </c>
      <c r="G5074" s="1">
        <v>2.4E-2</v>
      </c>
      <c r="H5074" s="1">
        <v>4.1200000000000001E-2</v>
      </c>
      <c r="J5074" s="1">
        <v>0.56710000000000005</v>
      </c>
      <c r="K5074" s="1">
        <v>3.44E-2</v>
      </c>
      <c r="L5074" s="1">
        <v>5.8500000000000003E-2</v>
      </c>
    </row>
    <row r="5075" spans="1:12">
      <c r="A5075" t="s">
        <v>236</v>
      </c>
      <c r="B5075" t="s">
        <v>204</v>
      </c>
      <c r="C5075">
        <v>81</v>
      </c>
      <c r="D5075" t="s">
        <v>207</v>
      </c>
      <c r="E5075">
        <v>967</v>
      </c>
      <c r="F5075" s="1">
        <v>0.1148</v>
      </c>
      <c r="G5075" s="1">
        <v>3.5799999999999998E-2</v>
      </c>
      <c r="H5075" s="1">
        <v>0.2465</v>
      </c>
      <c r="J5075" s="1">
        <v>0.20230000000000001</v>
      </c>
      <c r="K5075" s="1">
        <v>0.28620000000000001</v>
      </c>
      <c r="L5075" s="1">
        <v>0.1143</v>
      </c>
    </row>
    <row r="5076" spans="1:12">
      <c r="A5076" t="s">
        <v>235</v>
      </c>
      <c r="B5076" t="s">
        <v>204</v>
      </c>
      <c r="C5076">
        <v>45</v>
      </c>
      <c r="D5076" t="s">
        <v>207</v>
      </c>
      <c r="E5076">
        <v>967</v>
      </c>
      <c r="F5076" s="1">
        <v>0.17469999999999999</v>
      </c>
      <c r="G5076" s="1">
        <v>0.18540000000000001</v>
      </c>
      <c r="H5076" s="1">
        <v>0.24349999999999999</v>
      </c>
      <c r="J5076" s="1">
        <v>0.21560000000000001</v>
      </c>
      <c r="K5076" s="1">
        <v>0.17230000000000001</v>
      </c>
      <c r="L5076" s="1">
        <v>8.6E-3</v>
      </c>
    </row>
    <row r="5077" spans="1:12" s="26" customFormat="1">
      <c r="A5077" s="26" t="s">
        <v>236</v>
      </c>
      <c r="B5077" s="26" t="s">
        <v>204</v>
      </c>
      <c r="C5077" s="26">
        <v>11</v>
      </c>
      <c r="D5077" s="26" t="s">
        <v>208</v>
      </c>
      <c r="E5077" s="26">
        <v>967</v>
      </c>
      <c r="F5077" s="27">
        <v>0.18179999999999999</v>
      </c>
      <c r="G5077" s="27">
        <v>9.0899999999999995E-2</v>
      </c>
      <c r="J5077" s="27">
        <v>0.72729999999999995</v>
      </c>
    </row>
    <row r="5078" spans="1:12">
      <c r="A5078" t="s">
        <v>235</v>
      </c>
      <c r="B5078" t="s">
        <v>199</v>
      </c>
      <c r="C5078">
        <v>44</v>
      </c>
      <c r="D5078" t="s">
        <v>203</v>
      </c>
      <c r="E5078">
        <v>967</v>
      </c>
      <c r="F5078" s="1">
        <v>0.28370000000000001</v>
      </c>
      <c r="G5078" s="1">
        <v>0.1593</v>
      </c>
      <c r="H5078" s="1">
        <v>4.2799999999999998E-2</v>
      </c>
      <c r="J5078" s="1">
        <v>0.1323</v>
      </c>
      <c r="K5078" s="1">
        <v>0.29699999999999999</v>
      </c>
      <c r="L5078" s="1">
        <v>8.4900000000000003E-2</v>
      </c>
    </row>
    <row r="5079" spans="1:12">
      <c r="A5079" t="s">
        <v>236</v>
      </c>
      <c r="B5079" t="s">
        <v>199</v>
      </c>
      <c r="C5079">
        <v>32</v>
      </c>
      <c r="D5079" t="s">
        <v>203</v>
      </c>
      <c r="E5079">
        <v>967</v>
      </c>
      <c r="F5079" s="1">
        <v>0.20430000000000001</v>
      </c>
      <c r="G5079" s="1">
        <v>0.30819999999999997</v>
      </c>
      <c r="H5079" s="1">
        <v>0.20080000000000001</v>
      </c>
      <c r="J5079" s="1">
        <v>0.1278</v>
      </c>
      <c r="K5079" s="1">
        <v>0.15890000000000001</v>
      </c>
    </row>
    <row r="5080" spans="1:12">
      <c r="A5080" t="s">
        <v>235</v>
      </c>
      <c r="B5080" t="s">
        <v>199</v>
      </c>
      <c r="C5080">
        <v>60</v>
      </c>
      <c r="D5080" t="s">
        <v>202</v>
      </c>
      <c r="E5080">
        <v>967</v>
      </c>
      <c r="F5080" s="1">
        <v>0.17699999999999999</v>
      </c>
      <c r="G5080" s="1">
        <v>0.18590000000000001</v>
      </c>
      <c r="H5080" s="1">
        <v>5.0900000000000001E-2</v>
      </c>
      <c r="I5080" s="1">
        <v>2.3199999999999998E-2</v>
      </c>
      <c r="J5080" s="1">
        <v>0.13239999999999999</v>
      </c>
      <c r="K5080" s="1">
        <v>0.37640000000000001</v>
      </c>
      <c r="L5080" s="1">
        <v>5.4100000000000002E-2</v>
      </c>
    </row>
    <row r="5081" spans="1:12" s="26" customFormat="1">
      <c r="A5081" s="26" t="s">
        <v>236</v>
      </c>
      <c r="B5081" s="26" t="s">
        <v>199</v>
      </c>
      <c r="C5081" s="26">
        <v>24</v>
      </c>
      <c r="D5081" s="26" t="s">
        <v>200</v>
      </c>
      <c r="E5081" s="26">
        <v>967</v>
      </c>
      <c r="F5081" s="27">
        <v>8.5300000000000001E-2</v>
      </c>
      <c r="G5081" s="27">
        <v>0.1424</v>
      </c>
      <c r="H5081" s="27">
        <v>6.7000000000000002E-3</v>
      </c>
      <c r="J5081" s="27">
        <v>0.1782</v>
      </c>
      <c r="K5081" s="27">
        <v>0.58740000000000003</v>
      </c>
    </row>
    <row r="5082" spans="1:12">
      <c r="A5082" t="s">
        <v>235</v>
      </c>
      <c r="B5082" t="s">
        <v>199</v>
      </c>
      <c r="C5082">
        <v>46</v>
      </c>
      <c r="D5082" t="s">
        <v>200</v>
      </c>
      <c r="E5082">
        <v>967</v>
      </c>
      <c r="F5082" s="1">
        <v>0.2155</v>
      </c>
      <c r="G5082" s="1">
        <v>6.8099999999999994E-2</v>
      </c>
      <c r="H5082" s="1">
        <v>0.25409999999999999</v>
      </c>
      <c r="I5082" s="1">
        <v>3.0000000000000001E-3</v>
      </c>
      <c r="J5082" s="1">
        <v>0.1003</v>
      </c>
      <c r="K5082" s="1">
        <v>0.26479999999999998</v>
      </c>
      <c r="L5082" s="1">
        <v>9.4299999999999995E-2</v>
      </c>
    </row>
    <row r="5083" spans="1:12">
      <c r="A5083" t="s">
        <v>236</v>
      </c>
      <c r="B5083" t="s">
        <v>199</v>
      </c>
      <c r="C5083">
        <v>37</v>
      </c>
      <c r="D5083" t="s">
        <v>202</v>
      </c>
      <c r="E5083">
        <v>967</v>
      </c>
      <c r="F5083" s="1">
        <v>7.5800000000000006E-2</v>
      </c>
      <c r="G5083" s="1">
        <v>8.6900000000000005E-2</v>
      </c>
      <c r="H5083" s="1">
        <v>8.7499999999999994E-2</v>
      </c>
      <c r="I5083" s="1">
        <v>3.2800000000000003E-2</v>
      </c>
      <c r="J5083" s="1">
        <v>0.14019999999999999</v>
      </c>
      <c r="K5083" s="1">
        <v>0.35339999999999999</v>
      </c>
      <c r="L5083" s="1">
        <v>0.2233</v>
      </c>
    </row>
    <row r="5084" spans="1:12">
      <c r="A5084" t="s">
        <v>235</v>
      </c>
      <c r="B5084" t="s">
        <v>199</v>
      </c>
      <c r="C5084">
        <v>96</v>
      </c>
      <c r="D5084" t="s">
        <v>201</v>
      </c>
      <c r="E5084">
        <v>967</v>
      </c>
      <c r="F5084" s="1">
        <v>0.20830000000000001</v>
      </c>
      <c r="G5084" s="1">
        <v>0.11459999999999999</v>
      </c>
      <c r="H5084" s="1">
        <v>0.11459999999999999</v>
      </c>
      <c r="I5084" s="1">
        <v>1.04E-2</v>
      </c>
      <c r="J5084" s="1">
        <v>0.19789999999999999</v>
      </c>
      <c r="K5084" s="1">
        <v>0.27079999999999999</v>
      </c>
      <c r="L5084" s="1">
        <v>8.3299999999999999E-2</v>
      </c>
    </row>
    <row r="5085" spans="1:12">
      <c r="A5085" t="s">
        <v>236</v>
      </c>
      <c r="B5085" t="s">
        <v>209</v>
      </c>
      <c r="C5085">
        <v>39</v>
      </c>
      <c r="D5085" t="s">
        <v>211</v>
      </c>
      <c r="E5085">
        <v>967</v>
      </c>
      <c r="F5085" s="1">
        <v>0.15809999999999999</v>
      </c>
      <c r="G5085" s="1">
        <v>0.2135</v>
      </c>
      <c r="J5085" s="1">
        <v>0.29820000000000002</v>
      </c>
      <c r="K5085" s="1">
        <v>0.21740000000000001</v>
      </c>
      <c r="L5085" s="1">
        <v>0.1128</v>
      </c>
    </row>
    <row r="5086" spans="1:12">
      <c r="A5086" t="s">
        <v>235</v>
      </c>
      <c r="B5086" t="s">
        <v>209</v>
      </c>
      <c r="C5086">
        <v>56</v>
      </c>
      <c r="D5086" t="s">
        <v>211</v>
      </c>
      <c r="E5086">
        <v>967</v>
      </c>
      <c r="F5086" s="1">
        <v>0.23519999999999999</v>
      </c>
      <c r="G5086" s="1">
        <v>0.1212</v>
      </c>
      <c r="H5086" s="1">
        <v>0.17269999999999999</v>
      </c>
      <c r="I5086" s="1">
        <v>1.9599999999999999E-2</v>
      </c>
      <c r="J5086" s="1">
        <v>0.19239999999999999</v>
      </c>
      <c r="K5086" s="1">
        <v>0.1802</v>
      </c>
      <c r="L5086" s="1">
        <v>7.8600000000000003E-2</v>
      </c>
    </row>
    <row r="5087" spans="1:12">
      <c r="A5087" t="s">
        <v>235</v>
      </c>
      <c r="B5087" t="s">
        <v>209</v>
      </c>
      <c r="C5087">
        <v>67</v>
      </c>
      <c r="D5087" t="s">
        <v>212</v>
      </c>
      <c r="E5087">
        <v>967</v>
      </c>
      <c r="F5087" s="1">
        <v>0.2422</v>
      </c>
      <c r="G5087" s="1">
        <v>0.23980000000000001</v>
      </c>
      <c r="H5087" s="1">
        <v>4.8599999999999997E-2</v>
      </c>
      <c r="J5087" s="1">
        <v>0.252</v>
      </c>
      <c r="K5087" s="1">
        <v>0.122</v>
      </c>
      <c r="L5087" s="1">
        <v>9.5399999999999999E-2</v>
      </c>
    </row>
    <row r="5088" spans="1:12" s="26" customFormat="1">
      <c r="A5088" s="26" t="s">
        <v>236</v>
      </c>
      <c r="B5088" s="26" t="s">
        <v>209</v>
      </c>
      <c r="C5088" s="26">
        <v>18</v>
      </c>
      <c r="D5088" s="26" t="s">
        <v>212</v>
      </c>
      <c r="E5088" s="26">
        <v>967</v>
      </c>
      <c r="F5088" s="27">
        <v>0.30420000000000003</v>
      </c>
      <c r="G5088" s="27">
        <v>0.25109999999999999</v>
      </c>
      <c r="H5088" s="27">
        <v>8.3900000000000002E-2</v>
      </c>
      <c r="J5088" s="27">
        <v>3.5499999999999997E-2</v>
      </c>
      <c r="K5088" s="27">
        <v>0.1661</v>
      </c>
      <c r="L5088" s="27">
        <v>0.15920000000000001</v>
      </c>
    </row>
    <row r="5089" spans="1:22">
      <c r="A5089" t="s">
        <v>236</v>
      </c>
      <c r="B5089" t="s">
        <v>209</v>
      </c>
      <c r="C5089">
        <v>37</v>
      </c>
      <c r="D5089" t="s">
        <v>210</v>
      </c>
      <c r="E5089">
        <v>967</v>
      </c>
      <c r="F5089" s="1">
        <v>0.1502</v>
      </c>
      <c r="G5089" s="1">
        <v>6.2300000000000001E-2</v>
      </c>
      <c r="J5089" s="1">
        <v>0.70450000000000002</v>
      </c>
      <c r="K5089" s="1">
        <v>4.1500000000000002E-2</v>
      </c>
      <c r="L5089" s="1">
        <v>4.1500000000000002E-2</v>
      </c>
    </row>
    <row r="5090" spans="1:22">
      <c r="A5090" t="s">
        <v>235</v>
      </c>
      <c r="B5090" t="s">
        <v>209</v>
      </c>
      <c r="C5090">
        <v>32</v>
      </c>
      <c r="D5090" t="s">
        <v>210</v>
      </c>
      <c r="E5090">
        <v>967</v>
      </c>
      <c r="F5090" s="1">
        <v>3.2300000000000002E-2</v>
      </c>
      <c r="G5090" s="1">
        <v>6.4600000000000005E-2</v>
      </c>
      <c r="H5090" s="1">
        <v>6.4600000000000005E-2</v>
      </c>
      <c r="J5090" s="1">
        <v>0.61219999999999997</v>
      </c>
      <c r="K5090" s="1">
        <v>6.4600000000000005E-2</v>
      </c>
      <c r="L5090" s="1">
        <v>0.16159999999999999</v>
      </c>
    </row>
    <row r="5092" spans="1:22">
      <c r="A5092" t="s">
        <v>1119</v>
      </c>
    </row>
    <row r="5093" spans="1:22">
      <c r="A5093" t="s">
        <v>189</v>
      </c>
      <c r="B5093" t="s">
        <v>195</v>
      </c>
      <c r="C5093" t="s">
        <v>190</v>
      </c>
      <c r="D5093" t="s">
        <v>196</v>
      </c>
      <c r="E5093" t="s">
        <v>1120</v>
      </c>
      <c r="F5093" t="s">
        <v>498</v>
      </c>
      <c r="G5093" t="s">
        <v>276</v>
      </c>
      <c r="H5093" t="s">
        <v>278</v>
      </c>
      <c r="I5093" t="s">
        <v>1121</v>
      </c>
      <c r="J5093" t="s">
        <v>1122</v>
      </c>
      <c r="K5093" t="s">
        <v>1123</v>
      </c>
      <c r="L5093" t="s">
        <v>1124</v>
      </c>
      <c r="M5093" t="s">
        <v>1125</v>
      </c>
      <c r="N5093" t="s">
        <v>1126</v>
      </c>
      <c r="O5093" t="s">
        <v>1127</v>
      </c>
      <c r="P5093" t="s">
        <v>1128</v>
      </c>
      <c r="Q5093" t="s">
        <v>1129</v>
      </c>
      <c r="R5093" t="s">
        <v>1130</v>
      </c>
      <c r="S5093" t="s">
        <v>1131</v>
      </c>
      <c r="T5093" t="s">
        <v>1132</v>
      </c>
      <c r="U5093" t="s">
        <v>1133</v>
      </c>
      <c r="V5093" t="s">
        <v>1134</v>
      </c>
    </row>
    <row r="5094" spans="1:22">
      <c r="A5094" t="s">
        <v>197</v>
      </c>
      <c r="B5094">
        <v>967</v>
      </c>
      <c r="C5094" t="s">
        <v>198</v>
      </c>
      <c r="D5094">
        <v>967</v>
      </c>
      <c r="E5094" s="1">
        <v>9.7000000000000003E-2</v>
      </c>
      <c r="F5094" s="1">
        <v>9.1999999999999998E-3</v>
      </c>
      <c r="G5094" s="1">
        <v>0.47289999999999999</v>
      </c>
      <c r="H5094" s="1">
        <v>4.5999999999999999E-3</v>
      </c>
      <c r="I5094" s="1">
        <v>0.161</v>
      </c>
      <c r="J5094" s="1">
        <v>3.6700000000000003E-2</v>
      </c>
      <c r="K5094" s="1">
        <v>1.34E-2</v>
      </c>
      <c r="L5094" s="1">
        <v>9.1000000000000004E-3</v>
      </c>
      <c r="M5094" s="1">
        <v>0.15079999999999999</v>
      </c>
      <c r="N5094" s="1">
        <v>0.15509999999999999</v>
      </c>
      <c r="O5094" s="1">
        <v>9.4000000000000004E-3</v>
      </c>
      <c r="P5094" s="1">
        <v>1.2E-2</v>
      </c>
      <c r="Q5094" s="1">
        <v>2.2000000000000001E-3</v>
      </c>
      <c r="R5094" s="1">
        <v>1.8599999999999998E-2</v>
      </c>
      <c r="S5094" s="1">
        <v>0.1087</v>
      </c>
      <c r="T5094" s="1">
        <v>1.8200000000000001E-2</v>
      </c>
      <c r="U5094" s="1">
        <v>3.4299999999999997E-2</v>
      </c>
      <c r="V5094" s="1">
        <v>1E-4</v>
      </c>
    </row>
    <row r="5095" spans="1:22">
      <c r="A5095" t="s">
        <v>204</v>
      </c>
      <c r="B5095">
        <v>91</v>
      </c>
      <c r="C5095" t="s">
        <v>205</v>
      </c>
      <c r="D5095">
        <v>967</v>
      </c>
      <c r="E5095" s="1">
        <v>0.12909999999999999</v>
      </c>
      <c r="G5095" s="1">
        <v>0.37330000000000002</v>
      </c>
      <c r="I5095" s="1">
        <v>0.16850000000000001</v>
      </c>
      <c r="J5095" s="1">
        <v>4.3799999999999999E-2</v>
      </c>
      <c r="K5095" s="1">
        <v>3.2000000000000002E-3</v>
      </c>
      <c r="L5095" s="1">
        <v>8.5000000000000006E-3</v>
      </c>
      <c r="M5095" s="1">
        <v>0.2346</v>
      </c>
      <c r="N5095" s="1">
        <v>0.1668</v>
      </c>
      <c r="P5095" s="1">
        <v>3.6700000000000003E-2</v>
      </c>
      <c r="Q5095" s="1">
        <v>2.3999999999999998E-3</v>
      </c>
      <c r="R5095" s="1">
        <v>4.8399999999999999E-2</v>
      </c>
      <c r="S5095" s="1">
        <v>0.14510000000000001</v>
      </c>
      <c r="T5095" s="1">
        <v>1.9800000000000002E-2</v>
      </c>
      <c r="U5095" s="1">
        <v>5.7599999999999998E-2</v>
      </c>
    </row>
    <row r="5096" spans="1:22">
      <c r="A5096" t="s">
        <v>204</v>
      </c>
      <c r="B5096">
        <v>72</v>
      </c>
      <c r="C5096" t="s">
        <v>206</v>
      </c>
      <c r="D5096">
        <v>967</v>
      </c>
      <c r="E5096" s="1">
        <v>1.6299999999999999E-2</v>
      </c>
      <c r="G5096" s="1">
        <v>0.7651</v>
      </c>
      <c r="I5096" s="1">
        <v>7.2099999999999997E-2</v>
      </c>
      <c r="J5096" s="1">
        <v>1.6299999999999999E-2</v>
      </c>
      <c r="K5096" s="1">
        <v>3.49E-2</v>
      </c>
      <c r="M5096" s="1">
        <v>1.1599999999999999E-2</v>
      </c>
      <c r="N5096" s="1">
        <v>1.1599999999999999E-2</v>
      </c>
      <c r="O5096" s="1">
        <v>2.7900000000000001E-2</v>
      </c>
      <c r="Q5096" s="1">
        <v>2.7900000000000001E-2</v>
      </c>
      <c r="R5096" s="1">
        <v>1.1599999999999999E-2</v>
      </c>
      <c r="S5096" s="1">
        <v>5.5800000000000002E-2</v>
      </c>
      <c r="V5096" s="1">
        <v>1.1599999999999999E-2</v>
      </c>
    </row>
    <row r="5097" spans="1:22">
      <c r="A5097" t="s">
        <v>204</v>
      </c>
      <c r="B5097">
        <v>131</v>
      </c>
      <c r="C5097" t="s">
        <v>207</v>
      </c>
      <c r="D5097">
        <v>967</v>
      </c>
      <c r="E5097" s="1">
        <v>5.4300000000000001E-2</v>
      </c>
      <c r="F5097" s="1">
        <v>6.3E-3</v>
      </c>
      <c r="G5097" s="1">
        <v>0.62</v>
      </c>
      <c r="I5097" s="1">
        <v>0.17280000000000001</v>
      </c>
      <c r="J5097" s="1">
        <v>0.06</v>
      </c>
      <c r="K5097" s="1">
        <v>4.5499999999999999E-2</v>
      </c>
      <c r="L5097" s="1">
        <v>5.8999999999999999E-3</v>
      </c>
      <c r="M5097" s="1">
        <v>0.1176</v>
      </c>
      <c r="N5097" s="1">
        <v>0.15260000000000001</v>
      </c>
      <c r="O5097" s="1">
        <v>4.7999999999999996E-3</v>
      </c>
      <c r="Q5097" s="1">
        <v>3.3999999999999998E-3</v>
      </c>
      <c r="S5097" s="1">
        <v>2.81E-2</v>
      </c>
      <c r="T5097" s="1">
        <v>2.3E-3</v>
      </c>
      <c r="U5097" s="1">
        <v>4.8999999999999998E-3</v>
      </c>
    </row>
    <row r="5098" spans="1:22">
      <c r="A5098" t="s">
        <v>204</v>
      </c>
      <c r="B5098">
        <v>73</v>
      </c>
      <c r="C5098" t="s">
        <v>208</v>
      </c>
      <c r="D5098">
        <v>967</v>
      </c>
      <c r="E5098" s="1">
        <v>4.1099999999999998E-2</v>
      </c>
      <c r="G5098" s="1">
        <v>0.53420000000000001</v>
      </c>
      <c r="I5098" s="1">
        <v>0.1507</v>
      </c>
      <c r="J5098" s="1">
        <v>2.7400000000000001E-2</v>
      </c>
      <c r="K5098" s="1">
        <v>2.7400000000000001E-2</v>
      </c>
      <c r="L5098" s="1">
        <v>4.1099999999999998E-2</v>
      </c>
      <c r="M5098" s="1">
        <v>0.1096</v>
      </c>
      <c r="N5098" s="1">
        <v>0.13700000000000001</v>
      </c>
      <c r="O5098" s="1">
        <v>1.37E-2</v>
      </c>
      <c r="P5098" s="1">
        <v>1.37E-2</v>
      </c>
      <c r="R5098" s="1">
        <v>1.37E-2</v>
      </c>
      <c r="S5098" s="1">
        <v>0.1096</v>
      </c>
      <c r="T5098" s="1">
        <v>2.7400000000000001E-2</v>
      </c>
      <c r="U5098" s="1">
        <v>5.4800000000000001E-2</v>
      </c>
    </row>
    <row r="5099" spans="1:22">
      <c r="A5099" t="s">
        <v>199</v>
      </c>
      <c r="B5099">
        <v>73</v>
      </c>
      <c r="C5099" t="s">
        <v>200</v>
      </c>
      <c r="D5099">
        <v>967</v>
      </c>
      <c r="E5099" s="1">
        <v>9.4399999999999998E-2</v>
      </c>
      <c r="G5099" s="1">
        <v>0.32240000000000002</v>
      </c>
      <c r="I5099" s="1">
        <v>0.39539999999999997</v>
      </c>
      <c r="K5099" s="1">
        <v>6.2100000000000002E-2</v>
      </c>
      <c r="M5099" s="1">
        <v>0.2261</v>
      </c>
      <c r="N5099" s="1">
        <v>0.2261</v>
      </c>
      <c r="R5099" s="1">
        <v>6.0499999999999998E-2</v>
      </c>
      <c r="S5099" s="1">
        <v>7.4700000000000003E-2</v>
      </c>
      <c r="U5099" s="1">
        <v>1.6000000000000001E-3</v>
      </c>
    </row>
    <row r="5100" spans="1:22">
      <c r="A5100" t="s">
        <v>199</v>
      </c>
      <c r="B5100">
        <v>96</v>
      </c>
      <c r="C5100" t="s">
        <v>201</v>
      </c>
      <c r="D5100">
        <v>967</v>
      </c>
      <c r="E5100" s="1">
        <v>0.11459999999999999</v>
      </c>
      <c r="F5100" s="1">
        <v>2.0799999999999999E-2</v>
      </c>
      <c r="G5100" s="1">
        <v>0.44790000000000002</v>
      </c>
      <c r="I5100" s="1">
        <v>0.16669999999999999</v>
      </c>
      <c r="J5100" s="1">
        <v>4.1700000000000001E-2</v>
      </c>
      <c r="L5100" s="1">
        <v>1.04E-2</v>
      </c>
      <c r="M5100" s="1">
        <v>0.125</v>
      </c>
      <c r="N5100" s="1">
        <v>0.14580000000000001</v>
      </c>
      <c r="P5100" s="1">
        <v>1.04E-2</v>
      </c>
      <c r="R5100" s="1">
        <v>1.04E-2</v>
      </c>
      <c r="S5100" s="1">
        <v>0.11459999999999999</v>
      </c>
      <c r="T5100" s="1">
        <v>1.04E-2</v>
      </c>
      <c r="U5100" s="1">
        <v>4.1700000000000001E-2</v>
      </c>
    </row>
    <row r="5101" spans="1:22">
      <c r="A5101" t="s">
        <v>199</v>
      </c>
      <c r="B5101">
        <v>98</v>
      </c>
      <c r="C5101" t="s">
        <v>202</v>
      </c>
      <c r="D5101">
        <v>967</v>
      </c>
      <c r="E5101" s="1">
        <v>0.12239999999999999</v>
      </c>
      <c r="F5101" s="1">
        <v>2.2599999999999999E-2</v>
      </c>
      <c r="G5101" s="1">
        <v>0.40589999999999998</v>
      </c>
      <c r="I5101" s="1">
        <v>0.1414</v>
      </c>
      <c r="J5101" s="1">
        <v>1.3299999999999999E-2</v>
      </c>
      <c r="M5101" s="1">
        <v>0.16650000000000001</v>
      </c>
      <c r="N5101" s="1">
        <v>0.20860000000000001</v>
      </c>
      <c r="S5101" s="1">
        <v>9.8799999999999999E-2</v>
      </c>
      <c r="T5101" s="1">
        <v>2.6800000000000001E-2</v>
      </c>
      <c r="U5101" s="1">
        <v>4.1999999999999997E-3</v>
      </c>
    </row>
    <row r="5102" spans="1:22">
      <c r="A5102" t="s">
        <v>199</v>
      </c>
      <c r="B5102">
        <v>77</v>
      </c>
      <c r="C5102" t="s">
        <v>203</v>
      </c>
      <c r="D5102">
        <v>967</v>
      </c>
      <c r="E5102" s="1">
        <v>0.10780000000000001</v>
      </c>
      <c r="F5102" s="1">
        <v>1.77E-2</v>
      </c>
      <c r="G5102" s="1">
        <v>0.52290000000000003</v>
      </c>
      <c r="I5102" s="1">
        <v>0.18459999999999999</v>
      </c>
      <c r="J5102" s="1">
        <v>4.3799999999999999E-2</v>
      </c>
      <c r="K5102" s="1">
        <v>8.2000000000000007E-3</v>
      </c>
      <c r="L5102" s="1">
        <v>8.2000000000000007E-3</v>
      </c>
      <c r="M5102" s="1">
        <v>0.14990000000000001</v>
      </c>
      <c r="N5102" s="1">
        <v>0.1905</v>
      </c>
      <c r="O5102" s="1">
        <v>2.69E-2</v>
      </c>
      <c r="P5102" s="1">
        <v>7.4000000000000003E-3</v>
      </c>
      <c r="S5102" s="1">
        <v>7.0699999999999999E-2</v>
      </c>
      <c r="T5102" s="1">
        <v>3.4299999999999997E-2</v>
      </c>
      <c r="U5102" s="1">
        <v>3.4299999999999997E-2</v>
      </c>
    </row>
    <row r="5103" spans="1:22">
      <c r="A5103" t="s">
        <v>209</v>
      </c>
      <c r="B5103">
        <v>74</v>
      </c>
      <c r="C5103" t="s">
        <v>210</v>
      </c>
      <c r="D5103">
        <v>967</v>
      </c>
      <c r="E5103" s="1">
        <v>3.5299999999999998E-2</v>
      </c>
      <c r="G5103" s="1">
        <v>0.76580000000000004</v>
      </c>
      <c r="H5103" s="1">
        <v>1.77E-2</v>
      </c>
      <c r="I5103" s="1">
        <v>3.5299999999999998E-2</v>
      </c>
      <c r="J5103" s="1">
        <v>1.77E-2</v>
      </c>
      <c r="K5103" s="1">
        <v>1.77E-2</v>
      </c>
      <c r="M5103" s="1">
        <v>0.1124</v>
      </c>
      <c r="N5103" s="1">
        <v>0.1041</v>
      </c>
      <c r="O5103" s="1">
        <v>8.3000000000000001E-3</v>
      </c>
      <c r="Q5103" s="1">
        <v>4.3700000000000003E-2</v>
      </c>
      <c r="R5103" s="1">
        <v>1.77E-2</v>
      </c>
      <c r="S5103" s="1">
        <v>3.44E-2</v>
      </c>
      <c r="T5103" s="1">
        <v>3.5299999999999998E-2</v>
      </c>
      <c r="U5103" s="1">
        <v>1.77E-2</v>
      </c>
    </row>
    <row r="5104" spans="1:22">
      <c r="A5104" t="s">
        <v>209</v>
      </c>
      <c r="B5104">
        <v>97</v>
      </c>
      <c r="C5104" t="s">
        <v>211</v>
      </c>
      <c r="D5104">
        <v>967</v>
      </c>
      <c r="E5104" s="1">
        <v>0.1071</v>
      </c>
      <c r="F5104" s="1">
        <v>4.1999999999999997E-3</v>
      </c>
      <c r="G5104" s="1">
        <v>0.50829999999999997</v>
      </c>
      <c r="I5104" s="1">
        <v>0.1764</v>
      </c>
      <c r="J5104" s="1">
        <v>7.0699999999999999E-2</v>
      </c>
      <c r="M5104" s="1">
        <v>5.8000000000000003E-2</v>
      </c>
      <c r="N5104" s="1">
        <v>4.5999999999999999E-2</v>
      </c>
      <c r="O5104" s="1">
        <v>2.4E-2</v>
      </c>
      <c r="Q5104" s="1">
        <v>1.2E-2</v>
      </c>
      <c r="R5104" s="1">
        <v>1.2E-2</v>
      </c>
      <c r="S5104" s="1">
        <v>0.15590000000000001</v>
      </c>
      <c r="T5104" s="1">
        <v>3.8199999999999998E-2</v>
      </c>
      <c r="U5104" s="1">
        <v>4.4499999999999998E-2</v>
      </c>
    </row>
    <row r="5105" spans="1:23">
      <c r="A5105" t="s">
        <v>209</v>
      </c>
      <c r="B5105">
        <v>85</v>
      </c>
      <c r="C5105" t="s">
        <v>212</v>
      </c>
      <c r="D5105">
        <v>967</v>
      </c>
      <c r="E5105" s="1">
        <v>6.83E-2</v>
      </c>
      <c r="G5105" s="1">
        <v>0.51080000000000003</v>
      </c>
      <c r="H5105" s="1">
        <v>4.19E-2</v>
      </c>
      <c r="I5105" s="1">
        <v>9.5500000000000002E-2</v>
      </c>
      <c r="J5105" s="1">
        <v>1.4E-2</v>
      </c>
      <c r="K5105" s="1">
        <v>1.4E-2</v>
      </c>
      <c r="L5105" s="1">
        <v>1.4E-2</v>
      </c>
      <c r="M5105" s="1">
        <v>0.12529999999999999</v>
      </c>
      <c r="N5105" s="1">
        <v>0.12590000000000001</v>
      </c>
      <c r="O5105" s="1">
        <v>4.8599999999999997E-2</v>
      </c>
      <c r="P5105" s="1">
        <v>1.1599999999999999E-2</v>
      </c>
      <c r="R5105" s="1">
        <v>3.0499999999999999E-2</v>
      </c>
      <c r="S5105" s="1">
        <v>0.16719999999999999</v>
      </c>
      <c r="T5105" s="1">
        <v>2.5600000000000001E-2</v>
      </c>
      <c r="U5105" s="1">
        <v>5.5899999999999998E-2</v>
      </c>
    </row>
    <row r="5107" spans="1:23">
      <c r="A5107" t="s">
        <v>1135</v>
      </c>
    </row>
    <row r="5108" spans="1:23">
      <c r="A5108" t="s">
        <v>214</v>
      </c>
      <c r="B5108" t="s">
        <v>189</v>
      </c>
      <c r="C5108" t="s">
        <v>195</v>
      </c>
      <c r="D5108" t="s">
        <v>190</v>
      </c>
      <c r="E5108" t="s">
        <v>196</v>
      </c>
      <c r="F5108" t="s">
        <v>1120</v>
      </c>
      <c r="G5108" t="s">
        <v>498</v>
      </c>
      <c r="H5108" t="s">
        <v>276</v>
      </c>
      <c r="I5108" t="s">
        <v>278</v>
      </c>
      <c r="J5108" t="s">
        <v>1121</v>
      </c>
      <c r="K5108" t="s">
        <v>1122</v>
      </c>
      <c r="L5108" t="s">
        <v>1123</v>
      </c>
      <c r="M5108" t="s">
        <v>1124</v>
      </c>
      <c r="N5108" t="s">
        <v>1125</v>
      </c>
      <c r="O5108" t="s">
        <v>1126</v>
      </c>
      <c r="P5108" t="s">
        <v>1127</v>
      </c>
      <c r="Q5108" t="s">
        <v>1128</v>
      </c>
      <c r="R5108" t="s">
        <v>1129</v>
      </c>
      <c r="S5108" t="s">
        <v>1130</v>
      </c>
      <c r="T5108" t="s">
        <v>1131</v>
      </c>
      <c r="U5108" t="s">
        <v>1132</v>
      </c>
      <c r="V5108" t="s">
        <v>1133</v>
      </c>
      <c r="W5108" t="s">
        <v>1134</v>
      </c>
    </row>
    <row r="5109" spans="1:23">
      <c r="A5109" t="s">
        <v>198</v>
      </c>
      <c r="B5109" t="s">
        <v>197</v>
      </c>
      <c r="C5109">
        <v>967</v>
      </c>
      <c r="D5109" t="s">
        <v>198</v>
      </c>
      <c r="E5109">
        <v>967</v>
      </c>
      <c r="F5109" s="1">
        <v>9.7000000000000003E-2</v>
      </c>
      <c r="G5109" s="1">
        <v>9.1999999999999998E-3</v>
      </c>
      <c r="H5109" s="1">
        <v>0.47289999999999999</v>
      </c>
      <c r="I5109" s="1">
        <v>4.5999999999999999E-3</v>
      </c>
      <c r="J5109" s="1">
        <v>0.161</v>
      </c>
      <c r="K5109" s="1">
        <v>3.6700000000000003E-2</v>
      </c>
      <c r="L5109" s="1">
        <v>1.34E-2</v>
      </c>
      <c r="M5109" s="1">
        <v>9.1000000000000004E-3</v>
      </c>
      <c r="N5109" s="1">
        <v>0.15079999999999999</v>
      </c>
      <c r="O5109" s="1">
        <v>0.15509999999999999</v>
      </c>
      <c r="P5109" s="1">
        <v>9.4000000000000004E-3</v>
      </c>
      <c r="Q5109" s="1">
        <v>1.2E-2</v>
      </c>
      <c r="R5109" s="1">
        <v>2.2000000000000001E-3</v>
      </c>
      <c r="S5109" s="1">
        <v>1.8599999999999998E-2</v>
      </c>
      <c r="T5109" s="1">
        <v>0.1087</v>
      </c>
      <c r="U5109" s="1">
        <v>1.8200000000000001E-2</v>
      </c>
      <c r="V5109" s="1">
        <v>3.4299999999999997E-2</v>
      </c>
      <c r="W5109" s="1">
        <v>1E-4</v>
      </c>
    </row>
    <row r="5110" spans="1:23">
      <c r="A5110" t="s">
        <v>235</v>
      </c>
      <c r="B5110" t="s">
        <v>204</v>
      </c>
      <c r="C5110">
        <v>62</v>
      </c>
      <c r="D5110" t="s">
        <v>208</v>
      </c>
      <c r="E5110">
        <v>967</v>
      </c>
      <c r="F5110" s="1">
        <v>4.8399999999999999E-2</v>
      </c>
      <c r="H5110" s="1">
        <v>0.5</v>
      </c>
      <c r="J5110" s="1">
        <v>0.1452</v>
      </c>
      <c r="K5110" s="1">
        <v>3.2300000000000002E-2</v>
      </c>
      <c r="L5110" s="1">
        <v>3.2300000000000002E-2</v>
      </c>
      <c r="M5110" s="1">
        <v>3.2300000000000002E-2</v>
      </c>
      <c r="N5110" s="1">
        <v>9.6799999999999997E-2</v>
      </c>
      <c r="O5110" s="1">
        <v>0.1452</v>
      </c>
      <c r="P5110" s="1">
        <v>1.61E-2</v>
      </c>
      <c r="Q5110" s="1">
        <v>1.61E-2</v>
      </c>
      <c r="T5110" s="1">
        <v>0.129</v>
      </c>
      <c r="U5110" s="1">
        <v>3.2300000000000002E-2</v>
      </c>
      <c r="V5110" s="1">
        <v>6.4500000000000002E-2</v>
      </c>
    </row>
    <row r="5111" spans="1:23">
      <c r="A5111" t="s">
        <v>236</v>
      </c>
      <c r="B5111" t="s">
        <v>204</v>
      </c>
      <c r="C5111">
        <v>32</v>
      </c>
      <c r="D5111" t="s">
        <v>205</v>
      </c>
      <c r="E5111">
        <v>967</v>
      </c>
      <c r="F5111" s="1">
        <v>9.5200000000000007E-2</v>
      </c>
      <c r="H5111" s="1">
        <v>0.56620000000000004</v>
      </c>
      <c r="J5111" s="1">
        <v>0.21609999999999999</v>
      </c>
      <c r="M5111" s="1">
        <v>4.7600000000000003E-2</v>
      </c>
      <c r="N5111" s="1">
        <v>3.15E-2</v>
      </c>
      <c r="O5111" s="1">
        <v>6.54E-2</v>
      </c>
      <c r="R5111" s="1">
        <v>1.37E-2</v>
      </c>
      <c r="S5111" s="1">
        <v>4.7600000000000003E-2</v>
      </c>
      <c r="U5111" s="1">
        <v>1.7899999999999999E-2</v>
      </c>
    </row>
    <row r="5112" spans="1:23">
      <c r="A5112" t="s">
        <v>235</v>
      </c>
      <c r="B5112" t="s">
        <v>204</v>
      </c>
      <c r="C5112">
        <v>58</v>
      </c>
      <c r="D5112" t="s">
        <v>205</v>
      </c>
      <c r="E5112">
        <v>967</v>
      </c>
      <c r="F5112" s="1">
        <v>0.13689999999999999</v>
      </c>
      <c r="H5112" s="1">
        <v>0.33250000000000002</v>
      </c>
      <c r="J5112" s="1">
        <v>0.15559999999999999</v>
      </c>
      <c r="K5112" s="1">
        <v>5.3400000000000003E-2</v>
      </c>
      <c r="L5112" s="1">
        <v>3.8999999999999998E-3</v>
      </c>
      <c r="N5112" s="1">
        <v>0.27929999999999999</v>
      </c>
      <c r="O5112" s="1">
        <v>0.1893</v>
      </c>
      <c r="Q5112" s="1">
        <v>4.48E-2</v>
      </c>
      <c r="S5112" s="1">
        <v>4.87E-2</v>
      </c>
      <c r="T5112" s="1">
        <v>0.1741</v>
      </c>
      <c r="U5112" s="1">
        <v>2.0299999999999999E-2</v>
      </c>
      <c r="V5112" s="1">
        <v>7.0300000000000001E-2</v>
      </c>
    </row>
    <row r="5113" spans="1:23" s="26" customFormat="1">
      <c r="A5113" s="26" t="s">
        <v>236</v>
      </c>
      <c r="B5113" s="26" t="s">
        <v>204</v>
      </c>
      <c r="C5113" s="26">
        <v>21</v>
      </c>
      <c r="D5113" s="26" t="s">
        <v>206</v>
      </c>
      <c r="E5113" s="26">
        <v>967</v>
      </c>
      <c r="H5113" s="27">
        <v>0.56420000000000003</v>
      </c>
      <c r="J5113" s="27">
        <v>0.14530000000000001</v>
      </c>
      <c r="L5113" s="27">
        <v>8.5500000000000007E-2</v>
      </c>
      <c r="O5113" s="27">
        <v>4.2799999999999998E-2</v>
      </c>
      <c r="P5113" s="27">
        <v>0.10249999999999999</v>
      </c>
      <c r="R5113" s="27">
        <v>5.9700000000000003E-2</v>
      </c>
      <c r="S5113" s="27">
        <v>4.2799999999999998E-2</v>
      </c>
      <c r="T5113" s="27">
        <v>8.5500000000000007E-2</v>
      </c>
      <c r="W5113" s="27">
        <v>4.2799999999999998E-2</v>
      </c>
    </row>
    <row r="5114" spans="1:23">
      <c r="A5114" t="s">
        <v>235</v>
      </c>
      <c r="B5114" t="s">
        <v>204</v>
      </c>
      <c r="C5114">
        <v>47</v>
      </c>
      <c r="D5114" t="s">
        <v>206</v>
      </c>
      <c r="E5114">
        <v>967</v>
      </c>
      <c r="F5114" s="1">
        <v>2.4E-2</v>
      </c>
      <c r="H5114" s="1">
        <v>0.84540000000000004</v>
      </c>
      <c r="J5114" s="1">
        <v>4.8099999999999997E-2</v>
      </c>
      <c r="K5114" s="1">
        <v>2.4E-2</v>
      </c>
      <c r="N5114" s="1">
        <v>1.72E-2</v>
      </c>
      <c r="R5114" s="1">
        <v>1.72E-2</v>
      </c>
      <c r="T5114" s="1">
        <v>4.8099999999999997E-2</v>
      </c>
    </row>
    <row r="5115" spans="1:23">
      <c r="A5115" t="s">
        <v>236</v>
      </c>
      <c r="B5115" t="s">
        <v>204</v>
      </c>
      <c r="C5115">
        <v>81</v>
      </c>
      <c r="D5115" t="s">
        <v>207</v>
      </c>
      <c r="E5115">
        <v>967</v>
      </c>
      <c r="F5115" s="1">
        <v>0.1215</v>
      </c>
      <c r="G5115" s="1">
        <v>1.5599999999999999E-2</v>
      </c>
      <c r="H5115" s="1">
        <v>0.37009999999999998</v>
      </c>
      <c r="J5115" s="1">
        <v>0.29070000000000001</v>
      </c>
      <c r="K5115" s="1">
        <v>0.1421</v>
      </c>
      <c r="M5115" s="1">
        <v>8.8000000000000005E-3</v>
      </c>
      <c r="N5115" s="1">
        <v>0.2792</v>
      </c>
      <c r="O5115" s="1">
        <v>0.25209999999999999</v>
      </c>
      <c r="P5115" s="1">
        <v>5.7000000000000002E-3</v>
      </c>
      <c r="R5115" s="1">
        <v>2.3E-3</v>
      </c>
      <c r="T5115" s="1">
        <v>4.1000000000000002E-2</v>
      </c>
      <c r="U5115" s="1">
        <v>5.7000000000000002E-3</v>
      </c>
      <c r="V5115" s="1">
        <v>6.0000000000000001E-3</v>
      </c>
    </row>
    <row r="5116" spans="1:23">
      <c r="A5116" t="s">
        <v>235</v>
      </c>
      <c r="B5116" t="s">
        <v>204</v>
      </c>
      <c r="C5116">
        <v>45</v>
      </c>
      <c r="D5116" t="s">
        <v>207</v>
      </c>
      <c r="E5116">
        <v>967</v>
      </c>
      <c r="F5116" s="1">
        <v>8.6E-3</v>
      </c>
      <c r="H5116" s="1">
        <v>0.79430000000000001</v>
      </c>
      <c r="J5116" s="1">
        <v>9.4500000000000001E-2</v>
      </c>
      <c r="K5116" s="1">
        <v>4.0000000000000001E-3</v>
      </c>
      <c r="L5116" s="1">
        <v>7.8299999999999995E-2</v>
      </c>
      <c r="M5116" s="1">
        <v>4.0000000000000001E-3</v>
      </c>
      <c r="N5116" s="1">
        <v>3.0999999999999999E-3</v>
      </c>
      <c r="O5116" s="1">
        <v>8.2500000000000004E-2</v>
      </c>
      <c r="P5116" s="1">
        <v>4.3E-3</v>
      </c>
      <c r="R5116" s="1">
        <v>4.3E-3</v>
      </c>
      <c r="T5116" s="1">
        <v>1.55E-2</v>
      </c>
      <c r="V5116" s="1">
        <v>4.3E-3</v>
      </c>
    </row>
    <row r="5117" spans="1:23" s="26" customFormat="1">
      <c r="A5117" s="26" t="s">
        <v>236</v>
      </c>
      <c r="B5117" s="26" t="s">
        <v>204</v>
      </c>
      <c r="C5117" s="26">
        <v>11</v>
      </c>
      <c r="D5117" s="26" t="s">
        <v>208</v>
      </c>
      <c r="E5117" s="26">
        <v>967</v>
      </c>
      <c r="H5117" s="27">
        <v>0.72729999999999995</v>
      </c>
      <c r="J5117" s="27">
        <v>0.18179999999999999</v>
      </c>
      <c r="M5117" s="27">
        <v>9.0899999999999995E-2</v>
      </c>
      <c r="N5117" s="27">
        <v>0.18179999999999999</v>
      </c>
      <c r="O5117" s="27">
        <v>9.0899999999999995E-2</v>
      </c>
      <c r="S5117" s="27">
        <v>9.0899999999999995E-2</v>
      </c>
    </row>
    <row r="5118" spans="1:23">
      <c r="A5118" t="s">
        <v>235</v>
      </c>
      <c r="B5118" t="s">
        <v>199</v>
      </c>
      <c r="C5118">
        <v>44</v>
      </c>
      <c r="D5118" t="s">
        <v>203</v>
      </c>
      <c r="E5118">
        <v>967</v>
      </c>
      <c r="F5118" s="1">
        <v>0.1244</v>
      </c>
      <c r="H5118" s="1">
        <v>0.48120000000000002</v>
      </c>
      <c r="J5118" s="1">
        <v>0.19750000000000001</v>
      </c>
      <c r="K5118" s="1">
        <v>5.4600000000000003E-2</v>
      </c>
      <c r="N5118" s="1">
        <v>0.1699</v>
      </c>
      <c r="O5118" s="1">
        <v>0.24299999999999999</v>
      </c>
      <c r="P5118" s="1">
        <v>4.2799999999999998E-2</v>
      </c>
      <c r="Q5118" s="1">
        <v>1.18E-2</v>
      </c>
      <c r="T5118" s="1">
        <v>0.11260000000000001</v>
      </c>
      <c r="U5118" s="1">
        <v>5.4600000000000003E-2</v>
      </c>
      <c r="V5118" s="1">
        <v>5.4600000000000003E-2</v>
      </c>
    </row>
    <row r="5119" spans="1:23">
      <c r="A5119" t="s">
        <v>236</v>
      </c>
      <c r="B5119" t="s">
        <v>199</v>
      </c>
      <c r="C5119">
        <v>32</v>
      </c>
      <c r="D5119" t="s">
        <v>203</v>
      </c>
      <c r="E5119">
        <v>967</v>
      </c>
      <c r="F5119" s="1">
        <v>8.3999999999999995E-3</v>
      </c>
      <c r="G5119" s="1">
        <v>5.1299999999999998E-2</v>
      </c>
      <c r="H5119" s="1">
        <v>0.63929999999999998</v>
      </c>
      <c r="J5119" s="1">
        <v>0.17549999999999999</v>
      </c>
      <c r="K5119" s="1">
        <v>2.75E-2</v>
      </c>
      <c r="L5119" s="1">
        <v>2.3900000000000001E-2</v>
      </c>
      <c r="M5119" s="1">
        <v>2.3900000000000001E-2</v>
      </c>
      <c r="N5119" s="1">
        <v>0.12540000000000001</v>
      </c>
      <c r="O5119" s="1">
        <v>0.11</v>
      </c>
    </row>
    <row r="5120" spans="1:23">
      <c r="A5120" t="s">
        <v>235</v>
      </c>
      <c r="B5120" t="s">
        <v>199</v>
      </c>
      <c r="C5120">
        <v>60</v>
      </c>
      <c r="D5120" t="s">
        <v>202</v>
      </c>
      <c r="E5120">
        <v>967</v>
      </c>
      <c r="F5120" s="1">
        <v>8.4199999999999997E-2</v>
      </c>
      <c r="G5120" s="1">
        <v>1.5800000000000002E-2</v>
      </c>
      <c r="H5120" s="1">
        <v>0.49730000000000002</v>
      </c>
      <c r="J5120" s="1">
        <v>9.2100000000000001E-2</v>
      </c>
      <c r="K5120" s="1">
        <v>7.4000000000000003E-3</v>
      </c>
      <c r="N5120" s="1">
        <v>0.13750000000000001</v>
      </c>
      <c r="O5120" s="1">
        <v>0.2016</v>
      </c>
      <c r="T5120" s="1">
        <v>0.1318</v>
      </c>
      <c r="U5120" s="1">
        <v>3.1E-2</v>
      </c>
      <c r="V5120" s="1">
        <v>7.4000000000000003E-3</v>
      </c>
    </row>
    <row r="5121" spans="1:22" s="26" customFormat="1">
      <c r="A5121" s="26" t="s">
        <v>236</v>
      </c>
      <c r="B5121" s="26" t="s">
        <v>199</v>
      </c>
      <c r="C5121" s="26">
        <v>24</v>
      </c>
      <c r="D5121" s="26" t="s">
        <v>200</v>
      </c>
      <c r="E5121" s="26">
        <v>967</v>
      </c>
      <c r="F5121" s="27">
        <v>9.8799999999999999E-2</v>
      </c>
      <c r="H5121" s="27">
        <v>0.27689999999999998</v>
      </c>
      <c r="J5121" s="27">
        <v>0.34639999999999999</v>
      </c>
      <c r="L5121" s="27">
        <v>0.12889999999999999</v>
      </c>
      <c r="N5121" s="27">
        <v>3.5900000000000001E-2</v>
      </c>
      <c r="O5121" s="27">
        <v>3.9300000000000002E-2</v>
      </c>
      <c r="S5121" s="27">
        <v>0.12889999999999999</v>
      </c>
      <c r="T5121" s="27">
        <v>0.1489</v>
      </c>
    </row>
    <row r="5122" spans="1:22">
      <c r="A5122" t="s">
        <v>235</v>
      </c>
      <c r="B5122" t="s">
        <v>199</v>
      </c>
      <c r="C5122">
        <v>46</v>
      </c>
      <c r="D5122" t="s">
        <v>200</v>
      </c>
      <c r="E5122">
        <v>967</v>
      </c>
      <c r="F5122" s="1">
        <v>9.1300000000000006E-2</v>
      </c>
      <c r="H5122" s="1">
        <v>0.3599</v>
      </c>
      <c r="J5122" s="1">
        <v>0.44259999999999999</v>
      </c>
      <c r="L5122" s="1">
        <v>3.0000000000000001E-3</v>
      </c>
      <c r="N5122" s="1">
        <v>0.39489999999999997</v>
      </c>
      <c r="O5122" s="1">
        <v>0.39489999999999997</v>
      </c>
      <c r="T5122" s="1">
        <v>8.9999999999999993E-3</v>
      </c>
      <c r="V5122" s="1">
        <v>3.0000000000000001E-3</v>
      </c>
    </row>
    <row r="5123" spans="1:22">
      <c r="A5123" t="s">
        <v>236</v>
      </c>
      <c r="B5123" t="s">
        <v>199</v>
      </c>
      <c r="C5123">
        <v>37</v>
      </c>
      <c r="D5123" t="s">
        <v>202</v>
      </c>
      <c r="E5123">
        <v>967</v>
      </c>
      <c r="F5123" s="1">
        <v>0.1794</v>
      </c>
      <c r="H5123" s="1">
        <v>0.29220000000000002</v>
      </c>
      <c r="J5123" s="1">
        <v>0.21440000000000001</v>
      </c>
      <c r="K5123" s="1">
        <v>2.1899999999999999E-2</v>
      </c>
      <c r="N5123" s="1">
        <v>0.2122</v>
      </c>
      <c r="O5123" s="1">
        <v>0.22509999999999999</v>
      </c>
      <c r="T5123" s="1">
        <v>5.6099999999999997E-2</v>
      </c>
      <c r="U5123" s="1">
        <v>2.1899999999999999E-2</v>
      </c>
    </row>
    <row r="5124" spans="1:22">
      <c r="A5124" t="s">
        <v>235</v>
      </c>
      <c r="B5124" t="s">
        <v>199</v>
      </c>
      <c r="C5124">
        <v>96</v>
      </c>
      <c r="D5124" t="s">
        <v>201</v>
      </c>
      <c r="E5124">
        <v>967</v>
      </c>
      <c r="F5124" s="1">
        <v>0.11459999999999999</v>
      </c>
      <c r="G5124" s="1">
        <v>2.0799999999999999E-2</v>
      </c>
      <c r="H5124" s="1">
        <v>0.44790000000000002</v>
      </c>
      <c r="J5124" s="1">
        <v>0.16669999999999999</v>
      </c>
      <c r="K5124" s="1">
        <v>4.1700000000000001E-2</v>
      </c>
      <c r="M5124" s="1">
        <v>1.04E-2</v>
      </c>
      <c r="N5124" s="1">
        <v>0.125</v>
      </c>
      <c r="O5124" s="1">
        <v>0.14580000000000001</v>
      </c>
      <c r="Q5124" s="1">
        <v>1.04E-2</v>
      </c>
      <c r="S5124" s="1">
        <v>1.04E-2</v>
      </c>
      <c r="T5124" s="1">
        <v>0.11459999999999999</v>
      </c>
      <c r="U5124" s="1">
        <v>1.04E-2</v>
      </c>
      <c r="V5124" s="1">
        <v>4.1700000000000001E-2</v>
      </c>
    </row>
    <row r="5125" spans="1:22">
      <c r="A5125" t="s">
        <v>236</v>
      </c>
      <c r="B5125" t="s">
        <v>209</v>
      </c>
      <c r="C5125">
        <v>39</v>
      </c>
      <c r="D5125" t="s">
        <v>211</v>
      </c>
      <c r="E5125">
        <v>967</v>
      </c>
      <c r="F5125" s="1">
        <v>9.7799999999999998E-2</v>
      </c>
      <c r="G5125" s="1">
        <v>1.18E-2</v>
      </c>
      <c r="H5125" s="1">
        <v>0.47020000000000001</v>
      </c>
      <c r="J5125" s="1">
        <v>0.2195</v>
      </c>
      <c r="K5125" s="1">
        <v>5.7299999999999997E-2</v>
      </c>
      <c r="N5125" s="1">
        <v>3.3599999999999998E-2</v>
      </c>
      <c r="O5125" s="1">
        <v>3.3599999999999998E-2</v>
      </c>
      <c r="P5125" s="1">
        <v>3.3599999999999998E-2</v>
      </c>
      <c r="R5125" s="1">
        <v>3.3599999999999998E-2</v>
      </c>
      <c r="S5125" s="1">
        <v>3.3599999999999998E-2</v>
      </c>
      <c r="T5125" s="1">
        <v>0.18890000000000001</v>
      </c>
      <c r="U5125" s="1">
        <v>4.5400000000000003E-2</v>
      </c>
      <c r="V5125" s="1">
        <v>4.5400000000000003E-2</v>
      </c>
    </row>
    <row r="5126" spans="1:22">
      <c r="A5126" t="s">
        <v>235</v>
      </c>
      <c r="B5126" t="s">
        <v>209</v>
      </c>
      <c r="C5126">
        <v>56</v>
      </c>
      <c r="D5126" t="s">
        <v>211</v>
      </c>
      <c r="E5126">
        <v>967</v>
      </c>
      <c r="F5126" s="1">
        <v>0.1179</v>
      </c>
      <c r="H5126" s="1">
        <v>0.50609999999999999</v>
      </c>
      <c r="J5126" s="1">
        <v>0.16</v>
      </c>
      <c r="K5126" s="1">
        <v>8.2000000000000003E-2</v>
      </c>
      <c r="N5126" s="1">
        <v>7.51E-2</v>
      </c>
      <c r="O5126" s="1">
        <v>5.5399999999999998E-2</v>
      </c>
      <c r="P5126" s="1">
        <v>1.9599999999999999E-2</v>
      </c>
      <c r="T5126" s="1">
        <v>0.1444</v>
      </c>
      <c r="U5126" s="1">
        <v>3.5799999999999998E-2</v>
      </c>
      <c r="V5126" s="1">
        <v>4.6199999999999998E-2</v>
      </c>
    </row>
    <row r="5127" spans="1:22">
      <c r="A5127" t="s">
        <v>235</v>
      </c>
      <c r="B5127" t="s">
        <v>209</v>
      </c>
      <c r="C5127">
        <v>67</v>
      </c>
      <c r="D5127" t="s">
        <v>212</v>
      </c>
      <c r="E5127">
        <v>967</v>
      </c>
      <c r="F5127" s="1">
        <v>7.0800000000000002E-2</v>
      </c>
      <c r="H5127" s="1">
        <v>0.52510000000000001</v>
      </c>
      <c r="I5127" s="1">
        <v>4.8599999999999997E-2</v>
      </c>
      <c r="J5127" s="1">
        <v>9.7299999999999998E-2</v>
      </c>
      <c r="K5127" s="1">
        <v>1.6199999999999999E-2</v>
      </c>
      <c r="L5127" s="1">
        <v>1.6199999999999999E-2</v>
      </c>
      <c r="M5127" s="1">
        <v>1.6199999999999999E-2</v>
      </c>
      <c r="N5127" s="1">
        <v>0.1135</v>
      </c>
      <c r="O5127" s="1">
        <v>0.11070000000000001</v>
      </c>
      <c r="P5127" s="1">
        <v>4.8000000000000001E-2</v>
      </c>
      <c r="S5127" s="1">
        <v>1.6199999999999999E-2</v>
      </c>
      <c r="T5127" s="1">
        <v>0.1777</v>
      </c>
      <c r="U5127" s="1">
        <v>2.9600000000000001E-2</v>
      </c>
      <c r="V5127" s="1">
        <v>6.4799999999999996E-2</v>
      </c>
    </row>
    <row r="5128" spans="1:22" s="26" customFormat="1">
      <c r="A5128" s="26" t="s">
        <v>236</v>
      </c>
      <c r="B5128" s="26" t="s">
        <v>209</v>
      </c>
      <c r="C5128" s="26">
        <v>18</v>
      </c>
      <c r="D5128" s="26" t="s">
        <v>212</v>
      </c>
      <c r="E5128" s="26">
        <v>967</v>
      </c>
      <c r="F5128" s="27">
        <v>5.2499999999999998E-2</v>
      </c>
      <c r="H5128" s="27">
        <v>0.42180000000000001</v>
      </c>
      <c r="J5128" s="27">
        <v>8.3900000000000002E-2</v>
      </c>
      <c r="N5128" s="27">
        <v>0.19900000000000001</v>
      </c>
      <c r="O5128" s="27">
        <v>0.22109999999999999</v>
      </c>
      <c r="P5128" s="27">
        <v>5.2499999999999998E-2</v>
      </c>
      <c r="Q5128" s="27">
        <v>8.3900000000000002E-2</v>
      </c>
      <c r="S5128" s="27">
        <v>0.11940000000000001</v>
      </c>
      <c r="T5128" s="27">
        <v>0.1013</v>
      </c>
    </row>
    <row r="5129" spans="1:22">
      <c r="A5129" t="s">
        <v>236</v>
      </c>
      <c r="B5129" t="s">
        <v>209</v>
      </c>
      <c r="C5129">
        <v>38</v>
      </c>
      <c r="D5129" t="s">
        <v>210</v>
      </c>
      <c r="E5129">
        <v>967</v>
      </c>
      <c r="H5129" s="1">
        <v>0.83730000000000004</v>
      </c>
      <c r="N5129" s="1">
        <v>8.1299999999999997E-2</v>
      </c>
      <c r="O5129" s="1">
        <v>6.0999999999999999E-2</v>
      </c>
      <c r="P5129" s="1">
        <v>2.0299999999999999E-2</v>
      </c>
      <c r="R5129" s="1">
        <v>2.0299999999999999E-2</v>
      </c>
      <c r="T5129" s="1">
        <v>4.07E-2</v>
      </c>
    </row>
    <row r="5130" spans="1:22">
      <c r="A5130" t="s">
        <v>235</v>
      </c>
      <c r="B5130" t="s">
        <v>209</v>
      </c>
      <c r="C5130">
        <v>32</v>
      </c>
      <c r="D5130" t="s">
        <v>210</v>
      </c>
      <c r="E5130">
        <v>967</v>
      </c>
      <c r="F5130" s="1">
        <v>6.4600000000000005E-2</v>
      </c>
      <c r="H5130" s="1">
        <v>0.69389999999999996</v>
      </c>
      <c r="I5130" s="1">
        <v>3.2300000000000002E-2</v>
      </c>
      <c r="J5130" s="1">
        <v>6.4600000000000005E-2</v>
      </c>
      <c r="K5130" s="1">
        <v>3.2300000000000002E-2</v>
      </c>
      <c r="L5130" s="1">
        <v>3.2300000000000002E-2</v>
      </c>
      <c r="N5130" s="1">
        <v>0.14449999999999999</v>
      </c>
      <c r="O5130" s="1">
        <v>0.14449999999999999</v>
      </c>
      <c r="R5130" s="1">
        <v>6.4600000000000005E-2</v>
      </c>
      <c r="S5130" s="1">
        <v>3.2300000000000002E-2</v>
      </c>
      <c r="T5130" s="1">
        <v>3.2300000000000002E-2</v>
      </c>
      <c r="U5130" s="1">
        <v>6.4600000000000005E-2</v>
      </c>
      <c r="V5130" s="1">
        <v>3.2300000000000002E-2</v>
      </c>
    </row>
    <row r="5132" spans="1:22">
      <c r="A5132" t="s">
        <v>1136</v>
      </c>
    </row>
    <row r="5133" spans="1:22">
      <c r="A5133" t="s">
        <v>189</v>
      </c>
      <c r="B5133" t="s">
        <v>195</v>
      </c>
      <c r="C5133" t="s">
        <v>190</v>
      </c>
      <c r="D5133" t="s">
        <v>196</v>
      </c>
      <c r="E5133" t="s">
        <v>1137</v>
      </c>
      <c r="F5133" t="s">
        <v>1138</v>
      </c>
      <c r="G5133" t="s">
        <v>223</v>
      </c>
      <c r="H5133" t="s">
        <v>1139</v>
      </c>
      <c r="I5133" t="s">
        <v>1140</v>
      </c>
      <c r="J5133" t="s">
        <v>1141</v>
      </c>
    </row>
    <row r="5134" spans="1:22">
      <c r="A5134" t="s">
        <v>197</v>
      </c>
      <c r="B5134">
        <v>734</v>
      </c>
      <c r="C5134" t="s">
        <v>198</v>
      </c>
      <c r="D5134">
        <v>734</v>
      </c>
      <c r="E5134" s="1">
        <v>4.7899999999999998E-2</v>
      </c>
      <c r="F5134" s="1">
        <v>0.1157</v>
      </c>
      <c r="G5134" s="1">
        <v>3.8999999999999998E-3</v>
      </c>
      <c r="H5134" s="1">
        <v>0.66090000000000004</v>
      </c>
      <c r="I5134" s="1">
        <v>6.4000000000000003E-3</v>
      </c>
      <c r="J5134" s="1">
        <v>0.1651</v>
      </c>
    </row>
    <row r="5135" spans="1:22">
      <c r="A5135" t="s">
        <v>204</v>
      </c>
      <c r="B5135">
        <v>77</v>
      </c>
      <c r="C5135" t="s">
        <v>205</v>
      </c>
      <c r="D5135">
        <v>734</v>
      </c>
      <c r="E5135" s="1">
        <v>1.9400000000000001E-2</v>
      </c>
      <c r="F5135" s="1">
        <v>7.7899999999999997E-2</v>
      </c>
      <c r="H5135" s="1">
        <v>0.7601</v>
      </c>
      <c r="J5135" s="1">
        <v>0.14269999999999999</v>
      </c>
    </row>
    <row r="5136" spans="1:22">
      <c r="A5136" t="s">
        <v>204</v>
      </c>
      <c r="B5136">
        <v>66</v>
      </c>
      <c r="C5136" t="s">
        <v>206</v>
      </c>
      <c r="D5136">
        <v>734</v>
      </c>
      <c r="E5136" s="1">
        <v>6.8199999999999997E-2</v>
      </c>
      <c r="F5136" s="1">
        <v>5.5599999999999997E-2</v>
      </c>
      <c r="H5136" s="1">
        <v>0.64139999999999997</v>
      </c>
      <c r="J5136" s="1">
        <v>0.23480000000000001</v>
      </c>
    </row>
    <row r="5137" spans="1:11">
      <c r="A5137" t="s">
        <v>204</v>
      </c>
      <c r="B5137">
        <v>104</v>
      </c>
      <c r="C5137" t="s">
        <v>207</v>
      </c>
      <c r="D5137">
        <v>734</v>
      </c>
      <c r="E5137" s="1">
        <v>1.34E-2</v>
      </c>
      <c r="F5137" s="1">
        <v>0.11550000000000001</v>
      </c>
      <c r="G5137" s="1">
        <v>8.0000000000000002E-3</v>
      </c>
      <c r="H5137" s="1">
        <v>0.63090000000000002</v>
      </c>
      <c r="J5137" s="1">
        <v>0.2321</v>
      </c>
    </row>
    <row r="5138" spans="1:11">
      <c r="A5138" t="s">
        <v>204</v>
      </c>
      <c r="B5138">
        <v>64</v>
      </c>
      <c r="C5138" t="s">
        <v>208</v>
      </c>
      <c r="D5138">
        <v>734</v>
      </c>
      <c r="E5138" s="1">
        <v>3.1199999999999999E-2</v>
      </c>
      <c r="F5138" s="1">
        <v>0.1719</v>
      </c>
      <c r="H5138" s="1">
        <v>0.6875</v>
      </c>
      <c r="J5138" s="1">
        <v>0.1094</v>
      </c>
    </row>
    <row r="5139" spans="1:11">
      <c r="A5139" t="s">
        <v>199</v>
      </c>
      <c r="B5139">
        <v>59</v>
      </c>
      <c r="C5139" t="s">
        <v>200</v>
      </c>
      <c r="D5139">
        <v>734</v>
      </c>
      <c r="E5139" s="1">
        <v>1.4800000000000001E-2</v>
      </c>
      <c r="F5139" s="1">
        <v>0.1046</v>
      </c>
      <c r="H5139" s="1">
        <v>0.75239999999999996</v>
      </c>
      <c r="J5139" s="1">
        <v>0.12820000000000001</v>
      </c>
    </row>
    <row r="5140" spans="1:11">
      <c r="A5140" t="s">
        <v>199</v>
      </c>
      <c r="B5140">
        <v>61</v>
      </c>
      <c r="C5140" t="s">
        <v>201</v>
      </c>
      <c r="D5140">
        <v>734</v>
      </c>
      <c r="E5140" s="1">
        <v>8.2000000000000003E-2</v>
      </c>
      <c r="F5140" s="1">
        <v>0.13109999999999999</v>
      </c>
      <c r="H5140" s="1">
        <v>0.57379999999999998</v>
      </c>
      <c r="I5140" s="1">
        <v>1.6400000000000001E-2</v>
      </c>
      <c r="J5140" s="1">
        <v>0.19670000000000001</v>
      </c>
    </row>
    <row r="5141" spans="1:11">
      <c r="A5141" t="s">
        <v>199</v>
      </c>
      <c r="B5141">
        <v>49</v>
      </c>
      <c r="C5141" t="s">
        <v>202</v>
      </c>
      <c r="D5141">
        <v>734</v>
      </c>
      <c r="E5141" s="1">
        <v>0.1168</v>
      </c>
      <c r="F5141" s="1">
        <v>0.20799999999999999</v>
      </c>
      <c r="G5141" s="1">
        <v>2.6800000000000001E-2</v>
      </c>
      <c r="H5141" s="1">
        <v>0.48909999999999998</v>
      </c>
      <c r="I5141" s="1">
        <v>2.8500000000000001E-2</v>
      </c>
      <c r="J5141" s="1">
        <v>0.1308</v>
      </c>
    </row>
    <row r="5142" spans="1:11">
      <c r="A5142" t="s">
        <v>199</v>
      </c>
      <c r="B5142">
        <v>57</v>
      </c>
      <c r="C5142" t="s">
        <v>203</v>
      </c>
      <c r="D5142">
        <v>734</v>
      </c>
      <c r="E5142" s="1">
        <v>4.6199999999999998E-2</v>
      </c>
      <c r="F5142" s="1">
        <v>0.1047</v>
      </c>
      <c r="H5142" s="1">
        <v>0.65559999999999996</v>
      </c>
      <c r="J5142" s="1">
        <v>0.19350000000000001</v>
      </c>
    </row>
    <row r="5143" spans="1:11">
      <c r="A5143" t="s">
        <v>209</v>
      </c>
      <c r="B5143">
        <v>62</v>
      </c>
      <c r="C5143" t="s">
        <v>210</v>
      </c>
      <c r="D5143">
        <v>734</v>
      </c>
      <c r="F5143" s="1">
        <v>5.2400000000000002E-2</v>
      </c>
      <c r="H5143" s="1">
        <v>0.74939999999999996</v>
      </c>
      <c r="J5143" s="1">
        <v>0.19819999999999999</v>
      </c>
    </row>
    <row r="5144" spans="1:11">
      <c r="A5144" t="s">
        <v>209</v>
      </c>
      <c r="B5144">
        <v>72</v>
      </c>
      <c r="C5144" t="s">
        <v>211</v>
      </c>
      <c r="D5144">
        <v>734</v>
      </c>
      <c r="E5144" s="1">
        <v>8.2500000000000004E-2</v>
      </c>
      <c r="F5144" s="1">
        <v>9.0399999999999994E-2</v>
      </c>
      <c r="H5144" s="1">
        <v>0.64029999999999998</v>
      </c>
      <c r="I5144" s="1">
        <v>1.6899999999999998E-2</v>
      </c>
      <c r="J5144" s="1">
        <v>0.1699</v>
      </c>
    </row>
    <row r="5145" spans="1:11">
      <c r="A5145" t="s">
        <v>209</v>
      </c>
      <c r="B5145">
        <v>63</v>
      </c>
      <c r="C5145" t="s">
        <v>212</v>
      </c>
      <c r="D5145">
        <v>734</v>
      </c>
      <c r="E5145" s="1">
        <v>5.1499999999999997E-2</v>
      </c>
      <c r="F5145" s="1">
        <v>8.5599999999999996E-2</v>
      </c>
      <c r="H5145" s="1">
        <v>0.73609999999999998</v>
      </c>
      <c r="J5145" s="1">
        <v>0.1268</v>
      </c>
    </row>
    <row r="5147" spans="1:11">
      <c r="A5147" t="s">
        <v>1142</v>
      </c>
    </row>
    <row r="5148" spans="1:11">
      <c r="A5148" t="s">
        <v>214</v>
      </c>
      <c r="B5148" t="s">
        <v>189</v>
      </c>
      <c r="C5148" t="s">
        <v>195</v>
      </c>
      <c r="D5148" t="s">
        <v>190</v>
      </c>
      <c r="E5148" t="s">
        <v>196</v>
      </c>
      <c r="F5148" t="s">
        <v>1137</v>
      </c>
      <c r="G5148" t="s">
        <v>1138</v>
      </c>
      <c r="H5148" t="s">
        <v>223</v>
      </c>
      <c r="I5148" t="s">
        <v>1139</v>
      </c>
      <c r="J5148" t="s">
        <v>1140</v>
      </c>
      <c r="K5148" t="s">
        <v>1141</v>
      </c>
    </row>
    <row r="5149" spans="1:11">
      <c r="A5149" t="s">
        <v>198</v>
      </c>
      <c r="B5149" t="s">
        <v>197</v>
      </c>
      <c r="C5149">
        <v>734</v>
      </c>
      <c r="D5149" t="s">
        <v>198</v>
      </c>
      <c r="E5149">
        <v>734</v>
      </c>
      <c r="F5149" s="1">
        <v>4.7899999999999998E-2</v>
      </c>
      <c r="G5149" s="1">
        <v>0.1157</v>
      </c>
      <c r="H5149" s="1">
        <v>3.8999999999999998E-3</v>
      </c>
      <c r="I5149" s="1">
        <v>0.66090000000000004</v>
      </c>
      <c r="J5149" s="1">
        <v>6.4000000000000003E-3</v>
      </c>
      <c r="K5149" s="1">
        <v>0.1651</v>
      </c>
    </row>
    <row r="5150" spans="1:11">
      <c r="A5150" t="s">
        <v>235</v>
      </c>
      <c r="B5150" t="s">
        <v>204</v>
      </c>
      <c r="C5150">
        <v>53</v>
      </c>
      <c r="D5150" t="s">
        <v>208</v>
      </c>
      <c r="E5150">
        <v>734</v>
      </c>
      <c r="F5150" s="1">
        <v>3.7699999999999997E-2</v>
      </c>
      <c r="G5150" s="1">
        <v>0.15090000000000001</v>
      </c>
      <c r="I5150" s="1">
        <v>0.67920000000000003</v>
      </c>
      <c r="K5150" s="1">
        <v>0.1321</v>
      </c>
    </row>
    <row r="5151" spans="1:11" s="26" customFormat="1">
      <c r="A5151" s="26" t="s">
        <v>236</v>
      </c>
      <c r="B5151" s="26" t="s">
        <v>204</v>
      </c>
      <c r="C5151" s="26">
        <v>26</v>
      </c>
      <c r="D5151" s="26" t="s">
        <v>205</v>
      </c>
      <c r="E5151" s="26">
        <v>734</v>
      </c>
      <c r="G5151" s="27">
        <v>0.22109999999999999</v>
      </c>
      <c r="I5151" s="27">
        <v>0.64319999999999999</v>
      </c>
      <c r="K5151" s="27">
        <v>0.13569999999999999</v>
      </c>
    </row>
    <row r="5152" spans="1:11">
      <c r="A5152" t="s">
        <v>235</v>
      </c>
      <c r="B5152" t="s">
        <v>204</v>
      </c>
      <c r="C5152">
        <v>51</v>
      </c>
      <c r="D5152" t="s">
        <v>205</v>
      </c>
      <c r="E5152">
        <v>734</v>
      </c>
      <c r="F5152" s="1">
        <v>2.3E-2</v>
      </c>
      <c r="G5152" s="1">
        <v>5.1200000000000002E-2</v>
      </c>
      <c r="I5152" s="1">
        <v>0.78190000000000004</v>
      </c>
      <c r="K5152" s="1">
        <v>0.14399999999999999</v>
      </c>
    </row>
    <row r="5153" spans="1:11" s="26" customFormat="1">
      <c r="A5153" s="26" t="s">
        <v>236</v>
      </c>
      <c r="B5153" s="26" t="s">
        <v>204</v>
      </c>
      <c r="C5153" s="26">
        <v>20</v>
      </c>
      <c r="D5153" s="26" t="s">
        <v>206</v>
      </c>
      <c r="E5153" s="26">
        <v>734</v>
      </c>
      <c r="F5153" s="27">
        <v>0.13650000000000001</v>
      </c>
      <c r="I5153" s="27">
        <v>0.53649999999999998</v>
      </c>
      <c r="K5153" s="27">
        <v>0.3271</v>
      </c>
    </row>
    <row r="5154" spans="1:11">
      <c r="A5154" t="s">
        <v>235</v>
      </c>
      <c r="B5154" t="s">
        <v>204</v>
      </c>
      <c r="C5154">
        <v>42</v>
      </c>
      <c r="D5154" t="s">
        <v>206</v>
      </c>
      <c r="E5154">
        <v>734</v>
      </c>
      <c r="F5154" s="1">
        <v>4.5499999999999999E-2</v>
      </c>
      <c r="G5154" s="1">
        <v>8.3400000000000002E-2</v>
      </c>
      <c r="I5154" s="1">
        <v>0.6552</v>
      </c>
      <c r="K5154" s="1">
        <v>0.21590000000000001</v>
      </c>
    </row>
    <row r="5155" spans="1:11">
      <c r="A5155" t="s">
        <v>236</v>
      </c>
      <c r="B5155" t="s">
        <v>204</v>
      </c>
      <c r="C5155">
        <v>63</v>
      </c>
      <c r="D5155" t="s">
        <v>207</v>
      </c>
      <c r="E5155">
        <v>734</v>
      </c>
      <c r="F5155" s="1">
        <v>3.0099999999999998E-2</v>
      </c>
      <c r="G5155" s="1">
        <v>0.30330000000000001</v>
      </c>
      <c r="I5155" s="1">
        <v>0.56850000000000001</v>
      </c>
      <c r="K5155" s="1">
        <v>9.8199999999999996E-2</v>
      </c>
    </row>
    <row r="5156" spans="1:11">
      <c r="A5156" t="s">
        <v>235</v>
      </c>
      <c r="B5156" t="s">
        <v>204</v>
      </c>
      <c r="C5156">
        <v>36</v>
      </c>
      <c r="D5156" t="s">
        <v>207</v>
      </c>
      <c r="E5156">
        <v>734</v>
      </c>
      <c r="F5156" s="1">
        <v>5.1999999999999998E-3</v>
      </c>
      <c r="G5156" s="1">
        <v>2.2800000000000001E-2</v>
      </c>
      <c r="H5156" s="1">
        <v>7.1999999999999998E-3</v>
      </c>
      <c r="I5156" s="1">
        <v>0.65759999999999996</v>
      </c>
      <c r="K5156" s="1">
        <v>0.30719999999999997</v>
      </c>
    </row>
    <row r="5157" spans="1:11" s="26" customFormat="1">
      <c r="A5157" s="26" t="s">
        <v>236</v>
      </c>
      <c r="B5157" s="26" t="s">
        <v>204</v>
      </c>
      <c r="C5157" s="26">
        <v>11</v>
      </c>
      <c r="D5157" s="26" t="s">
        <v>208</v>
      </c>
      <c r="E5157" s="26">
        <v>734</v>
      </c>
      <c r="G5157" s="27">
        <v>0.2727</v>
      </c>
      <c r="I5157" s="27">
        <v>0.72729999999999995</v>
      </c>
    </row>
    <row r="5158" spans="1:11">
      <c r="A5158" t="s">
        <v>235</v>
      </c>
      <c r="B5158" t="s">
        <v>199</v>
      </c>
      <c r="C5158">
        <v>31</v>
      </c>
      <c r="D5158" t="s">
        <v>203</v>
      </c>
      <c r="E5158">
        <v>734</v>
      </c>
      <c r="F5158" s="1">
        <v>3.8300000000000001E-2</v>
      </c>
      <c r="G5158" s="1">
        <v>0.1183</v>
      </c>
      <c r="I5158" s="1">
        <v>0.61339999999999995</v>
      </c>
      <c r="K5158" s="1">
        <v>0.23</v>
      </c>
    </row>
    <row r="5159" spans="1:11" s="26" customFormat="1">
      <c r="A5159" s="26" t="s">
        <v>236</v>
      </c>
      <c r="B5159" s="26" t="s">
        <v>199</v>
      </c>
      <c r="C5159" s="26">
        <v>26</v>
      </c>
      <c r="D5159" s="26" t="s">
        <v>203</v>
      </c>
      <c r="E5159" s="26">
        <v>734</v>
      </c>
      <c r="F5159" s="27">
        <v>5.67E-2</v>
      </c>
      <c r="G5159" s="27">
        <v>8.6599999999999996E-2</v>
      </c>
      <c r="I5159" s="27">
        <v>0.71189999999999998</v>
      </c>
      <c r="K5159" s="27">
        <v>0.14480000000000001</v>
      </c>
    </row>
    <row r="5160" spans="1:11">
      <c r="A5160" t="s">
        <v>235</v>
      </c>
      <c r="B5160" t="s">
        <v>199</v>
      </c>
      <c r="C5160">
        <v>33</v>
      </c>
      <c r="D5160" t="s">
        <v>202</v>
      </c>
      <c r="E5160">
        <v>734</v>
      </c>
      <c r="F5160" s="1">
        <v>0.10390000000000001</v>
      </c>
      <c r="G5160" s="1">
        <v>0.2286</v>
      </c>
      <c r="H5160" s="1">
        <v>1.35E-2</v>
      </c>
      <c r="I5160" s="1">
        <v>0.48480000000000001</v>
      </c>
      <c r="J5160" s="1">
        <v>4.3200000000000002E-2</v>
      </c>
      <c r="K5160" s="1">
        <v>0.126</v>
      </c>
    </row>
    <row r="5161" spans="1:11" s="26" customFormat="1">
      <c r="A5161" s="26" t="s">
        <v>236</v>
      </c>
      <c r="B5161" s="26" t="s">
        <v>199</v>
      </c>
      <c r="C5161" s="26">
        <v>17</v>
      </c>
      <c r="D5161" s="26" t="s">
        <v>200</v>
      </c>
      <c r="E5161" s="26">
        <v>734</v>
      </c>
      <c r="F5161" s="27">
        <v>8.0999999999999996E-3</v>
      </c>
      <c r="I5161" s="27">
        <v>0.98370000000000002</v>
      </c>
      <c r="K5161" s="27">
        <v>8.0999999999999996E-3</v>
      </c>
    </row>
    <row r="5162" spans="1:11">
      <c r="A5162" t="s">
        <v>235</v>
      </c>
      <c r="B5162" t="s">
        <v>199</v>
      </c>
      <c r="C5162">
        <v>39</v>
      </c>
      <c r="D5162" t="s">
        <v>200</v>
      </c>
      <c r="E5162">
        <v>734</v>
      </c>
      <c r="F5162" s="1">
        <v>1.8800000000000001E-2</v>
      </c>
      <c r="G5162" s="1">
        <v>0.16650000000000001</v>
      </c>
      <c r="I5162" s="1">
        <v>0.61539999999999995</v>
      </c>
      <c r="K5162" s="1">
        <v>0.1993</v>
      </c>
    </row>
    <row r="5163" spans="1:11" s="26" customFormat="1">
      <c r="A5163" s="26" t="s">
        <v>236</v>
      </c>
      <c r="B5163" s="26" t="s">
        <v>199</v>
      </c>
      <c r="C5163" s="26">
        <v>16</v>
      </c>
      <c r="D5163" s="26" t="s">
        <v>202</v>
      </c>
      <c r="E5163" s="26">
        <v>734</v>
      </c>
      <c r="F5163" s="27">
        <v>0.1419</v>
      </c>
      <c r="G5163" s="27">
        <v>0.16800000000000001</v>
      </c>
      <c r="H5163" s="27">
        <v>5.28E-2</v>
      </c>
      <c r="I5163" s="27">
        <v>0.49730000000000002</v>
      </c>
      <c r="K5163" s="27">
        <v>0.1401</v>
      </c>
    </row>
    <row r="5164" spans="1:11">
      <c r="A5164" t="s">
        <v>235</v>
      </c>
      <c r="B5164" t="s">
        <v>199</v>
      </c>
      <c r="C5164">
        <v>61</v>
      </c>
      <c r="D5164" t="s">
        <v>201</v>
      </c>
      <c r="E5164">
        <v>734</v>
      </c>
      <c r="F5164" s="1">
        <v>8.2000000000000003E-2</v>
      </c>
      <c r="G5164" s="1">
        <v>0.13109999999999999</v>
      </c>
      <c r="I5164" s="1">
        <v>0.57379999999999998</v>
      </c>
      <c r="J5164" s="1">
        <v>1.6400000000000001E-2</v>
      </c>
      <c r="K5164" s="1">
        <v>0.19670000000000001</v>
      </c>
    </row>
    <row r="5165" spans="1:11" s="26" customFormat="1">
      <c r="A5165" s="26" t="s">
        <v>236</v>
      </c>
      <c r="B5165" s="26" t="s">
        <v>209</v>
      </c>
      <c r="C5165" s="26">
        <v>29</v>
      </c>
      <c r="D5165" s="26" t="s">
        <v>211</v>
      </c>
      <c r="E5165" s="26">
        <v>734</v>
      </c>
      <c r="F5165" s="27">
        <v>1.77E-2</v>
      </c>
      <c r="G5165" s="27">
        <v>0.1593</v>
      </c>
      <c r="I5165" s="27">
        <v>0.65480000000000005</v>
      </c>
      <c r="K5165" s="27">
        <v>0.16819999999999999</v>
      </c>
    </row>
    <row r="5166" spans="1:11">
      <c r="A5166" t="s">
        <v>235</v>
      </c>
      <c r="B5166" t="s">
        <v>209</v>
      </c>
      <c r="C5166">
        <v>41</v>
      </c>
      <c r="D5166" t="s">
        <v>211</v>
      </c>
      <c r="E5166">
        <v>734</v>
      </c>
      <c r="F5166" s="1">
        <v>8.8900000000000007E-2</v>
      </c>
      <c r="G5166" s="1">
        <v>5.9200000000000003E-2</v>
      </c>
      <c r="I5166" s="1">
        <v>0.67649999999999999</v>
      </c>
      <c r="J5166" s="1">
        <v>2.7199999999999998E-2</v>
      </c>
      <c r="K5166" s="1">
        <v>0.14810000000000001</v>
      </c>
    </row>
    <row r="5167" spans="1:11">
      <c r="A5167" t="s">
        <v>235</v>
      </c>
      <c r="B5167" t="s">
        <v>209</v>
      </c>
      <c r="C5167">
        <v>53</v>
      </c>
      <c r="D5167" t="s">
        <v>212</v>
      </c>
      <c r="E5167">
        <v>734</v>
      </c>
      <c r="F5167" s="1">
        <v>5.8599999999999999E-2</v>
      </c>
      <c r="G5167" s="1">
        <v>9.74E-2</v>
      </c>
      <c r="I5167" s="1">
        <v>0.72050000000000003</v>
      </c>
      <c r="K5167" s="1">
        <v>0.1235</v>
      </c>
    </row>
    <row r="5168" spans="1:11" s="26" customFormat="1">
      <c r="A5168" s="26" t="s">
        <v>236</v>
      </c>
      <c r="B5168" s="26" t="s">
        <v>209</v>
      </c>
      <c r="C5168" s="26">
        <v>10</v>
      </c>
      <c r="D5168" s="26" t="s">
        <v>212</v>
      </c>
      <c r="E5168" s="26">
        <v>734</v>
      </c>
      <c r="I5168" s="27">
        <v>0.84930000000000005</v>
      </c>
      <c r="K5168" s="27">
        <v>0.1507</v>
      </c>
    </row>
    <row r="5169" spans="1:21" s="26" customFormat="1">
      <c r="A5169" s="26" t="s">
        <v>235</v>
      </c>
      <c r="B5169" s="26" t="s">
        <v>209</v>
      </c>
      <c r="C5169" s="26">
        <v>25</v>
      </c>
      <c r="D5169" s="26" t="s">
        <v>210</v>
      </c>
      <c r="E5169" s="26">
        <v>734</v>
      </c>
      <c r="G5169" s="27">
        <v>8.3500000000000005E-2</v>
      </c>
      <c r="I5169" s="27">
        <v>0.77149999999999996</v>
      </c>
      <c r="K5169" s="27">
        <v>0.14499999999999999</v>
      </c>
    </row>
    <row r="5170" spans="1:21">
      <c r="A5170" t="s">
        <v>236</v>
      </c>
      <c r="B5170" t="s">
        <v>209</v>
      </c>
      <c r="C5170">
        <v>34</v>
      </c>
      <c r="D5170" t="s">
        <v>210</v>
      </c>
      <c r="E5170">
        <v>734</v>
      </c>
      <c r="G5170" s="1">
        <v>2.2100000000000002E-2</v>
      </c>
      <c r="I5170" s="1">
        <v>0.70179999999999998</v>
      </c>
      <c r="K5170" s="1">
        <v>0.27600000000000002</v>
      </c>
    </row>
    <row r="5172" spans="1:21">
      <c r="A5172" t="s">
        <v>1143</v>
      </c>
    </row>
    <row r="5173" spans="1:21">
      <c r="A5173" t="s">
        <v>189</v>
      </c>
      <c r="B5173" t="s">
        <v>195</v>
      </c>
      <c r="C5173" t="s">
        <v>190</v>
      </c>
      <c r="D5173" t="s">
        <v>196</v>
      </c>
      <c r="E5173" t="s">
        <v>1144</v>
      </c>
      <c r="F5173" t="s">
        <v>1145</v>
      </c>
      <c r="G5173" t="s">
        <v>1146</v>
      </c>
      <c r="H5173" t="s">
        <v>1147</v>
      </c>
      <c r="I5173" t="s">
        <v>1148</v>
      </c>
      <c r="J5173" t="s">
        <v>1149</v>
      </c>
      <c r="K5173" t="s">
        <v>1150</v>
      </c>
      <c r="L5173" t="s">
        <v>1151</v>
      </c>
      <c r="M5173" t="s">
        <v>1152</v>
      </c>
      <c r="N5173" t="s">
        <v>1153</v>
      </c>
      <c r="O5173" t="s">
        <v>1154</v>
      </c>
      <c r="P5173" t="s">
        <v>1155</v>
      </c>
      <c r="Q5173" t="s">
        <v>1156</v>
      </c>
      <c r="R5173" t="s">
        <v>276</v>
      </c>
      <c r="S5173" t="s">
        <v>278</v>
      </c>
      <c r="T5173" t="s">
        <v>223</v>
      </c>
      <c r="U5173" t="s">
        <v>1157</v>
      </c>
    </row>
    <row r="5174" spans="1:21">
      <c r="A5174" t="s">
        <v>197</v>
      </c>
      <c r="B5174">
        <v>965</v>
      </c>
      <c r="C5174" t="s">
        <v>198</v>
      </c>
      <c r="D5174">
        <v>965</v>
      </c>
      <c r="E5174" s="1">
        <v>1.6500000000000001E-2</v>
      </c>
      <c r="F5174" s="1">
        <v>0.1056</v>
      </c>
      <c r="G5174" s="1">
        <v>0.13600000000000001</v>
      </c>
      <c r="H5174" s="1">
        <v>1.6000000000000001E-3</v>
      </c>
      <c r="I5174" s="1">
        <v>0.33289999999999997</v>
      </c>
      <c r="J5174" s="1">
        <v>0.19800000000000001</v>
      </c>
      <c r="K5174" s="1">
        <v>8.8700000000000001E-2</v>
      </c>
      <c r="L5174" s="1">
        <v>0.34289999999999998</v>
      </c>
      <c r="M5174" s="1">
        <v>1.3899999999999999E-2</v>
      </c>
      <c r="N5174" s="1">
        <v>6.5000000000000002E-2</v>
      </c>
      <c r="O5174" s="1">
        <v>3.7400000000000003E-2</v>
      </c>
      <c r="P5174" s="1">
        <v>1.5599999999999999E-2</v>
      </c>
      <c r="Q5174" s="1">
        <v>4.5999999999999999E-2</v>
      </c>
      <c r="R5174" s="1">
        <v>0.2964</v>
      </c>
      <c r="S5174" s="1">
        <v>6.4999999999999997E-3</v>
      </c>
      <c r="T5174" s="1">
        <v>1.55E-2</v>
      </c>
      <c r="U5174" s="1">
        <v>4.8899999999999999E-2</v>
      </c>
    </row>
    <row r="5175" spans="1:21">
      <c r="A5175" t="s">
        <v>204</v>
      </c>
      <c r="B5175">
        <v>91</v>
      </c>
      <c r="C5175" t="s">
        <v>205</v>
      </c>
      <c r="D5175">
        <v>965</v>
      </c>
      <c r="F5175" s="1">
        <v>0.12470000000000001</v>
      </c>
      <c r="G5175" s="1">
        <v>0.15820000000000001</v>
      </c>
      <c r="I5175" s="1">
        <v>0.5514</v>
      </c>
      <c r="J5175" s="1">
        <v>0.30509999999999998</v>
      </c>
      <c r="K5175" s="1">
        <v>0.1283</v>
      </c>
      <c r="L5175" s="1">
        <v>0.31</v>
      </c>
      <c r="M5175" s="1">
        <v>3.2000000000000002E-3</v>
      </c>
      <c r="N5175" s="1">
        <v>3.2399999999999998E-2</v>
      </c>
      <c r="O5175" s="1">
        <v>1.6899999999999998E-2</v>
      </c>
      <c r="Q5175" s="1">
        <v>4.7600000000000003E-2</v>
      </c>
      <c r="R5175" s="1">
        <v>0.1993</v>
      </c>
      <c r="T5175" s="1">
        <v>9.7000000000000003E-3</v>
      </c>
      <c r="U5175" s="1">
        <v>3.3300000000000003E-2</v>
      </c>
    </row>
    <row r="5176" spans="1:21">
      <c r="A5176" t="s">
        <v>204</v>
      </c>
      <c r="B5176">
        <v>71</v>
      </c>
      <c r="C5176" t="s">
        <v>206</v>
      </c>
      <c r="D5176">
        <v>965</v>
      </c>
      <c r="F5176" s="1">
        <v>1.6500000000000001E-2</v>
      </c>
      <c r="G5176" s="1">
        <v>6.83E-2</v>
      </c>
      <c r="I5176" s="1">
        <v>0.28249999999999997</v>
      </c>
      <c r="J5176" s="1">
        <v>0.10580000000000001</v>
      </c>
      <c r="K5176" s="1">
        <v>0.10829999999999999</v>
      </c>
      <c r="L5176" s="1">
        <v>0.32950000000000002</v>
      </c>
      <c r="O5176" s="1">
        <v>4.4699999999999997E-2</v>
      </c>
      <c r="P5176" s="1">
        <v>1.18E-2</v>
      </c>
      <c r="Q5176" s="1">
        <v>9.6500000000000002E-2</v>
      </c>
      <c r="R5176" s="1">
        <v>0.30809999999999998</v>
      </c>
      <c r="S5176" s="1">
        <v>2.8199999999999999E-2</v>
      </c>
      <c r="T5176" s="1">
        <v>3.2899999999999999E-2</v>
      </c>
      <c r="U5176" s="1">
        <v>2.8199999999999999E-2</v>
      </c>
    </row>
    <row r="5177" spans="1:21">
      <c r="A5177" t="s">
        <v>204</v>
      </c>
      <c r="B5177">
        <v>131</v>
      </c>
      <c r="C5177" t="s">
        <v>207</v>
      </c>
      <c r="D5177">
        <v>965</v>
      </c>
      <c r="E5177" s="1">
        <v>2.5000000000000001E-3</v>
      </c>
      <c r="F5177" s="1">
        <v>0.1943</v>
      </c>
      <c r="G5177" s="1">
        <v>0.1363</v>
      </c>
      <c r="I5177" s="1">
        <v>0.30759999999999998</v>
      </c>
      <c r="J5177" s="1">
        <v>0.22409999999999999</v>
      </c>
      <c r="K5177" s="1">
        <v>6.8900000000000003E-2</v>
      </c>
      <c r="L5177" s="1">
        <v>0.45400000000000001</v>
      </c>
      <c r="M5177" s="1">
        <v>7.7000000000000002E-3</v>
      </c>
      <c r="N5177" s="1">
        <v>0.15160000000000001</v>
      </c>
      <c r="O5177" s="1">
        <v>9.5899999999999999E-2</v>
      </c>
      <c r="P5177" s="1">
        <v>2.5000000000000001E-3</v>
      </c>
      <c r="Q5177" s="1">
        <v>1.12E-2</v>
      </c>
      <c r="R5177" s="1">
        <v>0.31640000000000001</v>
      </c>
      <c r="S5177" s="1">
        <v>7.6E-3</v>
      </c>
      <c r="T5177" s="1">
        <v>1.43E-2</v>
      </c>
      <c r="U5177" s="1">
        <v>0.15659999999999999</v>
      </c>
    </row>
    <row r="5178" spans="1:21">
      <c r="A5178" t="s">
        <v>204</v>
      </c>
      <c r="B5178">
        <v>74</v>
      </c>
      <c r="C5178" t="s">
        <v>208</v>
      </c>
      <c r="D5178">
        <v>965</v>
      </c>
      <c r="E5178" s="1">
        <v>4.0500000000000001E-2</v>
      </c>
      <c r="F5178" s="1">
        <v>0.1216</v>
      </c>
      <c r="G5178" s="1">
        <v>0.18920000000000001</v>
      </c>
      <c r="I5178" s="1">
        <v>0.44590000000000002</v>
      </c>
      <c r="J5178" s="1">
        <v>0.20269999999999999</v>
      </c>
      <c r="K5178" s="1">
        <v>9.4600000000000004E-2</v>
      </c>
      <c r="L5178" s="1">
        <v>0.44590000000000002</v>
      </c>
      <c r="M5178" s="1">
        <v>1.35E-2</v>
      </c>
      <c r="N5178" s="1">
        <v>2.7E-2</v>
      </c>
      <c r="O5178" s="1">
        <v>2.7E-2</v>
      </c>
      <c r="P5178" s="1">
        <v>1.35E-2</v>
      </c>
      <c r="Q5178" s="1">
        <v>5.4100000000000002E-2</v>
      </c>
      <c r="R5178" s="1">
        <v>0.2432</v>
      </c>
      <c r="U5178" s="1">
        <v>2.7E-2</v>
      </c>
    </row>
    <row r="5179" spans="1:21">
      <c r="A5179" t="s">
        <v>199</v>
      </c>
      <c r="B5179">
        <v>73</v>
      </c>
      <c r="C5179" t="s">
        <v>200</v>
      </c>
      <c r="D5179">
        <v>965</v>
      </c>
      <c r="F5179" s="1">
        <v>0.19650000000000001</v>
      </c>
      <c r="G5179" s="1">
        <v>0.18709999999999999</v>
      </c>
      <c r="I5179" s="1">
        <v>0.52980000000000005</v>
      </c>
      <c r="J5179" s="1">
        <v>0.24759999999999999</v>
      </c>
      <c r="K5179" s="1">
        <v>0.16420000000000001</v>
      </c>
      <c r="L5179" s="1">
        <v>0.61240000000000006</v>
      </c>
      <c r="N5179" s="1">
        <v>1.6000000000000001E-3</v>
      </c>
      <c r="O5179" s="1">
        <v>1.6000000000000001E-3</v>
      </c>
      <c r="Q5179" s="1">
        <v>3.2000000000000002E-3</v>
      </c>
      <c r="R5179" s="1">
        <v>0.20130000000000001</v>
      </c>
      <c r="S5179" s="1">
        <v>3.2000000000000002E-3</v>
      </c>
      <c r="T5179" s="1">
        <v>1.6000000000000001E-3</v>
      </c>
      <c r="U5179" s="1">
        <v>1.6000000000000001E-3</v>
      </c>
    </row>
    <row r="5180" spans="1:21">
      <c r="A5180" t="s">
        <v>199</v>
      </c>
      <c r="B5180">
        <v>96</v>
      </c>
      <c r="C5180" t="s">
        <v>201</v>
      </c>
      <c r="D5180">
        <v>965</v>
      </c>
      <c r="E5180" s="1">
        <v>2.0799999999999999E-2</v>
      </c>
      <c r="F5180" s="1">
        <v>2.0799999999999999E-2</v>
      </c>
      <c r="G5180" s="1">
        <v>0.15620000000000001</v>
      </c>
      <c r="I5180" s="1">
        <v>0.27079999999999999</v>
      </c>
      <c r="J5180" s="1">
        <v>0.14580000000000001</v>
      </c>
      <c r="K5180" s="1">
        <v>7.2900000000000006E-2</v>
      </c>
      <c r="L5180" s="1">
        <v>0.28120000000000001</v>
      </c>
      <c r="M5180" s="1">
        <v>1.04E-2</v>
      </c>
      <c r="N5180" s="1">
        <v>5.21E-2</v>
      </c>
      <c r="O5180" s="1">
        <v>3.1199999999999999E-2</v>
      </c>
      <c r="P5180" s="1">
        <v>4.1700000000000001E-2</v>
      </c>
      <c r="Q5180" s="1">
        <v>3.1199999999999999E-2</v>
      </c>
      <c r="R5180" s="1">
        <v>0.33329999999999999</v>
      </c>
      <c r="S5180" s="1">
        <v>1.04E-2</v>
      </c>
      <c r="T5180" s="1">
        <v>1.04E-2</v>
      </c>
      <c r="U5180" s="1">
        <v>2.0799999999999999E-2</v>
      </c>
    </row>
    <row r="5181" spans="1:21">
      <c r="A5181" t="s">
        <v>199</v>
      </c>
      <c r="B5181">
        <v>97</v>
      </c>
      <c r="C5181" t="s">
        <v>202</v>
      </c>
      <c r="D5181">
        <v>965</v>
      </c>
      <c r="E5181" s="1">
        <v>4.1200000000000001E-2</v>
      </c>
      <c r="F5181" s="1">
        <v>4.5499999999999999E-2</v>
      </c>
      <c r="G5181" s="1">
        <v>6.7599999999999993E-2</v>
      </c>
      <c r="I5181" s="1">
        <v>9.7299999999999998E-2</v>
      </c>
      <c r="J5181" s="1">
        <v>0.1255</v>
      </c>
      <c r="K5181" s="1">
        <v>4.8399999999999999E-2</v>
      </c>
      <c r="L5181" s="1">
        <v>0.25779999999999997</v>
      </c>
      <c r="M5181" s="1">
        <v>1.37E-2</v>
      </c>
      <c r="N5181" s="1">
        <v>5.8099999999999999E-2</v>
      </c>
      <c r="O5181" s="1">
        <v>1.37E-2</v>
      </c>
      <c r="Q5181" s="1">
        <v>5.8099999999999999E-2</v>
      </c>
      <c r="R5181" s="1">
        <v>0.41420000000000001</v>
      </c>
      <c r="T5181" s="1">
        <v>2.7E-2</v>
      </c>
      <c r="U5181" s="1">
        <v>5.04E-2</v>
      </c>
    </row>
    <row r="5182" spans="1:21">
      <c r="A5182" t="s">
        <v>199</v>
      </c>
      <c r="B5182">
        <v>77</v>
      </c>
      <c r="C5182" t="s">
        <v>203</v>
      </c>
      <c r="D5182">
        <v>965</v>
      </c>
      <c r="E5182" s="1">
        <v>1.77E-2</v>
      </c>
      <c r="F5182" s="1">
        <v>0.1784</v>
      </c>
      <c r="G5182" s="1">
        <v>0.18840000000000001</v>
      </c>
      <c r="I5182" s="1">
        <v>0.3846</v>
      </c>
      <c r="J5182" s="1">
        <v>0.2288</v>
      </c>
      <c r="K5182" s="1">
        <v>0.13420000000000001</v>
      </c>
      <c r="L5182" s="1">
        <v>0.40970000000000001</v>
      </c>
      <c r="M5182" s="1">
        <v>3.5099999999999999E-2</v>
      </c>
      <c r="N5182" s="1">
        <v>5.6599999999999998E-2</v>
      </c>
      <c r="O5182" s="1">
        <v>7.0699999999999999E-2</v>
      </c>
      <c r="P5182" s="1">
        <v>2.69E-2</v>
      </c>
      <c r="Q5182" s="1">
        <v>6.9400000000000003E-2</v>
      </c>
      <c r="R5182" s="1">
        <v>0.27100000000000002</v>
      </c>
      <c r="S5182" s="1">
        <v>3.6400000000000002E-2</v>
      </c>
      <c r="T5182" s="1">
        <v>3.6400000000000002E-2</v>
      </c>
      <c r="U5182" s="1">
        <v>3.1300000000000001E-2</v>
      </c>
    </row>
    <row r="5183" spans="1:21">
      <c r="A5183" t="s">
        <v>209</v>
      </c>
      <c r="B5183">
        <v>73</v>
      </c>
      <c r="C5183" t="s">
        <v>210</v>
      </c>
      <c r="D5183">
        <v>965</v>
      </c>
      <c r="E5183" s="1">
        <v>1.6799999999999999E-2</v>
      </c>
      <c r="F5183" s="1">
        <v>4.3099999999999999E-2</v>
      </c>
      <c r="G5183" s="1">
        <v>0.1144</v>
      </c>
      <c r="H5183" s="1">
        <v>1.78E-2</v>
      </c>
      <c r="I5183" s="1">
        <v>0.253</v>
      </c>
      <c r="J5183" s="1">
        <v>7.0300000000000001E-2</v>
      </c>
      <c r="K5183" s="1">
        <v>5.2499999999999998E-2</v>
      </c>
      <c r="L5183" s="1">
        <v>0.2109</v>
      </c>
      <c r="M5183" s="1">
        <v>2.6200000000000001E-2</v>
      </c>
      <c r="N5183" s="1">
        <v>1.6799999999999999E-2</v>
      </c>
      <c r="O5183" s="1">
        <v>2.6200000000000001E-2</v>
      </c>
      <c r="P5183" s="1">
        <v>1.78E-2</v>
      </c>
      <c r="Q5183" s="1">
        <v>6.1899999999999997E-2</v>
      </c>
      <c r="R5183" s="1">
        <v>0.44600000000000001</v>
      </c>
      <c r="S5183" s="1">
        <v>1.78E-2</v>
      </c>
      <c r="T5183" s="1">
        <v>5.3499999999999999E-2</v>
      </c>
      <c r="U5183" s="1">
        <v>7.1300000000000002E-2</v>
      </c>
    </row>
    <row r="5184" spans="1:21">
      <c r="A5184" t="s">
        <v>209</v>
      </c>
      <c r="B5184">
        <v>97</v>
      </c>
      <c r="C5184" t="s">
        <v>211</v>
      </c>
      <c r="D5184">
        <v>965</v>
      </c>
      <c r="F5184" s="1">
        <v>0.12659999999999999</v>
      </c>
      <c r="G5184" s="1">
        <v>0.13</v>
      </c>
      <c r="I5184" s="1">
        <v>0.25590000000000002</v>
      </c>
      <c r="J5184" s="1">
        <v>0.2205</v>
      </c>
      <c r="K5184" s="1">
        <v>8.6900000000000005E-2</v>
      </c>
      <c r="L5184" s="1">
        <v>0.31879999999999997</v>
      </c>
      <c r="M5184" s="1">
        <v>3.15E-2</v>
      </c>
      <c r="N5184" s="1">
        <v>7.9500000000000001E-2</v>
      </c>
      <c r="O5184" s="1">
        <v>3.39E-2</v>
      </c>
      <c r="P5184" s="1">
        <v>1.2E-2</v>
      </c>
      <c r="Q5184" s="1">
        <v>5.8599999999999999E-2</v>
      </c>
      <c r="R5184" s="1">
        <v>0.31069999999999998</v>
      </c>
      <c r="T5184" s="1">
        <v>3.7100000000000001E-2</v>
      </c>
      <c r="U5184" s="1">
        <v>1.2E-2</v>
      </c>
    </row>
    <row r="5185" spans="1:21">
      <c r="A5185" t="s">
        <v>209</v>
      </c>
      <c r="B5185">
        <v>85</v>
      </c>
      <c r="C5185" t="s">
        <v>212</v>
      </c>
      <c r="D5185">
        <v>965</v>
      </c>
      <c r="E5185" s="1">
        <v>2.5600000000000001E-2</v>
      </c>
      <c r="F5185" s="1">
        <v>0.1206</v>
      </c>
      <c r="G5185" s="1">
        <v>9.7799999999999998E-2</v>
      </c>
      <c r="H5185" s="1">
        <v>1.4E-2</v>
      </c>
      <c r="I5185" s="1">
        <v>0.2888</v>
      </c>
      <c r="J5185" s="1">
        <v>0.12770000000000001</v>
      </c>
      <c r="K5185" s="1">
        <v>8.6300000000000002E-2</v>
      </c>
      <c r="L5185" s="1">
        <v>0.33929999999999999</v>
      </c>
      <c r="M5185" s="1">
        <v>3.95E-2</v>
      </c>
      <c r="N5185" s="1">
        <v>8.0399999999999999E-2</v>
      </c>
      <c r="O5185" s="1">
        <v>4.19E-2</v>
      </c>
      <c r="P5185" s="1">
        <v>4.19E-2</v>
      </c>
      <c r="Q5185" s="1">
        <v>8.8300000000000003E-2</v>
      </c>
      <c r="R5185" s="1">
        <v>0.2772</v>
      </c>
      <c r="S5185" s="1">
        <v>1.4E-2</v>
      </c>
      <c r="T5185" s="1">
        <v>1.4E-2</v>
      </c>
      <c r="U5185" s="1">
        <v>2.1399999999999999E-2</v>
      </c>
    </row>
    <row r="5187" spans="1:21">
      <c r="A5187" t="s">
        <v>1158</v>
      </c>
    </row>
    <row r="5188" spans="1:21">
      <c r="A5188" t="s">
        <v>189</v>
      </c>
      <c r="B5188" t="s">
        <v>195</v>
      </c>
      <c r="C5188" t="s">
        <v>190</v>
      </c>
      <c r="D5188" t="s">
        <v>196</v>
      </c>
      <c r="E5188" t="s">
        <v>1159</v>
      </c>
      <c r="F5188" t="s">
        <v>228</v>
      </c>
      <c r="G5188" t="s">
        <v>1160</v>
      </c>
      <c r="H5188" t="s">
        <v>1161</v>
      </c>
      <c r="I5188" t="s">
        <v>1162</v>
      </c>
      <c r="J5188" t="s">
        <v>1163</v>
      </c>
      <c r="K5188" t="s">
        <v>276</v>
      </c>
      <c r="L5188" t="s">
        <v>1164</v>
      </c>
      <c r="M5188" t="s">
        <v>1165</v>
      </c>
      <c r="N5188" t="s">
        <v>1166</v>
      </c>
      <c r="O5188" t="s">
        <v>1167</v>
      </c>
      <c r="P5188" t="s">
        <v>1168</v>
      </c>
      <c r="Q5188" t="s">
        <v>1169</v>
      </c>
      <c r="R5188" t="s">
        <v>1170</v>
      </c>
    </row>
    <row r="5189" spans="1:21">
      <c r="A5189" t="s">
        <v>197</v>
      </c>
      <c r="B5189">
        <v>638</v>
      </c>
      <c r="C5189" t="s">
        <v>198</v>
      </c>
      <c r="D5189">
        <v>638</v>
      </c>
      <c r="E5189" s="1">
        <v>2.7799999999999998E-2</v>
      </c>
      <c r="F5189" s="1">
        <v>5.1999999999999998E-3</v>
      </c>
      <c r="G5189" s="1">
        <v>5.4899999999999997E-2</v>
      </c>
      <c r="H5189" s="1">
        <v>0.1384</v>
      </c>
      <c r="I5189" s="1">
        <v>2.3099999999999999E-2</v>
      </c>
      <c r="J5189" s="1">
        <v>0.57509999999999994</v>
      </c>
      <c r="K5189" s="1">
        <v>4.0000000000000001E-3</v>
      </c>
      <c r="L5189" s="1">
        <v>3.4799999999999998E-2</v>
      </c>
      <c r="M5189" s="1">
        <v>2.3199999999999998E-2</v>
      </c>
      <c r="N5189" s="1">
        <v>0.46350000000000002</v>
      </c>
      <c r="O5189" s="1">
        <v>1.7399999999999999E-2</v>
      </c>
      <c r="P5189" s="1">
        <v>1.0999999999999999E-2</v>
      </c>
      <c r="Q5189" s="1">
        <v>0.33229999999999998</v>
      </c>
      <c r="R5189" s="1">
        <v>6.7000000000000004E-2</v>
      </c>
    </row>
    <row r="5190" spans="1:21">
      <c r="A5190" t="s">
        <v>204</v>
      </c>
      <c r="B5190">
        <v>66</v>
      </c>
      <c r="C5190" t="s">
        <v>205</v>
      </c>
      <c r="D5190">
        <v>638</v>
      </c>
      <c r="E5190" s="1">
        <v>4.0000000000000001E-3</v>
      </c>
      <c r="H5190" s="1">
        <v>0.25950000000000001</v>
      </c>
      <c r="J5190" s="1">
        <v>0.4158</v>
      </c>
      <c r="K5190" s="1">
        <v>4.0000000000000001E-3</v>
      </c>
      <c r="L5190" s="1">
        <v>1.7000000000000001E-2</v>
      </c>
      <c r="N5190" s="1">
        <v>0.45660000000000001</v>
      </c>
      <c r="O5190" s="1">
        <v>1.7000000000000001E-2</v>
      </c>
      <c r="P5190" s="1">
        <v>1.7000000000000001E-2</v>
      </c>
      <c r="Q5190" s="1">
        <v>0.47960000000000003</v>
      </c>
      <c r="R5190" s="1">
        <v>9.6100000000000005E-2</v>
      </c>
    </row>
    <row r="5191" spans="1:21">
      <c r="A5191" t="s">
        <v>204</v>
      </c>
      <c r="B5191">
        <v>49</v>
      </c>
      <c r="C5191" t="s">
        <v>206</v>
      </c>
      <c r="D5191">
        <v>638</v>
      </c>
      <c r="E5191" s="1">
        <v>2.4500000000000001E-2</v>
      </c>
      <c r="F5191" s="1">
        <v>1.7600000000000001E-2</v>
      </c>
      <c r="G5191" s="1">
        <v>3.5099999999999999E-2</v>
      </c>
      <c r="H5191" s="1">
        <v>1.7600000000000001E-2</v>
      </c>
      <c r="I5191" s="1">
        <v>5.9700000000000003E-2</v>
      </c>
      <c r="J5191" s="1">
        <v>0.57540000000000002</v>
      </c>
      <c r="L5191" s="1">
        <v>4.2099999999999999E-2</v>
      </c>
      <c r="M5191" s="1">
        <v>4.2099999999999999E-2</v>
      </c>
      <c r="N5191" s="1">
        <v>0.35799999999999998</v>
      </c>
      <c r="Q5191" s="1">
        <v>0.27010000000000001</v>
      </c>
      <c r="R5191" s="1">
        <v>4.2099999999999999E-2</v>
      </c>
    </row>
    <row r="5192" spans="1:21">
      <c r="A5192" t="s">
        <v>204</v>
      </c>
      <c r="B5192">
        <v>83</v>
      </c>
      <c r="C5192" t="s">
        <v>207</v>
      </c>
      <c r="D5192">
        <v>638</v>
      </c>
      <c r="E5192" s="1">
        <v>0.13589999999999999</v>
      </c>
      <c r="F5192" s="1">
        <v>3.7000000000000002E-3</v>
      </c>
      <c r="G5192" s="1">
        <v>7.1599999999999997E-2</v>
      </c>
      <c r="H5192" s="1">
        <v>0.189</v>
      </c>
      <c r="I5192" s="1">
        <v>1.11E-2</v>
      </c>
      <c r="J5192" s="1">
        <v>0.48480000000000001</v>
      </c>
      <c r="L5192" s="1">
        <v>9.5999999999999992E-3</v>
      </c>
      <c r="M5192" s="1">
        <v>7.17E-2</v>
      </c>
      <c r="N5192" s="1">
        <v>0.66600000000000004</v>
      </c>
      <c r="O5192" s="1">
        <v>6.7900000000000002E-2</v>
      </c>
      <c r="P5192" s="1">
        <v>7.3000000000000001E-3</v>
      </c>
      <c r="Q5192" s="1">
        <v>0.28960000000000002</v>
      </c>
      <c r="R5192" s="1">
        <v>0.16020000000000001</v>
      </c>
    </row>
    <row r="5193" spans="1:21">
      <c r="A5193" t="s">
        <v>204</v>
      </c>
      <c r="B5193">
        <v>56</v>
      </c>
      <c r="C5193" t="s">
        <v>208</v>
      </c>
      <c r="D5193">
        <v>638</v>
      </c>
      <c r="E5193" s="1">
        <v>3.5700000000000003E-2</v>
      </c>
      <c r="G5193" s="1">
        <v>5.3600000000000002E-2</v>
      </c>
      <c r="H5193" s="1">
        <v>0.125</v>
      </c>
      <c r="J5193" s="1">
        <v>0.75</v>
      </c>
      <c r="N5193" s="1">
        <v>0.44640000000000002</v>
      </c>
      <c r="P5193" s="1">
        <v>1.7899999999999999E-2</v>
      </c>
      <c r="Q5193" s="1">
        <v>0.21429999999999999</v>
      </c>
      <c r="R5193" s="1">
        <v>5.3600000000000002E-2</v>
      </c>
    </row>
    <row r="5194" spans="1:21">
      <c r="A5194" t="s">
        <v>199</v>
      </c>
      <c r="B5194">
        <v>48</v>
      </c>
      <c r="C5194" t="s">
        <v>200</v>
      </c>
      <c r="D5194">
        <v>638</v>
      </c>
      <c r="G5194" s="1">
        <v>5.8999999999999999E-3</v>
      </c>
      <c r="H5194" s="1">
        <v>9.69E-2</v>
      </c>
      <c r="J5194" s="1">
        <v>0.499</v>
      </c>
      <c r="L5194" s="1">
        <v>6.0100000000000001E-2</v>
      </c>
      <c r="M5194" s="1">
        <v>2.5100000000000001E-2</v>
      </c>
      <c r="N5194" s="1">
        <v>0.76329999999999998</v>
      </c>
      <c r="P5194" s="1">
        <v>2E-3</v>
      </c>
      <c r="Q5194" s="1">
        <v>0.11219999999999999</v>
      </c>
    </row>
    <row r="5195" spans="1:21">
      <c r="A5195" t="s">
        <v>199</v>
      </c>
      <c r="B5195">
        <v>63</v>
      </c>
      <c r="C5195" t="s">
        <v>201</v>
      </c>
      <c r="D5195">
        <v>638</v>
      </c>
      <c r="G5195" s="1">
        <v>9.5200000000000007E-2</v>
      </c>
      <c r="H5195" s="1">
        <v>6.3500000000000001E-2</v>
      </c>
      <c r="I5195" s="1">
        <v>3.1699999999999999E-2</v>
      </c>
      <c r="J5195" s="1">
        <v>0.73019999999999996</v>
      </c>
      <c r="L5195" s="1">
        <v>4.7600000000000003E-2</v>
      </c>
      <c r="N5195" s="1">
        <v>0.41270000000000001</v>
      </c>
      <c r="Q5195" s="1">
        <v>0.30159999999999998</v>
      </c>
      <c r="R5195" s="1">
        <v>1.5900000000000001E-2</v>
      </c>
    </row>
    <row r="5196" spans="1:21">
      <c r="A5196" t="s">
        <v>199</v>
      </c>
      <c r="B5196">
        <v>56</v>
      </c>
      <c r="C5196" t="s">
        <v>202</v>
      </c>
      <c r="D5196">
        <v>638</v>
      </c>
      <c r="E5196" s="1">
        <v>7.4000000000000003E-3</v>
      </c>
      <c r="F5196" s="1">
        <v>3.61E-2</v>
      </c>
      <c r="G5196" s="1">
        <v>3.1E-2</v>
      </c>
      <c r="H5196" s="1">
        <v>6.25E-2</v>
      </c>
      <c r="I5196" s="1">
        <v>5.5100000000000003E-2</v>
      </c>
      <c r="J5196" s="1">
        <v>0.49159999999999998</v>
      </c>
      <c r="L5196" s="1">
        <v>5.62E-2</v>
      </c>
      <c r="M5196" s="1">
        <v>5.62E-2</v>
      </c>
      <c r="N5196" s="1">
        <v>0.35399999999999998</v>
      </c>
      <c r="O5196" s="1">
        <v>7.4000000000000003E-3</v>
      </c>
      <c r="Q5196" s="1">
        <v>0.36870000000000003</v>
      </c>
      <c r="R5196" s="1">
        <v>1.5800000000000002E-2</v>
      </c>
    </row>
    <row r="5197" spans="1:21">
      <c r="A5197" t="s">
        <v>199</v>
      </c>
      <c r="B5197">
        <v>56</v>
      </c>
      <c r="C5197" t="s">
        <v>203</v>
      </c>
      <c r="D5197">
        <v>638</v>
      </c>
      <c r="E5197" s="1">
        <v>5.2499999999999998E-2</v>
      </c>
      <c r="G5197" s="1">
        <v>9.1300000000000006E-2</v>
      </c>
      <c r="H5197" s="1">
        <v>0.2021</v>
      </c>
      <c r="I5197" s="1">
        <v>3.8800000000000001E-2</v>
      </c>
      <c r="J5197" s="1">
        <v>0.60470000000000002</v>
      </c>
      <c r="L5197" s="1">
        <v>9.1300000000000006E-2</v>
      </c>
      <c r="M5197" s="1">
        <v>6.6199999999999995E-2</v>
      </c>
      <c r="N5197" s="1">
        <v>0.43290000000000001</v>
      </c>
      <c r="O5197" s="1">
        <v>5.2499999999999998E-2</v>
      </c>
      <c r="P5197" s="1">
        <v>3.8800000000000001E-2</v>
      </c>
      <c r="Q5197" s="1">
        <v>0.37519999999999998</v>
      </c>
      <c r="R5197" s="1">
        <v>8.8300000000000003E-2</v>
      </c>
    </row>
    <row r="5198" spans="1:21">
      <c r="A5198" t="s">
        <v>209</v>
      </c>
      <c r="B5198">
        <v>37</v>
      </c>
      <c r="C5198" t="s">
        <v>210</v>
      </c>
      <c r="D5198">
        <v>638</v>
      </c>
      <c r="G5198" s="1">
        <v>3.5000000000000003E-2</v>
      </c>
      <c r="H5198" s="1">
        <v>3.3099999999999997E-2</v>
      </c>
      <c r="I5198" s="1">
        <v>3.5000000000000003E-2</v>
      </c>
      <c r="J5198" s="1">
        <v>0.55249999999999999</v>
      </c>
      <c r="N5198" s="1">
        <v>0.51559999999999995</v>
      </c>
      <c r="P5198" s="1">
        <v>3.5000000000000003E-2</v>
      </c>
      <c r="Q5198" s="1">
        <v>0.2412</v>
      </c>
    </row>
    <row r="5199" spans="1:21">
      <c r="A5199" t="s">
        <v>209</v>
      </c>
      <c r="B5199">
        <v>65</v>
      </c>
      <c r="C5199" t="s">
        <v>211</v>
      </c>
      <c r="D5199">
        <v>638</v>
      </c>
      <c r="E5199" s="1">
        <v>2.1600000000000001E-2</v>
      </c>
      <c r="G5199" s="1">
        <v>2.4899999999999999E-2</v>
      </c>
      <c r="H5199" s="1">
        <v>0.1181</v>
      </c>
      <c r="I5199" s="1">
        <v>1.84E-2</v>
      </c>
      <c r="J5199" s="1">
        <v>0.66620000000000001</v>
      </c>
      <c r="K5199" s="1">
        <v>1.84E-2</v>
      </c>
      <c r="L5199" s="1">
        <v>4.1799999999999997E-2</v>
      </c>
      <c r="M5199" s="1">
        <v>4.3400000000000001E-2</v>
      </c>
      <c r="N5199" s="1">
        <v>0.51859999999999995</v>
      </c>
      <c r="P5199" s="1">
        <v>1.84E-2</v>
      </c>
      <c r="Q5199" s="1">
        <v>0.15010000000000001</v>
      </c>
      <c r="R5199" s="1">
        <v>3.3599999999999998E-2</v>
      </c>
    </row>
    <row r="5200" spans="1:21">
      <c r="A5200" t="s">
        <v>209</v>
      </c>
      <c r="B5200">
        <v>59</v>
      </c>
      <c r="C5200" t="s">
        <v>212</v>
      </c>
      <c r="D5200">
        <v>638</v>
      </c>
      <c r="G5200" s="1">
        <v>0.12790000000000001</v>
      </c>
      <c r="H5200" s="1">
        <v>4.2900000000000001E-2</v>
      </c>
      <c r="I5200" s="1">
        <v>5.2400000000000002E-2</v>
      </c>
      <c r="J5200" s="1">
        <v>0.73909999999999998</v>
      </c>
      <c r="K5200" s="1">
        <v>1.9699999999999999E-2</v>
      </c>
      <c r="L5200" s="1">
        <v>5.5800000000000002E-2</v>
      </c>
      <c r="N5200" s="1">
        <v>0.33300000000000002</v>
      </c>
      <c r="O5200" s="1">
        <v>3.5000000000000001E-3</v>
      </c>
      <c r="P5200" s="1">
        <v>1.9699999999999999E-2</v>
      </c>
      <c r="Q5200" s="1">
        <v>0.2923</v>
      </c>
      <c r="R5200" s="1">
        <v>5.9200000000000003E-2</v>
      </c>
    </row>
    <row r="5202" spans="1:8">
      <c r="A5202" t="s">
        <v>1171</v>
      </c>
    </row>
    <row r="5203" spans="1:8">
      <c r="A5203" t="s">
        <v>189</v>
      </c>
      <c r="B5203" t="s">
        <v>195</v>
      </c>
      <c r="C5203" t="s">
        <v>190</v>
      </c>
      <c r="D5203" t="s">
        <v>196</v>
      </c>
      <c r="E5203" t="s">
        <v>228</v>
      </c>
      <c r="F5203" t="s">
        <v>215</v>
      </c>
      <c r="G5203" t="s">
        <v>223</v>
      </c>
      <c r="H5203" t="s">
        <v>216</v>
      </c>
    </row>
    <row r="5204" spans="1:8">
      <c r="A5204" t="s">
        <v>197</v>
      </c>
      <c r="B5204">
        <v>734</v>
      </c>
      <c r="C5204" t="s">
        <v>198</v>
      </c>
      <c r="D5204">
        <v>734</v>
      </c>
      <c r="E5204" s="1">
        <v>0.11360000000000001</v>
      </c>
      <c r="F5204" s="1">
        <v>0.65239999999999998</v>
      </c>
      <c r="G5204" s="1">
        <v>1.8E-3</v>
      </c>
      <c r="H5204" s="1">
        <v>0.23219999999999999</v>
      </c>
    </row>
    <row r="5205" spans="1:8">
      <c r="A5205" t="s">
        <v>204</v>
      </c>
      <c r="B5205">
        <v>77</v>
      </c>
      <c r="C5205" t="s">
        <v>205</v>
      </c>
      <c r="D5205">
        <v>734</v>
      </c>
      <c r="E5205" s="1">
        <v>9.5000000000000001E-2</v>
      </c>
      <c r="F5205" s="1">
        <v>0.75080000000000002</v>
      </c>
      <c r="H5205" s="1">
        <v>0.15429999999999999</v>
      </c>
    </row>
    <row r="5206" spans="1:8">
      <c r="A5206" t="s">
        <v>204</v>
      </c>
      <c r="B5206">
        <v>66</v>
      </c>
      <c r="C5206" t="s">
        <v>206</v>
      </c>
      <c r="D5206">
        <v>734</v>
      </c>
      <c r="E5206" s="1">
        <v>0.2298</v>
      </c>
      <c r="F5206" s="1">
        <v>0.55049999999999999</v>
      </c>
      <c r="H5206" s="1">
        <v>0.2198</v>
      </c>
    </row>
    <row r="5207" spans="1:8">
      <c r="A5207" t="s">
        <v>204</v>
      </c>
      <c r="B5207">
        <v>104</v>
      </c>
      <c r="C5207" t="s">
        <v>207</v>
      </c>
      <c r="D5207">
        <v>734</v>
      </c>
      <c r="E5207" s="1">
        <v>0.1295</v>
      </c>
      <c r="F5207" s="1">
        <v>0.45479999999999998</v>
      </c>
      <c r="H5207" s="1">
        <v>0.41570000000000001</v>
      </c>
    </row>
    <row r="5208" spans="1:8">
      <c r="A5208" t="s">
        <v>204</v>
      </c>
      <c r="B5208">
        <v>64</v>
      </c>
      <c r="C5208" t="s">
        <v>208</v>
      </c>
      <c r="D5208">
        <v>734</v>
      </c>
      <c r="E5208" s="1">
        <v>9.3799999999999994E-2</v>
      </c>
      <c r="F5208" s="1">
        <v>0.625</v>
      </c>
      <c r="H5208" s="1">
        <v>0.28120000000000001</v>
      </c>
    </row>
    <row r="5209" spans="1:8">
      <c r="A5209" t="s">
        <v>199</v>
      </c>
      <c r="B5209">
        <v>59</v>
      </c>
      <c r="C5209" t="s">
        <v>200</v>
      </c>
      <c r="D5209">
        <v>734</v>
      </c>
      <c r="E5209" s="1">
        <v>2.3599999999999999E-2</v>
      </c>
      <c r="F5209" s="1">
        <v>0.63780000000000003</v>
      </c>
      <c r="H5209" s="1">
        <v>0.33860000000000001</v>
      </c>
    </row>
    <row r="5210" spans="1:8">
      <c r="A5210" t="s">
        <v>199</v>
      </c>
      <c r="B5210">
        <v>61</v>
      </c>
      <c r="C5210" t="s">
        <v>201</v>
      </c>
      <c r="D5210">
        <v>734</v>
      </c>
      <c r="E5210" s="1">
        <v>0.14749999999999999</v>
      </c>
      <c r="F5210" s="1">
        <v>0.67210000000000003</v>
      </c>
      <c r="H5210" s="1">
        <v>0.18029999999999999</v>
      </c>
    </row>
    <row r="5211" spans="1:8">
      <c r="A5211" t="s">
        <v>199</v>
      </c>
      <c r="B5211">
        <v>49</v>
      </c>
      <c r="C5211" t="s">
        <v>202</v>
      </c>
      <c r="D5211">
        <v>734</v>
      </c>
      <c r="E5211" s="1">
        <v>0.11799999999999999</v>
      </c>
      <c r="F5211" s="1">
        <v>0.77900000000000003</v>
      </c>
      <c r="G5211" s="1">
        <v>1.7899999999999999E-2</v>
      </c>
      <c r="H5211" s="1">
        <v>8.5000000000000006E-2</v>
      </c>
    </row>
    <row r="5212" spans="1:8">
      <c r="A5212" t="s">
        <v>199</v>
      </c>
      <c r="B5212">
        <v>57</v>
      </c>
      <c r="C5212" t="s">
        <v>203</v>
      </c>
      <c r="D5212">
        <v>734</v>
      </c>
      <c r="E5212" s="1">
        <v>0.15390000000000001</v>
      </c>
      <c r="F5212" s="1">
        <v>0.70479999999999998</v>
      </c>
      <c r="H5212" s="1">
        <v>0.14119999999999999</v>
      </c>
    </row>
    <row r="5213" spans="1:8">
      <c r="A5213" t="s">
        <v>209</v>
      </c>
      <c r="B5213">
        <v>62</v>
      </c>
      <c r="C5213" t="s">
        <v>210</v>
      </c>
      <c r="D5213">
        <v>734</v>
      </c>
      <c r="E5213" s="1">
        <v>0.18820000000000001</v>
      </c>
      <c r="F5213" s="1">
        <v>0.49880000000000002</v>
      </c>
      <c r="H5213" s="1">
        <v>0.31290000000000001</v>
      </c>
    </row>
    <row r="5214" spans="1:8">
      <c r="A5214" t="s">
        <v>209</v>
      </c>
      <c r="B5214">
        <v>72</v>
      </c>
      <c r="C5214" t="s">
        <v>211</v>
      </c>
      <c r="D5214">
        <v>734</v>
      </c>
      <c r="E5214" s="1">
        <v>0.13669999999999999</v>
      </c>
      <c r="F5214" s="1">
        <v>0.65769999999999995</v>
      </c>
      <c r="H5214" s="1">
        <v>0.2056</v>
      </c>
    </row>
    <row r="5215" spans="1:8">
      <c r="A5215" t="s">
        <v>209</v>
      </c>
      <c r="B5215">
        <v>63</v>
      </c>
      <c r="C5215" t="s">
        <v>212</v>
      </c>
      <c r="D5215">
        <v>734</v>
      </c>
      <c r="E5215" s="1">
        <v>6.6500000000000004E-2</v>
      </c>
      <c r="F5215" s="1">
        <v>0.60019999999999996</v>
      </c>
      <c r="H5215" s="1">
        <v>0.33329999999999999</v>
      </c>
    </row>
    <row r="5217" spans="1:7">
      <c r="A5217" t="s">
        <v>1172</v>
      </c>
    </row>
    <row r="5218" spans="1:7">
      <c r="A5218" t="s">
        <v>189</v>
      </c>
      <c r="B5218" t="s">
        <v>195</v>
      </c>
      <c r="C5218" t="s">
        <v>190</v>
      </c>
      <c r="D5218" t="s">
        <v>196</v>
      </c>
      <c r="E5218" t="s">
        <v>228</v>
      </c>
      <c r="F5218" t="s">
        <v>1173</v>
      </c>
      <c r="G5218" t="s">
        <v>1174</v>
      </c>
    </row>
    <row r="5219" spans="1:7">
      <c r="A5219" t="s">
        <v>197</v>
      </c>
      <c r="B5219">
        <v>631</v>
      </c>
      <c r="C5219" t="s">
        <v>198</v>
      </c>
      <c r="D5219">
        <v>631</v>
      </c>
      <c r="E5219" s="1">
        <v>6.4000000000000003E-3</v>
      </c>
      <c r="F5219" s="1">
        <v>0.1123</v>
      </c>
      <c r="G5219" s="1">
        <v>0.88129999999999997</v>
      </c>
    </row>
    <row r="5220" spans="1:7">
      <c r="A5220" t="s">
        <v>204</v>
      </c>
      <c r="B5220">
        <v>65</v>
      </c>
      <c r="C5220" t="s">
        <v>205</v>
      </c>
      <c r="D5220">
        <v>631</v>
      </c>
      <c r="F5220" s="1">
        <v>0.19439999999999999</v>
      </c>
      <c r="G5220" s="1">
        <v>0.80559999999999998</v>
      </c>
    </row>
    <row r="5221" spans="1:7">
      <c r="A5221" t="s">
        <v>204</v>
      </c>
      <c r="B5221">
        <v>48</v>
      </c>
      <c r="C5221" t="s">
        <v>206</v>
      </c>
      <c r="D5221">
        <v>631</v>
      </c>
      <c r="F5221" s="1">
        <v>0.13220000000000001</v>
      </c>
      <c r="G5221" s="1">
        <v>0.86780000000000002</v>
      </c>
    </row>
    <row r="5222" spans="1:7">
      <c r="A5222" t="s">
        <v>204</v>
      </c>
      <c r="B5222">
        <v>82</v>
      </c>
      <c r="C5222" t="s">
        <v>207</v>
      </c>
      <c r="D5222">
        <v>631</v>
      </c>
      <c r="F5222" s="1">
        <v>9.1999999999999998E-2</v>
      </c>
      <c r="G5222" s="1">
        <v>0.90800000000000003</v>
      </c>
    </row>
    <row r="5223" spans="1:7">
      <c r="A5223" t="s">
        <v>204</v>
      </c>
      <c r="B5223">
        <v>56</v>
      </c>
      <c r="C5223" t="s">
        <v>208</v>
      </c>
      <c r="D5223">
        <v>631</v>
      </c>
      <c r="F5223" s="1">
        <v>0.19639999999999999</v>
      </c>
      <c r="G5223" s="1">
        <v>0.80359999999999998</v>
      </c>
    </row>
    <row r="5224" spans="1:7">
      <c r="A5224" t="s">
        <v>199</v>
      </c>
      <c r="B5224">
        <v>48</v>
      </c>
      <c r="C5224" t="s">
        <v>200</v>
      </c>
      <c r="D5224">
        <v>631</v>
      </c>
      <c r="E5224" s="1">
        <v>2E-3</v>
      </c>
      <c r="G5224" s="1">
        <v>0.998</v>
      </c>
    </row>
    <row r="5225" spans="1:7">
      <c r="A5225" t="s">
        <v>199</v>
      </c>
      <c r="B5225">
        <v>63</v>
      </c>
      <c r="C5225" t="s">
        <v>201</v>
      </c>
      <c r="D5225">
        <v>631</v>
      </c>
      <c r="E5225" s="1">
        <v>3.1699999999999999E-2</v>
      </c>
      <c r="F5225" s="1">
        <v>6.3500000000000001E-2</v>
      </c>
      <c r="G5225" s="1">
        <v>0.90480000000000005</v>
      </c>
    </row>
    <row r="5226" spans="1:7">
      <c r="A5226" t="s">
        <v>199</v>
      </c>
      <c r="B5226">
        <v>54</v>
      </c>
      <c r="C5226" t="s">
        <v>202</v>
      </c>
      <c r="D5226">
        <v>631</v>
      </c>
      <c r="F5226" s="1">
        <v>8.7400000000000005E-2</v>
      </c>
      <c r="G5226" s="1">
        <v>0.91259999999999997</v>
      </c>
    </row>
    <row r="5227" spans="1:7">
      <c r="A5227" t="s">
        <v>199</v>
      </c>
      <c r="B5227">
        <v>56</v>
      </c>
      <c r="C5227" t="s">
        <v>203</v>
      </c>
      <c r="D5227">
        <v>631</v>
      </c>
      <c r="E5227" s="1">
        <v>1.37E-2</v>
      </c>
      <c r="F5227" s="1">
        <v>2.98E-2</v>
      </c>
      <c r="G5227" s="1">
        <v>0.95650000000000002</v>
      </c>
    </row>
    <row r="5228" spans="1:7">
      <c r="A5228" t="s">
        <v>209</v>
      </c>
      <c r="B5228">
        <v>37</v>
      </c>
      <c r="C5228" t="s">
        <v>210</v>
      </c>
      <c r="D5228">
        <v>631</v>
      </c>
      <c r="F5228" s="1">
        <v>1.6500000000000001E-2</v>
      </c>
      <c r="G5228" s="1">
        <v>0.98350000000000004</v>
      </c>
    </row>
    <row r="5229" spans="1:7">
      <c r="A5229" t="s">
        <v>209</v>
      </c>
      <c r="B5229">
        <v>64</v>
      </c>
      <c r="C5229" t="s">
        <v>211</v>
      </c>
      <c r="D5229">
        <v>631</v>
      </c>
      <c r="F5229" s="1">
        <v>6.6E-3</v>
      </c>
      <c r="G5229" s="1">
        <v>0.99339999999999995</v>
      </c>
    </row>
    <row r="5230" spans="1:7">
      <c r="A5230" t="s">
        <v>209</v>
      </c>
      <c r="B5230">
        <v>58</v>
      </c>
      <c r="C5230" t="s">
        <v>212</v>
      </c>
      <c r="D5230">
        <v>631</v>
      </c>
      <c r="F5230" s="1">
        <v>0.1211</v>
      </c>
      <c r="G5230" s="1">
        <v>0.87890000000000001</v>
      </c>
    </row>
    <row r="5232" spans="1:7">
      <c r="A5232" t="s">
        <v>1175</v>
      </c>
    </row>
    <row r="5233" spans="1:17">
      <c r="A5233" t="s">
        <v>189</v>
      </c>
      <c r="B5233" t="s">
        <v>195</v>
      </c>
      <c r="C5233" t="s">
        <v>190</v>
      </c>
      <c r="D5233" t="s">
        <v>196</v>
      </c>
      <c r="E5233" t="s">
        <v>228</v>
      </c>
      <c r="F5233" t="s">
        <v>215</v>
      </c>
      <c r="G5233" t="s">
        <v>1176</v>
      </c>
      <c r="H5233" t="s">
        <v>223</v>
      </c>
      <c r="I5233" t="s">
        <v>1177</v>
      </c>
      <c r="J5233" t="s">
        <v>1178</v>
      </c>
      <c r="K5233" t="s">
        <v>1179</v>
      </c>
      <c r="L5233" t="s">
        <v>1180</v>
      </c>
      <c r="M5233" t="s">
        <v>1181</v>
      </c>
    </row>
    <row r="5234" spans="1:17">
      <c r="A5234" t="s">
        <v>197</v>
      </c>
      <c r="B5234">
        <v>965</v>
      </c>
      <c r="C5234" t="s">
        <v>198</v>
      </c>
      <c r="D5234">
        <v>965</v>
      </c>
      <c r="E5234" s="1">
        <v>1.2999999999999999E-3</v>
      </c>
      <c r="F5234" s="1">
        <v>0.39429999999999998</v>
      </c>
      <c r="G5234" s="1">
        <v>1.17E-2</v>
      </c>
      <c r="H5234" s="1">
        <v>8.0000000000000004E-4</v>
      </c>
      <c r="I5234" s="1">
        <v>8.9999999999999998E-4</v>
      </c>
      <c r="J5234" s="1">
        <v>7.6E-3</v>
      </c>
      <c r="K5234" s="1">
        <v>0.59</v>
      </c>
      <c r="L5234" s="1">
        <v>8.5000000000000006E-3</v>
      </c>
      <c r="M5234" s="1">
        <v>5.1000000000000004E-3</v>
      </c>
    </row>
    <row r="5235" spans="1:17">
      <c r="A5235" t="s">
        <v>204</v>
      </c>
      <c r="B5235">
        <v>91</v>
      </c>
      <c r="C5235" t="s">
        <v>205</v>
      </c>
      <c r="D5235">
        <v>965</v>
      </c>
      <c r="F5235" s="1">
        <v>0.33910000000000001</v>
      </c>
      <c r="K5235" s="1">
        <v>0.65239999999999998</v>
      </c>
      <c r="L5235" s="1">
        <v>8.5000000000000006E-3</v>
      </c>
    </row>
    <row r="5236" spans="1:17">
      <c r="A5236" t="s">
        <v>204</v>
      </c>
      <c r="B5236">
        <v>71</v>
      </c>
      <c r="C5236" t="s">
        <v>206</v>
      </c>
      <c r="D5236">
        <v>965</v>
      </c>
      <c r="F5236" s="1">
        <v>0.49180000000000001</v>
      </c>
      <c r="I5236" s="1">
        <v>2.3699999999999999E-2</v>
      </c>
      <c r="K5236" s="1">
        <v>0.50819999999999999</v>
      </c>
    </row>
    <row r="5237" spans="1:17">
      <c r="A5237" t="s">
        <v>204</v>
      </c>
      <c r="B5237">
        <v>130</v>
      </c>
      <c r="C5237" t="s">
        <v>207</v>
      </c>
      <c r="D5237">
        <v>965</v>
      </c>
      <c r="F5237" s="1">
        <v>0.58260000000000001</v>
      </c>
      <c r="H5237" s="1">
        <v>4.8999999999999998E-3</v>
      </c>
      <c r="J5237" s="1">
        <v>4.5600000000000002E-2</v>
      </c>
      <c r="K5237" s="1">
        <v>0.41249999999999998</v>
      </c>
    </row>
    <row r="5238" spans="1:17">
      <c r="A5238" t="s">
        <v>204</v>
      </c>
      <c r="B5238">
        <v>73</v>
      </c>
      <c r="C5238" t="s">
        <v>208</v>
      </c>
      <c r="D5238">
        <v>965</v>
      </c>
      <c r="F5238" s="1">
        <v>0.52049999999999996</v>
      </c>
      <c r="K5238" s="1">
        <v>0.46579999999999999</v>
      </c>
      <c r="L5238" s="1">
        <v>1.37E-2</v>
      </c>
      <c r="M5238" s="1">
        <v>1.37E-2</v>
      </c>
    </row>
    <row r="5239" spans="1:17">
      <c r="A5239" t="s">
        <v>199</v>
      </c>
      <c r="B5239">
        <v>73</v>
      </c>
      <c r="C5239" t="s">
        <v>200</v>
      </c>
      <c r="D5239">
        <v>965</v>
      </c>
      <c r="F5239" s="1">
        <v>0.62370000000000003</v>
      </c>
      <c r="K5239" s="1">
        <v>0.37309999999999999</v>
      </c>
      <c r="L5239" s="1">
        <v>3.2000000000000002E-3</v>
      </c>
      <c r="M5239" s="1">
        <v>1.6000000000000001E-3</v>
      </c>
    </row>
    <row r="5240" spans="1:17">
      <c r="A5240" t="s">
        <v>199</v>
      </c>
      <c r="B5240">
        <v>96</v>
      </c>
      <c r="C5240" t="s">
        <v>201</v>
      </c>
      <c r="D5240">
        <v>965</v>
      </c>
      <c r="F5240" s="1">
        <v>0.21879999999999999</v>
      </c>
      <c r="G5240" s="1">
        <v>2.0799999999999999E-2</v>
      </c>
      <c r="K5240" s="1">
        <v>0.76039999999999996</v>
      </c>
    </row>
    <row r="5241" spans="1:17">
      <c r="A5241" t="s">
        <v>199</v>
      </c>
      <c r="B5241">
        <v>98</v>
      </c>
      <c r="C5241" t="s">
        <v>202</v>
      </c>
      <c r="D5241">
        <v>965</v>
      </c>
      <c r="E5241" s="1">
        <v>8.5000000000000006E-3</v>
      </c>
      <c r="F5241" s="1">
        <v>0.43519999999999998</v>
      </c>
      <c r="G5241" s="1">
        <v>2.5700000000000001E-2</v>
      </c>
      <c r="K5241" s="1">
        <v>0.53510000000000002</v>
      </c>
      <c r="L5241" s="1">
        <v>2.12E-2</v>
      </c>
      <c r="M5241" s="1">
        <v>1.35E-2</v>
      </c>
    </row>
    <row r="5242" spans="1:17">
      <c r="A5242" t="s">
        <v>199</v>
      </c>
      <c r="B5242">
        <v>77</v>
      </c>
      <c r="C5242" t="s">
        <v>203</v>
      </c>
      <c r="D5242">
        <v>965</v>
      </c>
      <c r="F5242" s="1">
        <v>0.47289999999999999</v>
      </c>
      <c r="K5242" s="1">
        <v>0.52710000000000001</v>
      </c>
    </row>
    <row r="5243" spans="1:17">
      <c r="A5243" t="s">
        <v>209</v>
      </c>
      <c r="B5243">
        <v>74</v>
      </c>
      <c r="C5243" t="s">
        <v>210</v>
      </c>
      <c r="D5243">
        <v>965</v>
      </c>
      <c r="E5243" s="1">
        <v>8.3000000000000001E-3</v>
      </c>
      <c r="F5243" s="1">
        <v>0.35399999999999998</v>
      </c>
      <c r="G5243" s="1">
        <v>1.77E-2</v>
      </c>
      <c r="I5243" s="1">
        <v>1.77E-2</v>
      </c>
      <c r="K5243" s="1">
        <v>0.5847</v>
      </c>
      <c r="M5243" s="1">
        <v>1.77E-2</v>
      </c>
    </row>
    <row r="5244" spans="1:17">
      <c r="A5244" t="s">
        <v>209</v>
      </c>
      <c r="B5244">
        <v>97</v>
      </c>
      <c r="C5244" t="s">
        <v>211</v>
      </c>
      <c r="D5244">
        <v>965</v>
      </c>
      <c r="F5244" s="1">
        <v>0.44890000000000002</v>
      </c>
      <c r="I5244" s="1">
        <v>1.2E-2</v>
      </c>
      <c r="J5244" s="1">
        <v>1.2E-2</v>
      </c>
      <c r="K5244" s="1">
        <v>0.53910000000000002</v>
      </c>
      <c r="L5244" s="1">
        <v>1.2E-2</v>
      </c>
      <c r="M5244" s="1">
        <v>1.2E-2</v>
      </c>
    </row>
    <row r="5245" spans="1:17">
      <c r="A5245" t="s">
        <v>209</v>
      </c>
      <c r="B5245">
        <v>85</v>
      </c>
      <c r="C5245" t="s">
        <v>212</v>
      </c>
      <c r="D5245">
        <v>965</v>
      </c>
      <c r="F5245" s="1">
        <v>0.29630000000000001</v>
      </c>
      <c r="G5245" s="1">
        <v>3.5200000000000002E-2</v>
      </c>
      <c r="K5245" s="1">
        <v>0.67679999999999996</v>
      </c>
      <c r="L5245" s="1">
        <v>1.9599999999999999E-2</v>
      </c>
      <c r="M5245" s="1">
        <v>1.4E-2</v>
      </c>
    </row>
    <row r="5247" spans="1:17">
      <c r="A5247" t="s">
        <v>1182</v>
      </c>
    </row>
    <row r="5248" spans="1:17">
      <c r="A5248" t="s">
        <v>189</v>
      </c>
      <c r="B5248" t="s">
        <v>195</v>
      </c>
      <c r="C5248" t="s">
        <v>190</v>
      </c>
      <c r="D5248" t="s">
        <v>196</v>
      </c>
      <c r="E5248" t="s">
        <v>228</v>
      </c>
      <c r="F5248" t="s">
        <v>276</v>
      </c>
      <c r="G5248" t="s">
        <v>223</v>
      </c>
      <c r="H5248" t="s">
        <v>1183</v>
      </c>
      <c r="I5248" t="s">
        <v>1184</v>
      </c>
      <c r="J5248" t="s">
        <v>1185</v>
      </c>
      <c r="K5248" t="s">
        <v>1186</v>
      </c>
      <c r="L5248" t="s">
        <v>1187</v>
      </c>
      <c r="M5248" t="s">
        <v>1188</v>
      </c>
      <c r="N5248" t="s">
        <v>1189</v>
      </c>
      <c r="O5248" t="s">
        <v>1190</v>
      </c>
      <c r="P5248" t="s">
        <v>1191</v>
      </c>
      <c r="Q5248" t="s">
        <v>1192</v>
      </c>
    </row>
    <row r="5249" spans="1:17">
      <c r="A5249" t="s">
        <v>197</v>
      </c>
      <c r="B5249">
        <v>968</v>
      </c>
      <c r="C5249" t="s">
        <v>198</v>
      </c>
      <c r="D5249">
        <v>968</v>
      </c>
      <c r="E5249" s="1">
        <v>9.7000000000000003E-3</v>
      </c>
      <c r="F5249" s="1">
        <v>0.72019999999999995</v>
      </c>
      <c r="G5249" s="1">
        <v>5.3E-3</v>
      </c>
      <c r="H5249" s="1">
        <v>0.01</v>
      </c>
      <c r="I5249" s="1">
        <v>1.6299999999999999E-2</v>
      </c>
      <c r="J5249" s="1">
        <v>2.6700000000000002E-2</v>
      </c>
      <c r="K5249" s="1">
        <v>8.5099999999999995E-2</v>
      </c>
      <c r="L5249" s="1">
        <v>0.1031</v>
      </c>
      <c r="M5249" s="1">
        <v>3.2300000000000002E-2</v>
      </c>
      <c r="N5249" s="1">
        <v>2.24E-2</v>
      </c>
      <c r="O5249" s="1">
        <v>6.4999999999999997E-3</v>
      </c>
      <c r="P5249" s="1">
        <v>6.6600000000000006E-2</v>
      </c>
      <c r="Q5249" s="1">
        <v>7.1000000000000004E-3</v>
      </c>
    </row>
    <row r="5250" spans="1:17">
      <c r="A5250" t="s">
        <v>204</v>
      </c>
      <c r="B5250">
        <v>91</v>
      </c>
      <c r="C5250" t="s">
        <v>205</v>
      </c>
      <c r="D5250">
        <v>968</v>
      </c>
      <c r="F5250" s="1">
        <v>0.57920000000000005</v>
      </c>
      <c r="H5250" s="1">
        <v>2.3999999999999998E-3</v>
      </c>
      <c r="J5250" s="1">
        <v>3.9199999999999999E-2</v>
      </c>
      <c r="K5250" s="1">
        <v>0.2145</v>
      </c>
      <c r="L5250" s="1">
        <v>0.1246</v>
      </c>
      <c r="M5250" s="1">
        <v>2.6499999999999999E-2</v>
      </c>
      <c r="N5250" s="1">
        <v>3.9899999999999998E-2</v>
      </c>
      <c r="O5250" s="1">
        <v>1.34E-2</v>
      </c>
      <c r="P5250" s="1">
        <v>7.9899999999999999E-2</v>
      </c>
      <c r="Q5250" s="1">
        <v>3.2000000000000002E-3</v>
      </c>
    </row>
    <row r="5251" spans="1:17">
      <c r="A5251" t="s">
        <v>204</v>
      </c>
      <c r="B5251">
        <v>72</v>
      </c>
      <c r="C5251" t="s">
        <v>206</v>
      </c>
      <c r="D5251">
        <v>968</v>
      </c>
      <c r="E5251" s="1">
        <v>1.6299999999999999E-2</v>
      </c>
      <c r="F5251" s="1">
        <v>0.72799999999999998</v>
      </c>
      <c r="J5251" s="1">
        <v>3.49E-2</v>
      </c>
      <c r="K5251" s="1">
        <v>4.8800000000000003E-2</v>
      </c>
      <c r="L5251" s="1">
        <v>0.13250000000000001</v>
      </c>
      <c r="M5251" s="1">
        <v>1.6299999999999999E-2</v>
      </c>
      <c r="N5251" s="1">
        <v>1.1599999999999999E-2</v>
      </c>
      <c r="O5251" s="1">
        <v>2.3300000000000001E-2</v>
      </c>
      <c r="P5251" s="1">
        <v>9.2999999999999999E-2</v>
      </c>
      <c r="Q5251" s="1">
        <v>1.1599999999999999E-2</v>
      </c>
    </row>
    <row r="5252" spans="1:17">
      <c r="A5252" t="s">
        <v>204</v>
      </c>
      <c r="B5252">
        <v>131</v>
      </c>
      <c r="C5252" t="s">
        <v>207</v>
      </c>
      <c r="D5252">
        <v>968</v>
      </c>
      <c r="E5252" s="1">
        <v>4.4999999999999997E-3</v>
      </c>
      <c r="F5252" s="1">
        <v>0.83779999999999999</v>
      </c>
      <c r="G5252" s="1">
        <v>2.3E-3</v>
      </c>
      <c r="H5252" s="1">
        <v>6.1000000000000004E-3</v>
      </c>
      <c r="I5252" s="1">
        <v>1.24E-2</v>
      </c>
      <c r="J5252" s="1">
        <v>6.7999999999999996E-3</v>
      </c>
      <c r="K5252" s="1">
        <v>1.04E-2</v>
      </c>
      <c r="L5252" s="1">
        <v>6.7799999999999999E-2</v>
      </c>
      <c r="M5252" s="1">
        <v>6.0000000000000001E-3</v>
      </c>
      <c r="N5252" s="1">
        <v>3.3999999999999998E-3</v>
      </c>
      <c r="O5252" s="1">
        <v>3.3999999999999998E-3</v>
      </c>
      <c r="P5252" s="1">
        <v>5.8099999999999999E-2</v>
      </c>
      <c r="Q5252" s="1">
        <v>8.3000000000000001E-3</v>
      </c>
    </row>
    <row r="5253" spans="1:17">
      <c r="A5253" t="s">
        <v>204</v>
      </c>
      <c r="B5253">
        <v>74</v>
      </c>
      <c r="C5253" t="s">
        <v>208</v>
      </c>
      <c r="D5253">
        <v>968</v>
      </c>
      <c r="F5253" s="1">
        <v>0.77029999999999998</v>
      </c>
      <c r="H5253" s="1">
        <v>1.35E-2</v>
      </c>
      <c r="I5253" s="1">
        <v>1.35E-2</v>
      </c>
      <c r="J5253" s="1">
        <v>9.4600000000000004E-2</v>
      </c>
      <c r="K5253" s="1">
        <v>6.7599999999999993E-2</v>
      </c>
      <c r="L5253" s="1">
        <v>9.4600000000000004E-2</v>
      </c>
      <c r="M5253" s="1">
        <v>9.4600000000000004E-2</v>
      </c>
      <c r="P5253" s="1">
        <v>6.7599999999999993E-2</v>
      </c>
      <c r="Q5253" s="1">
        <v>1.35E-2</v>
      </c>
    </row>
    <row r="5254" spans="1:17">
      <c r="A5254" t="s">
        <v>199</v>
      </c>
      <c r="B5254">
        <v>73</v>
      </c>
      <c r="C5254" t="s">
        <v>200</v>
      </c>
      <c r="D5254">
        <v>968</v>
      </c>
      <c r="E5254" s="1">
        <v>1.6000000000000001E-3</v>
      </c>
      <c r="F5254" s="1">
        <v>0.92879999999999996</v>
      </c>
      <c r="J5254" s="1">
        <v>1.6000000000000001E-3</v>
      </c>
      <c r="K5254" s="1">
        <v>1.5299999999999999E-2</v>
      </c>
      <c r="L5254" s="1">
        <v>3.2000000000000002E-3</v>
      </c>
      <c r="N5254" s="1">
        <v>1.6000000000000001E-3</v>
      </c>
      <c r="P5254" s="1">
        <v>4.8000000000000001E-2</v>
      </c>
    </row>
    <row r="5255" spans="1:17">
      <c r="A5255" t="s">
        <v>199</v>
      </c>
      <c r="B5255">
        <v>96</v>
      </c>
      <c r="C5255" t="s">
        <v>201</v>
      </c>
      <c r="D5255">
        <v>968</v>
      </c>
      <c r="E5255" s="1">
        <v>2.0799999999999999E-2</v>
      </c>
      <c r="F5255" s="1">
        <v>0.71879999999999999</v>
      </c>
      <c r="G5255" s="1">
        <v>1.04E-2</v>
      </c>
      <c r="H5255" s="1">
        <v>1.04E-2</v>
      </c>
      <c r="I5255" s="1">
        <v>3.1199999999999999E-2</v>
      </c>
      <c r="J5255" s="1">
        <v>3.1199999999999999E-2</v>
      </c>
      <c r="K5255" s="1">
        <v>4.1700000000000001E-2</v>
      </c>
      <c r="L5255" s="1">
        <v>0.1042</v>
      </c>
      <c r="M5255" s="1">
        <v>5.21E-2</v>
      </c>
      <c r="N5255" s="1">
        <v>2.0799999999999999E-2</v>
      </c>
      <c r="P5255" s="1">
        <v>5.21E-2</v>
      </c>
    </row>
    <row r="5256" spans="1:17">
      <c r="A5256" t="s">
        <v>199</v>
      </c>
      <c r="B5256">
        <v>98</v>
      </c>
      <c r="C5256" t="s">
        <v>202</v>
      </c>
      <c r="D5256">
        <v>968</v>
      </c>
      <c r="E5256" s="1">
        <v>8.5000000000000006E-3</v>
      </c>
      <c r="F5256" s="1">
        <v>0.71240000000000003</v>
      </c>
      <c r="G5256" s="1">
        <v>8.9999999999999993E-3</v>
      </c>
      <c r="H5256" s="1">
        <v>2.1999999999999999E-2</v>
      </c>
      <c r="I5256" s="1">
        <v>4.0599999999999997E-2</v>
      </c>
      <c r="J5256" s="1">
        <v>1.78E-2</v>
      </c>
      <c r="K5256" s="1">
        <v>6.6400000000000001E-2</v>
      </c>
      <c r="L5256" s="1">
        <v>0.14879999999999999</v>
      </c>
      <c r="M5256" s="1">
        <v>1.78E-2</v>
      </c>
      <c r="N5256" s="1">
        <v>3.9300000000000002E-2</v>
      </c>
      <c r="O5256" s="1">
        <v>1.2200000000000001E-2</v>
      </c>
      <c r="P5256" s="1">
        <v>7.7499999999999999E-2</v>
      </c>
    </row>
    <row r="5257" spans="1:17">
      <c r="A5257" t="s">
        <v>199</v>
      </c>
      <c r="B5257">
        <v>77</v>
      </c>
      <c r="C5257" t="s">
        <v>203</v>
      </c>
      <c r="D5257">
        <v>968</v>
      </c>
      <c r="F5257" s="1">
        <v>0.78979999999999995</v>
      </c>
      <c r="K5257" s="1">
        <v>2.69E-2</v>
      </c>
      <c r="L5257" s="1">
        <v>8.6300000000000002E-2</v>
      </c>
      <c r="M5257" s="1">
        <v>5.3699999999999998E-2</v>
      </c>
      <c r="O5257" s="1">
        <v>8.2000000000000007E-3</v>
      </c>
      <c r="P5257" s="1">
        <v>6.1899999999999997E-2</v>
      </c>
    </row>
    <row r="5258" spans="1:17">
      <c r="A5258" t="s">
        <v>209</v>
      </c>
      <c r="B5258">
        <v>74</v>
      </c>
      <c r="C5258" t="s">
        <v>210</v>
      </c>
      <c r="D5258">
        <v>968</v>
      </c>
      <c r="F5258" s="1">
        <v>0.78249999999999997</v>
      </c>
      <c r="G5258" s="1">
        <v>1.77E-2</v>
      </c>
      <c r="H5258" s="1">
        <v>2.5999999999999999E-2</v>
      </c>
      <c r="J5258" s="1">
        <v>1.77E-2</v>
      </c>
      <c r="K5258" s="1">
        <v>6.1400000000000003E-2</v>
      </c>
      <c r="L5258" s="1">
        <v>1.77E-2</v>
      </c>
      <c r="M5258" s="1">
        <v>2.5999999999999999E-2</v>
      </c>
      <c r="N5258" s="1">
        <v>3.5299999999999998E-2</v>
      </c>
      <c r="P5258" s="1">
        <v>9.4700000000000006E-2</v>
      </c>
    </row>
    <row r="5259" spans="1:17">
      <c r="A5259" t="s">
        <v>209</v>
      </c>
      <c r="B5259">
        <v>97</v>
      </c>
      <c r="C5259" t="s">
        <v>211</v>
      </c>
      <c r="D5259">
        <v>968</v>
      </c>
      <c r="E5259" s="1">
        <v>1.2E-2</v>
      </c>
      <c r="F5259" s="1">
        <v>0.73250000000000004</v>
      </c>
      <c r="H5259" s="1">
        <v>2.1899999999999999E-2</v>
      </c>
      <c r="J5259" s="1">
        <v>4.3799999999999999E-2</v>
      </c>
      <c r="K5259" s="1">
        <v>5.7200000000000001E-2</v>
      </c>
      <c r="L5259" s="1">
        <v>0.1169</v>
      </c>
      <c r="M5259" s="1">
        <v>2.4E-2</v>
      </c>
      <c r="N5259" s="1">
        <v>3.61E-2</v>
      </c>
      <c r="P5259" s="1">
        <v>0.1142</v>
      </c>
      <c r="Q5259" s="1">
        <v>2.4E-2</v>
      </c>
    </row>
    <row r="5260" spans="1:17">
      <c r="A5260" t="s">
        <v>209</v>
      </c>
      <c r="B5260">
        <v>85</v>
      </c>
      <c r="C5260" t="s">
        <v>212</v>
      </c>
      <c r="D5260">
        <v>968</v>
      </c>
      <c r="E5260" s="1">
        <v>2.7900000000000001E-2</v>
      </c>
      <c r="F5260" s="1">
        <v>0.72019999999999995</v>
      </c>
      <c r="G5260" s="1">
        <v>1.4E-2</v>
      </c>
      <c r="H5260" s="1">
        <v>1.1599999999999999E-2</v>
      </c>
      <c r="I5260" s="1">
        <v>1.4E-2</v>
      </c>
      <c r="J5260" s="1">
        <v>2.3999999999999998E-3</v>
      </c>
      <c r="K5260" s="1">
        <v>0.1119</v>
      </c>
      <c r="L5260" s="1">
        <v>7.9200000000000007E-2</v>
      </c>
      <c r="M5260" s="1">
        <v>3.5299999999999998E-2</v>
      </c>
      <c r="N5260" s="1">
        <v>1.6400000000000001E-2</v>
      </c>
      <c r="O5260" s="1">
        <v>7.1999999999999998E-3</v>
      </c>
      <c r="P5260" s="1">
        <v>4.4400000000000002E-2</v>
      </c>
      <c r="Q5260" s="1">
        <v>2.7900000000000001E-2</v>
      </c>
    </row>
    <row r="5262" spans="1:17">
      <c r="A5262" t="s">
        <v>1193</v>
      </c>
    </row>
    <row r="5263" spans="1:17">
      <c r="A5263" t="s">
        <v>189</v>
      </c>
      <c r="B5263" t="s">
        <v>195</v>
      </c>
      <c r="C5263" t="s">
        <v>190</v>
      </c>
      <c r="D5263" t="s">
        <v>196</v>
      </c>
      <c r="E5263" t="s">
        <v>228</v>
      </c>
      <c r="F5263" t="s">
        <v>215</v>
      </c>
      <c r="G5263" t="s">
        <v>216</v>
      </c>
    </row>
    <row r="5264" spans="1:17">
      <c r="A5264" t="s">
        <v>197</v>
      </c>
      <c r="B5264">
        <v>961</v>
      </c>
      <c r="C5264" t="s">
        <v>198</v>
      </c>
      <c r="D5264">
        <v>961</v>
      </c>
      <c r="E5264" s="1">
        <v>1.7600000000000001E-2</v>
      </c>
      <c r="F5264" s="1">
        <v>0.69340000000000002</v>
      </c>
      <c r="G5264" s="1">
        <v>0.28899999999999998</v>
      </c>
    </row>
    <row r="5265" spans="1:16">
      <c r="A5265" t="s">
        <v>204</v>
      </c>
      <c r="B5265">
        <v>91</v>
      </c>
      <c r="C5265" t="s">
        <v>205</v>
      </c>
      <c r="D5265">
        <v>961</v>
      </c>
      <c r="E5265" s="1">
        <v>3.6700000000000003E-2</v>
      </c>
      <c r="F5265" s="1">
        <v>0.67210000000000003</v>
      </c>
      <c r="G5265" s="1">
        <v>0.29120000000000001</v>
      </c>
    </row>
    <row r="5266" spans="1:16">
      <c r="A5266" t="s">
        <v>204</v>
      </c>
      <c r="B5266">
        <v>71</v>
      </c>
      <c r="C5266" t="s">
        <v>206</v>
      </c>
      <c r="D5266">
        <v>961</v>
      </c>
      <c r="E5266" s="1">
        <v>4.4900000000000002E-2</v>
      </c>
      <c r="F5266" s="1">
        <v>0.83919999999999995</v>
      </c>
      <c r="G5266" s="1">
        <v>0.1159</v>
      </c>
    </row>
    <row r="5267" spans="1:16">
      <c r="A5267" t="s">
        <v>204</v>
      </c>
      <c r="B5267">
        <v>129</v>
      </c>
      <c r="C5267" t="s">
        <v>207</v>
      </c>
      <c r="D5267">
        <v>961</v>
      </c>
      <c r="E5267" s="1">
        <v>7.4000000000000003E-3</v>
      </c>
      <c r="F5267" s="1">
        <v>0.72860000000000003</v>
      </c>
      <c r="G5267" s="1">
        <v>0.26390000000000002</v>
      </c>
    </row>
    <row r="5268" spans="1:16">
      <c r="A5268" t="s">
        <v>204</v>
      </c>
      <c r="B5268">
        <v>74</v>
      </c>
      <c r="C5268" t="s">
        <v>208</v>
      </c>
      <c r="D5268">
        <v>961</v>
      </c>
      <c r="F5268" s="1">
        <v>0.67569999999999997</v>
      </c>
      <c r="G5268" s="1">
        <v>0.32429999999999998</v>
      </c>
    </row>
    <row r="5269" spans="1:16">
      <c r="A5269" t="s">
        <v>199</v>
      </c>
      <c r="B5269">
        <v>72</v>
      </c>
      <c r="C5269" t="s">
        <v>200</v>
      </c>
      <c r="D5269">
        <v>961</v>
      </c>
      <c r="E5269" s="1">
        <v>3.2099999999999997E-2</v>
      </c>
      <c r="F5269" s="1">
        <v>0.77580000000000005</v>
      </c>
      <c r="G5269" s="1">
        <v>0.19209999999999999</v>
      </c>
    </row>
    <row r="5270" spans="1:16">
      <c r="A5270" t="s">
        <v>199</v>
      </c>
      <c r="B5270">
        <v>96</v>
      </c>
      <c r="C5270" t="s">
        <v>201</v>
      </c>
      <c r="D5270">
        <v>961</v>
      </c>
      <c r="E5270" s="1">
        <v>1.04E-2</v>
      </c>
      <c r="F5270" s="1">
        <v>0.67710000000000004</v>
      </c>
      <c r="G5270" s="1">
        <v>0.3125</v>
      </c>
    </row>
    <row r="5271" spans="1:16">
      <c r="A5271" t="s">
        <v>199</v>
      </c>
      <c r="B5271">
        <v>98</v>
      </c>
      <c r="C5271" t="s">
        <v>202</v>
      </c>
      <c r="D5271">
        <v>961</v>
      </c>
      <c r="E5271" s="1">
        <v>2.5499999999999998E-2</v>
      </c>
      <c r="F5271" s="1">
        <v>0.6774</v>
      </c>
      <c r="G5271" s="1">
        <v>0.29709999999999998</v>
      </c>
    </row>
    <row r="5272" spans="1:16">
      <c r="A5272" t="s">
        <v>199</v>
      </c>
      <c r="B5272">
        <v>77</v>
      </c>
      <c r="C5272" t="s">
        <v>203</v>
      </c>
      <c r="D5272">
        <v>961</v>
      </c>
      <c r="F5272" s="1">
        <v>0.78239999999999998</v>
      </c>
      <c r="G5272" s="1">
        <v>0.21759999999999999</v>
      </c>
    </row>
    <row r="5273" spans="1:16">
      <c r="A5273" t="s">
        <v>209</v>
      </c>
      <c r="B5273">
        <v>74</v>
      </c>
      <c r="C5273" t="s">
        <v>210</v>
      </c>
      <c r="D5273">
        <v>961</v>
      </c>
      <c r="E5273" s="1">
        <v>5.1999999999999998E-2</v>
      </c>
      <c r="F5273" s="1">
        <v>0.71479999999999999</v>
      </c>
      <c r="G5273" s="1">
        <v>0.23319999999999999</v>
      </c>
    </row>
    <row r="5274" spans="1:16">
      <c r="A5274" t="s">
        <v>209</v>
      </c>
      <c r="B5274">
        <v>95</v>
      </c>
      <c r="C5274" t="s">
        <v>211</v>
      </c>
      <c r="D5274">
        <v>961</v>
      </c>
      <c r="E5274" s="1">
        <v>1.23E-2</v>
      </c>
      <c r="F5274" s="1">
        <v>0.74870000000000003</v>
      </c>
      <c r="G5274" s="1">
        <v>0.23899999999999999</v>
      </c>
    </row>
    <row r="5275" spans="1:16">
      <c r="A5275" t="s">
        <v>209</v>
      </c>
      <c r="B5275">
        <v>84</v>
      </c>
      <c r="C5275" t="s">
        <v>212</v>
      </c>
      <c r="D5275">
        <v>961</v>
      </c>
      <c r="E5275" s="1">
        <v>7.4999999999999997E-3</v>
      </c>
      <c r="F5275" s="1">
        <v>0.65459999999999996</v>
      </c>
      <c r="G5275" s="1">
        <v>0.33800000000000002</v>
      </c>
    </row>
    <row r="5277" spans="1:16">
      <c r="A5277" t="s">
        <v>1194</v>
      </c>
    </row>
    <row r="5278" spans="1:16">
      <c r="A5278" t="s">
        <v>189</v>
      </c>
      <c r="B5278" t="s">
        <v>195</v>
      </c>
      <c r="C5278" t="s">
        <v>190</v>
      </c>
      <c r="D5278" t="s">
        <v>196</v>
      </c>
      <c r="E5278" t="s">
        <v>276</v>
      </c>
      <c r="F5278" t="s">
        <v>278</v>
      </c>
      <c r="G5278" t="s">
        <v>1195</v>
      </c>
      <c r="H5278" t="s">
        <v>1196</v>
      </c>
      <c r="I5278" t="s">
        <v>1128</v>
      </c>
      <c r="J5278" t="s">
        <v>1197</v>
      </c>
      <c r="K5278" t="s">
        <v>1198</v>
      </c>
      <c r="L5278" t="s">
        <v>1199</v>
      </c>
      <c r="M5278" t="s">
        <v>1200</v>
      </c>
      <c r="N5278" t="s">
        <v>1201</v>
      </c>
      <c r="O5278" t="s">
        <v>1202</v>
      </c>
      <c r="P5278" t="s">
        <v>1203</v>
      </c>
    </row>
    <row r="5279" spans="1:16">
      <c r="A5279" t="s">
        <v>197</v>
      </c>
      <c r="B5279">
        <v>254</v>
      </c>
      <c r="C5279" t="s">
        <v>198</v>
      </c>
      <c r="D5279">
        <v>254</v>
      </c>
      <c r="E5279" s="1">
        <v>0.62219999999999998</v>
      </c>
      <c r="F5279" s="1">
        <v>6.83E-2</v>
      </c>
      <c r="G5279" s="1">
        <v>3.0700000000000002E-2</v>
      </c>
      <c r="H5279" s="1">
        <v>1.3599999999999999E-2</v>
      </c>
      <c r="I5279" s="1">
        <v>8.0999999999999996E-3</v>
      </c>
      <c r="J5279" s="1">
        <v>7.6999999999999999E-2</v>
      </c>
      <c r="K5279" s="1">
        <v>9.4399999999999998E-2</v>
      </c>
      <c r="L5279" s="1">
        <v>8.8800000000000004E-2</v>
      </c>
      <c r="M5279" s="1">
        <v>4.7999999999999996E-3</v>
      </c>
      <c r="N5279" s="1">
        <v>3.3099999999999997E-2</v>
      </c>
      <c r="O5279" s="1">
        <v>1.6999999999999999E-3</v>
      </c>
      <c r="P5279" s="1">
        <v>0.16539999999999999</v>
      </c>
    </row>
    <row r="5280" spans="1:16">
      <c r="A5280" t="s">
        <v>204</v>
      </c>
      <c r="B5280">
        <v>33</v>
      </c>
      <c r="C5280" t="s">
        <v>205</v>
      </c>
      <c r="D5280">
        <v>254</v>
      </c>
      <c r="E5280" s="1">
        <v>0.71040000000000003</v>
      </c>
      <c r="G5280" s="1">
        <v>0.04</v>
      </c>
      <c r="J5280" s="1">
        <v>6.0400000000000002E-2</v>
      </c>
      <c r="K5280" s="1">
        <v>0.1346</v>
      </c>
      <c r="L5280" s="1">
        <v>1.9300000000000001E-2</v>
      </c>
      <c r="M5280" s="1">
        <v>8.3000000000000001E-3</v>
      </c>
      <c r="N5280" s="1">
        <v>8.3000000000000001E-3</v>
      </c>
      <c r="P5280" s="1">
        <v>0.24010000000000001</v>
      </c>
    </row>
    <row r="5281" spans="1:17" s="26" customFormat="1">
      <c r="A5281" s="26" t="s">
        <v>204</v>
      </c>
      <c r="B5281" s="26">
        <v>9</v>
      </c>
      <c r="C5281" s="26" t="s">
        <v>206</v>
      </c>
      <c r="D5281" s="26">
        <v>254</v>
      </c>
      <c r="E5281" s="27">
        <v>0.69369999999999998</v>
      </c>
      <c r="G5281" s="27">
        <v>0.1021</v>
      </c>
      <c r="H5281" s="27">
        <v>0.1021</v>
      </c>
      <c r="K5281" s="27">
        <v>0.1021</v>
      </c>
      <c r="L5281" s="27">
        <v>0.1021</v>
      </c>
      <c r="M5281" s="27">
        <v>0.1021</v>
      </c>
      <c r="N5281" s="27">
        <v>0.1021</v>
      </c>
      <c r="O5281" s="27">
        <v>0.1021</v>
      </c>
      <c r="P5281" s="27">
        <v>0.1021</v>
      </c>
    </row>
    <row r="5282" spans="1:17">
      <c r="A5282" t="s">
        <v>204</v>
      </c>
      <c r="B5282">
        <v>34</v>
      </c>
      <c r="C5282" t="s">
        <v>207</v>
      </c>
      <c r="D5282">
        <v>254</v>
      </c>
      <c r="E5282" s="1">
        <v>0.36170000000000002</v>
      </c>
      <c r="F5282" s="1">
        <v>1.7299999999999999E-2</v>
      </c>
      <c r="G5282" s="1">
        <v>8.8999999999999999E-3</v>
      </c>
      <c r="H5282" s="1">
        <v>5.1200000000000002E-2</v>
      </c>
      <c r="J5282" s="1">
        <v>1.38E-2</v>
      </c>
      <c r="K5282" s="1">
        <v>0.1883</v>
      </c>
      <c r="L5282" s="1">
        <v>0.3947</v>
      </c>
      <c r="M5282" s="1">
        <v>1.8499999999999999E-2</v>
      </c>
      <c r="N5282" s="1">
        <v>3.3300000000000003E-2</v>
      </c>
      <c r="O5282" s="1">
        <v>8.8999999999999999E-3</v>
      </c>
      <c r="P5282" s="1">
        <v>0.35799999999999998</v>
      </c>
    </row>
    <row r="5283" spans="1:17" s="26" customFormat="1">
      <c r="A5283" s="26" t="s">
        <v>204</v>
      </c>
      <c r="B5283" s="26">
        <v>24</v>
      </c>
      <c r="C5283" s="26" t="s">
        <v>208</v>
      </c>
      <c r="D5283" s="26">
        <v>254</v>
      </c>
      <c r="E5283" s="27">
        <v>0.58330000000000004</v>
      </c>
      <c r="G5283" s="27">
        <v>0.125</v>
      </c>
      <c r="I5283" s="27">
        <v>8.3299999999999999E-2</v>
      </c>
      <c r="J5283" s="27">
        <v>4.1700000000000001E-2</v>
      </c>
      <c r="K5283" s="27">
        <v>0.125</v>
      </c>
      <c r="L5283" s="27">
        <v>0.16669999999999999</v>
      </c>
      <c r="P5283" s="27">
        <v>8.3299999999999999E-2</v>
      </c>
    </row>
    <row r="5284" spans="1:17" s="26" customFormat="1">
      <c r="A5284" s="26" t="s">
        <v>199</v>
      </c>
      <c r="B5284" s="26">
        <v>7</v>
      </c>
      <c r="C5284" s="26" t="s">
        <v>200</v>
      </c>
      <c r="D5284" s="26">
        <v>254</v>
      </c>
      <c r="E5284" s="27">
        <v>0.98709999999999998</v>
      </c>
      <c r="L5284" s="27">
        <v>1.29E-2</v>
      </c>
    </row>
    <row r="5285" spans="1:17">
      <c r="A5285" t="s">
        <v>199</v>
      </c>
      <c r="B5285">
        <v>30</v>
      </c>
      <c r="C5285" t="s">
        <v>201</v>
      </c>
      <c r="D5285">
        <v>254</v>
      </c>
      <c r="E5285" s="1">
        <v>0.63329999999999997</v>
      </c>
      <c r="F5285" s="1">
        <v>0.16669999999999999</v>
      </c>
      <c r="J5285" s="1">
        <v>0.1333</v>
      </c>
      <c r="K5285" s="1">
        <v>3.3300000000000003E-2</v>
      </c>
      <c r="N5285" s="1">
        <v>6.6699999999999995E-2</v>
      </c>
      <c r="P5285" s="1">
        <v>0.1</v>
      </c>
    </row>
    <row r="5286" spans="1:17" s="26" customFormat="1">
      <c r="A5286" s="26" t="s">
        <v>199</v>
      </c>
      <c r="B5286" s="26">
        <v>29</v>
      </c>
      <c r="C5286" s="26" t="s">
        <v>202</v>
      </c>
      <c r="D5286" s="26">
        <v>254</v>
      </c>
      <c r="E5286" s="27">
        <v>0.69220000000000004</v>
      </c>
      <c r="F5286" s="27">
        <v>8.9700000000000002E-2</v>
      </c>
      <c r="G5286" s="27">
        <v>4.1700000000000001E-2</v>
      </c>
      <c r="J5286" s="27">
        <v>1.44E-2</v>
      </c>
      <c r="K5286" s="27">
        <v>5.6099999999999997E-2</v>
      </c>
      <c r="L5286" s="27">
        <v>7.7100000000000002E-2</v>
      </c>
      <c r="N5286" s="27">
        <v>4.1700000000000001E-2</v>
      </c>
      <c r="P5286" s="27">
        <v>8.4900000000000003E-2</v>
      </c>
    </row>
    <row r="5287" spans="1:17" s="26" customFormat="1">
      <c r="A5287" s="26" t="s">
        <v>199</v>
      </c>
      <c r="B5287" s="26">
        <v>20</v>
      </c>
      <c r="C5287" s="26" t="s">
        <v>203</v>
      </c>
      <c r="D5287" s="26">
        <v>254</v>
      </c>
      <c r="E5287" s="27">
        <v>0.85399999999999998</v>
      </c>
      <c r="K5287" s="27">
        <v>4.3700000000000003E-2</v>
      </c>
      <c r="L5287" s="27">
        <v>0.1119</v>
      </c>
      <c r="P5287" s="27">
        <v>3.4099999999999998E-2</v>
      </c>
    </row>
    <row r="5288" spans="1:17" s="26" customFormat="1">
      <c r="A5288" s="26" t="s">
        <v>209</v>
      </c>
      <c r="B5288" s="26">
        <v>19</v>
      </c>
      <c r="C5288" s="26" t="s">
        <v>210</v>
      </c>
      <c r="D5288" s="26">
        <v>254</v>
      </c>
      <c r="E5288" s="27">
        <v>0.70109999999999995</v>
      </c>
      <c r="G5288" s="27">
        <v>7.5800000000000006E-2</v>
      </c>
      <c r="L5288" s="27">
        <v>0.18740000000000001</v>
      </c>
      <c r="N5288" s="27">
        <v>0.1116</v>
      </c>
      <c r="P5288" s="27">
        <v>0.22739999999999999</v>
      </c>
    </row>
    <row r="5289" spans="1:17" s="26" customFormat="1">
      <c r="A5289" s="26" t="s">
        <v>209</v>
      </c>
      <c r="B5289" s="26">
        <v>23</v>
      </c>
      <c r="C5289" s="26" t="s">
        <v>211</v>
      </c>
      <c r="D5289" s="26">
        <v>254</v>
      </c>
      <c r="E5289" s="27">
        <v>0.64710000000000001</v>
      </c>
      <c r="F5289" s="27">
        <v>0.1026</v>
      </c>
      <c r="G5289" s="27">
        <v>0.1207</v>
      </c>
      <c r="H5289" s="27">
        <v>1.7999999999999999E-2</v>
      </c>
      <c r="I5289" s="27">
        <v>5.1299999999999998E-2</v>
      </c>
      <c r="J5289" s="27">
        <v>6.9400000000000003E-2</v>
      </c>
      <c r="K5289" s="27">
        <v>9.35E-2</v>
      </c>
      <c r="L5289" s="27">
        <v>1.7999999999999999E-2</v>
      </c>
      <c r="P5289" s="27">
        <v>8.7400000000000005E-2</v>
      </c>
    </row>
    <row r="5290" spans="1:17" s="26" customFormat="1">
      <c r="A5290" s="26" t="s">
        <v>209</v>
      </c>
      <c r="B5290" s="26">
        <v>26</v>
      </c>
      <c r="C5290" s="26" t="s">
        <v>212</v>
      </c>
      <c r="D5290" s="26">
        <v>254</v>
      </c>
      <c r="E5290" s="27">
        <v>0.58620000000000005</v>
      </c>
      <c r="F5290" s="27">
        <v>0.1056</v>
      </c>
      <c r="H5290" s="27">
        <v>4.19E-2</v>
      </c>
      <c r="J5290" s="27">
        <v>0.2097</v>
      </c>
      <c r="K5290" s="27">
        <v>7.6700000000000004E-2</v>
      </c>
      <c r="N5290" s="27">
        <v>4.19E-2</v>
      </c>
      <c r="P5290" s="27">
        <v>0.14760000000000001</v>
      </c>
    </row>
    <row r="5292" spans="1:17">
      <c r="A5292" t="s">
        <v>1204</v>
      </c>
    </row>
    <row r="5293" spans="1:17">
      <c r="A5293" t="s">
        <v>214</v>
      </c>
      <c r="B5293" t="s">
        <v>189</v>
      </c>
      <c r="C5293" t="s">
        <v>195</v>
      </c>
      <c r="D5293" t="s">
        <v>190</v>
      </c>
      <c r="E5293" t="s">
        <v>196</v>
      </c>
      <c r="F5293" t="s">
        <v>276</v>
      </c>
      <c r="G5293" t="s">
        <v>278</v>
      </c>
      <c r="H5293" t="s">
        <v>1195</v>
      </c>
      <c r="I5293" t="s">
        <v>1196</v>
      </c>
      <c r="J5293" t="s">
        <v>1128</v>
      </c>
      <c r="K5293" t="s">
        <v>1197</v>
      </c>
      <c r="L5293" t="s">
        <v>1198</v>
      </c>
      <c r="M5293" t="s">
        <v>1199</v>
      </c>
      <c r="N5293" t="s">
        <v>1200</v>
      </c>
      <c r="O5293" t="s">
        <v>1201</v>
      </c>
      <c r="P5293" t="s">
        <v>1202</v>
      </c>
      <c r="Q5293" t="s">
        <v>1203</v>
      </c>
    </row>
    <row r="5294" spans="1:17">
      <c r="A5294" t="s">
        <v>198</v>
      </c>
      <c r="B5294" t="s">
        <v>197</v>
      </c>
      <c r="C5294">
        <v>254</v>
      </c>
      <c r="D5294" t="s">
        <v>198</v>
      </c>
      <c r="E5294">
        <v>254</v>
      </c>
      <c r="F5294" s="1">
        <v>0.62219999999999998</v>
      </c>
      <c r="G5294" s="1">
        <v>6.83E-2</v>
      </c>
      <c r="H5294" s="1">
        <v>3.0700000000000002E-2</v>
      </c>
      <c r="I5294" s="1">
        <v>1.3599999999999999E-2</v>
      </c>
      <c r="J5294" s="1">
        <v>8.0999999999999996E-3</v>
      </c>
      <c r="K5294" s="1">
        <v>7.6999999999999999E-2</v>
      </c>
      <c r="L5294" s="1">
        <v>9.4399999999999998E-2</v>
      </c>
      <c r="M5294" s="1">
        <v>8.8800000000000004E-2</v>
      </c>
      <c r="N5294" s="1">
        <v>4.7999999999999996E-3</v>
      </c>
      <c r="O5294" s="1">
        <v>3.3099999999999997E-2</v>
      </c>
      <c r="P5294" s="1">
        <v>1.6999999999999999E-3</v>
      </c>
      <c r="Q5294" s="1">
        <v>0.16539999999999999</v>
      </c>
    </row>
    <row r="5295" spans="1:17" s="26" customFormat="1">
      <c r="A5295" s="26" t="s">
        <v>236</v>
      </c>
      <c r="B5295" s="26" t="s">
        <v>204</v>
      </c>
      <c r="C5295" s="26">
        <v>1</v>
      </c>
      <c r="D5295" s="26" t="s">
        <v>208</v>
      </c>
      <c r="E5295" s="26">
        <v>254</v>
      </c>
      <c r="M5295" s="27">
        <v>1</v>
      </c>
      <c r="Q5295" s="27">
        <v>1</v>
      </c>
    </row>
    <row r="5296" spans="1:17" s="26" customFormat="1">
      <c r="A5296" s="26" t="s">
        <v>236</v>
      </c>
      <c r="B5296" s="26" t="s">
        <v>204</v>
      </c>
      <c r="C5296" s="26">
        <v>10</v>
      </c>
      <c r="D5296" s="26" t="s">
        <v>205</v>
      </c>
      <c r="E5296" s="26">
        <v>254</v>
      </c>
      <c r="F5296" s="27">
        <v>0.66239999999999999</v>
      </c>
      <c r="H5296" s="27">
        <v>0.17319999999999999</v>
      </c>
      <c r="K5296" s="27">
        <v>4.9700000000000001E-2</v>
      </c>
      <c r="L5296" s="27">
        <v>4.9700000000000001E-2</v>
      </c>
      <c r="M5296" s="27">
        <v>4.9700000000000001E-2</v>
      </c>
      <c r="N5296" s="27">
        <v>4.9700000000000001E-2</v>
      </c>
      <c r="O5296" s="27">
        <v>4.9700000000000001E-2</v>
      </c>
      <c r="Q5296" s="27">
        <v>0.2382</v>
      </c>
    </row>
    <row r="5297" spans="1:17" s="26" customFormat="1">
      <c r="A5297" s="26" t="s">
        <v>235</v>
      </c>
      <c r="B5297" s="26" t="s">
        <v>204</v>
      </c>
      <c r="C5297" s="26">
        <v>23</v>
      </c>
      <c r="D5297" s="26" t="s">
        <v>205</v>
      </c>
      <c r="E5297" s="26">
        <v>254</v>
      </c>
      <c r="F5297" s="27">
        <v>0.72009999999999996</v>
      </c>
      <c r="H5297" s="27">
        <v>1.3100000000000001E-2</v>
      </c>
      <c r="K5297" s="27">
        <v>6.2600000000000003E-2</v>
      </c>
      <c r="L5297" s="27">
        <v>0.1517</v>
      </c>
      <c r="M5297" s="27">
        <v>1.3100000000000001E-2</v>
      </c>
      <c r="Q5297" s="27">
        <v>0.24049999999999999</v>
      </c>
    </row>
    <row r="5298" spans="1:17" s="26" customFormat="1">
      <c r="A5298" s="26" t="s">
        <v>236</v>
      </c>
      <c r="B5298" s="26" t="s">
        <v>204</v>
      </c>
      <c r="C5298" s="26">
        <v>2</v>
      </c>
      <c r="D5298" s="26" t="s">
        <v>206</v>
      </c>
      <c r="E5298" s="26">
        <v>254</v>
      </c>
      <c r="F5298" s="27">
        <v>1</v>
      </c>
    </row>
    <row r="5299" spans="1:17" s="26" customFormat="1">
      <c r="A5299" s="26" t="s">
        <v>235</v>
      </c>
      <c r="B5299" s="26" t="s">
        <v>204</v>
      </c>
      <c r="C5299" s="26">
        <v>5</v>
      </c>
      <c r="D5299" s="26" t="s">
        <v>206</v>
      </c>
      <c r="E5299" s="26">
        <v>254</v>
      </c>
      <c r="F5299" s="27">
        <v>0.62939999999999996</v>
      </c>
      <c r="H5299" s="27">
        <v>0.18529999999999999</v>
      </c>
      <c r="I5299" s="27">
        <v>0.18529999999999999</v>
      </c>
      <c r="N5299" s="27">
        <v>0.18529999999999999</v>
      </c>
      <c r="O5299" s="27">
        <v>0.18529999999999999</v>
      </c>
      <c r="P5299" s="27">
        <v>0.18529999999999999</v>
      </c>
    </row>
    <row r="5300" spans="1:17" s="26" customFormat="1">
      <c r="A5300" s="26" t="s">
        <v>236</v>
      </c>
      <c r="B5300" s="26" t="s">
        <v>204</v>
      </c>
      <c r="C5300" s="26">
        <v>19</v>
      </c>
      <c r="D5300" s="26" t="s">
        <v>207</v>
      </c>
      <c r="E5300" s="26">
        <v>254</v>
      </c>
      <c r="F5300" s="27">
        <v>0.56899999999999995</v>
      </c>
      <c r="G5300" s="27">
        <v>7.9600000000000004E-2</v>
      </c>
      <c r="H5300" s="27">
        <v>5.1700000000000003E-2</v>
      </c>
      <c r="I5300" s="27">
        <v>0.29609999999999997</v>
      </c>
      <c r="K5300" s="27">
        <v>7.9600000000000004E-2</v>
      </c>
      <c r="L5300" s="27">
        <v>7.9600000000000004E-2</v>
      </c>
      <c r="M5300" s="27">
        <v>5.1700000000000003E-2</v>
      </c>
      <c r="N5300" s="27">
        <v>0.107</v>
      </c>
      <c r="O5300" s="27">
        <v>0.19259999999999999</v>
      </c>
      <c r="P5300" s="27">
        <v>5.1700000000000003E-2</v>
      </c>
      <c r="Q5300" s="27">
        <v>5.1700000000000003E-2</v>
      </c>
    </row>
    <row r="5301" spans="1:17" s="26" customFormat="1">
      <c r="A5301" s="26" t="s">
        <v>235</v>
      </c>
      <c r="B5301" s="26" t="s">
        <v>204</v>
      </c>
      <c r="C5301" s="26">
        <v>13</v>
      </c>
      <c r="D5301" s="26" t="s">
        <v>207</v>
      </c>
      <c r="E5301" s="26">
        <v>254</v>
      </c>
      <c r="F5301" s="27">
        <v>0.30220000000000002</v>
      </c>
      <c r="G5301" s="27">
        <v>4.3E-3</v>
      </c>
      <c r="L5301" s="27">
        <v>0.216</v>
      </c>
      <c r="M5301" s="27">
        <v>0.47749999999999998</v>
      </c>
      <c r="Q5301" s="27">
        <v>0.432</v>
      </c>
    </row>
    <row r="5302" spans="1:17" s="26" customFormat="1">
      <c r="A5302" s="26" t="s">
        <v>235</v>
      </c>
      <c r="B5302" s="26" t="s">
        <v>204</v>
      </c>
      <c r="C5302" s="26">
        <v>23</v>
      </c>
      <c r="D5302" s="26" t="s">
        <v>208</v>
      </c>
      <c r="E5302" s="26">
        <v>254</v>
      </c>
      <c r="F5302" s="27">
        <v>0.60870000000000002</v>
      </c>
      <c r="H5302" s="27">
        <v>0.13039999999999999</v>
      </c>
      <c r="J5302" s="27">
        <v>8.6999999999999994E-2</v>
      </c>
      <c r="K5302" s="27">
        <v>4.3499999999999997E-2</v>
      </c>
      <c r="L5302" s="27">
        <v>0.13039999999999999</v>
      </c>
      <c r="M5302" s="27">
        <v>0.13039999999999999</v>
      </c>
      <c r="Q5302" s="27">
        <v>4.3499999999999997E-2</v>
      </c>
    </row>
    <row r="5303" spans="1:17" s="26" customFormat="1">
      <c r="A5303" s="26" t="s">
        <v>236</v>
      </c>
      <c r="B5303" s="26" t="s">
        <v>199</v>
      </c>
      <c r="C5303" s="26">
        <v>7</v>
      </c>
      <c r="D5303" s="26" t="s">
        <v>203</v>
      </c>
      <c r="E5303" s="26">
        <v>254</v>
      </c>
      <c r="F5303" s="27">
        <v>0.89780000000000004</v>
      </c>
      <c r="M5303" s="27">
        <v>0.1022</v>
      </c>
    </row>
    <row r="5304" spans="1:17" s="26" customFormat="1">
      <c r="A5304" s="26" t="s">
        <v>235</v>
      </c>
      <c r="B5304" s="26" t="s">
        <v>199</v>
      </c>
      <c r="C5304" s="26">
        <v>13</v>
      </c>
      <c r="D5304" s="26" t="s">
        <v>203</v>
      </c>
      <c r="E5304" s="26">
        <v>254</v>
      </c>
      <c r="F5304" s="27">
        <v>0.83199999999999996</v>
      </c>
      <c r="L5304" s="27">
        <v>6.5500000000000003E-2</v>
      </c>
      <c r="M5304" s="27">
        <v>0.1168</v>
      </c>
      <c r="Q5304" s="27">
        <v>5.1200000000000002E-2</v>
      </c>
    </row>
    <row r="5305" spans="1:17" s="26" customFormat="1">
      <c r="A5305" s="26" t="s">
        <v>235</v>
      </c>
      <c r="B5305" s="26" t="s">
        <v>199</v>
      </c>
      <c r="C5305" s="26">
        <v>19</v>
      </c>
      <c r="D5305" s="26" t="s">
        <v>202</v>
      </c>
      <c r="E5305" s="26">
        <v>254</v>
      </c>
      <c r="F5305" s="27">
        <v>0.59230000000000005</v>
      </c>
      <c r="G5305" s="27">
        <v>0.14799999999999999</v>
      </c>
      <c r="H5305" s="27">
        <v>6.8699999999999997E-2</v>
      </c>
      <c r="K5305" s="27">
        <v>2.3800000000000002E-2</v>
      </c>
      <c r="L5305" s="27">
        <v>6.8699999999999997E-2</v>
      </c>
      <c r="M5305" s="27">
        <v>5.0900000000000001E-2</v>
      </c>
      <c r="O5305" s="27">
        <v>6.8699999999999997E-2</v>
      </c>
      <c r="Q5305" s="27">
        <v>0.1401</v>
      </c>
    </row>
    <row r="5306" spans="1:17" s="26" customFormat="1">
      <c r="A5306" s="26" t="s">
        <v>236</v>
      </c>
      <c r="B5306" s="26" t="s">
        <v>199</v>
      </c>
      <c r="C5306" s="26">
        <v>2</v>
      </c>
      <c r="D5306" s="26" t="s">
        <v>200</v>
      </c>
      <c r="E5306" s="26">
        <v>254</v>
      </c>
      <c r="F5306" s="27">
        <v>1</v>
      </c>
    </row>
    <row r="5307" spans="1:17" s="26" customFormat="1">
      <c r="A5307" s="26" t="s">
        <v>235</v>
      </c>
      <c r="B5307" s="26" t="s">
        <v>199</v>
      </c>
      <c r="C5307" s="26">
        <v>5</v>
      </c>
      <c r="D5307" s="26" t="s">
        <v>200</v>
      </c>
      <c r="E5307" s="26">
        <v>254</v>
      </c>
      <c r="F5307" s="27">
        <v>0.97009999999999996</v>
      </c>
      <c r="M5307" s="27">
        <v>2.9899999999999999E-2</v>
      </c>
    </row>
    <row r="5308" spans="1:17" s="26" customFormat="1">
      <c r="A5308" s="26" t="s">
        <v>236</v>
      </c>
      <c r="B5308" s="26" t="s">
        <v>199</v>
      </c>
      <c r="C5308" s="26">
        <v>10</v>
      </c>
      <c r="D5308" s="26" t="s">
        <v>202</v>
      </c>
      <c r="E5308" s="26">
        <v>254</v>
      </c>
      <c r="F5308" s="27">
        <v>0.84589999999999999</v>
      </c>
      <c r="L5308" s="27">
        <v>3.6600000000000001E-2</v>
      </c>
      <c r="M5308" s="27">
        <v>0.11749999999999999</v>
      </c>
    </row>
    <row r="5309" spans="1:17">
      <c r="A5309" t="s">
        <v>235</v>
      </c>
      <c r="B5309" t="s">
        <v>199</v>
      </c>
      <c r="C5309">
        <v>30</v>
      </c>
      <c r="D5309" t="s">
        <v>201</v>
      </c>
      <c r="E5309">
        <v>254</v>
      </c>
      <c r="F5309" s="1">
        <v>0.63329999999999997</v>
      </c>
      <c r="G5309" s="1">
        <v>0.16669999999999999</v>
      </c>
      <c r="K5309" s="1">
        <v>0.1333</v>
      </c>
      <c r="L5309" s="1">
        <v>3.3300000000000003E-2</v>
      </c>
      <c r="O5309" s="1">
        <v>6.6699999999999995E-2</v>
      </c>
      <c r="Q5309" s="1">
        <v>0.1</v>
      </c>
    </row>
    <row r="5310" spans="1:17" s="26" customFormat="1">
      <c r="A5310" s="26" t="s">
        <v>236</v>
      </c>
      <c r="B5310" s="26" t="s">
        <v>209</v>
      </c>
      <c r="C5310" s="26">
        <v>5</v>
      </c>
      <c r="D5310" s="26" t="s">
        <v>211</v>
      </c>
      <c r="E5310" s="26">
        <v>254</v>
      </c>
      <c r="F5310" s="27">
        <v>0.71640000000000004</v>
      </c>
      <c r="G5310" s="27">
        <v>0.28360000000000002</v>
      </c>
    </row>
    <row r="5311" spans="1:17" s="26" customFormat="1">
      <c r="A5311" s="26" t="s">
        <v>235</v>
      </c>
      <c r="B5311" s="26" t="s">
        <v>209</v>
      </c>
      <c r="C5311" s="26">
        <v>17</v>
      </c>
      <c r="D5311" s="26" t="s">
        <v>211</v>
      </c>
      <c r="E5311" s="26">
        <v>254</v>
      </c>
      <c r="F5311" s="27">
        <v>0.60019999999999996</v>
      </c>
      <c r="G5311" s="27">
        <v>6.8000000000000005E-2</v>
      </c>
      <c r="H5311" s="27">
        <v>0.16</v>
      </c>
      <c r="I5311" s="27">
        <v>2.3900000000000001E-2</v>
      </c>
      <c r="J5311" s="27">
        <v>6.8000000000000005E-2</v>
      </c>
      <c r="K5311" s="27">
        <v>9.1999999999999998E-2</v>
      </c>
      <c r="L5311" s="27">
        <v>0.124</v>
      </c>
      <c r="M5311" s="27">
        <v>2.3900000000000001E-2</v>
      </c>
      <c r="Q5311" s="27">
        <v>0.1159</v>
      </c>
    </row>
    <row r="5312" spans="1:17" s="26" customFormat="1">
      <c r="A5312" s="26" t="s">
        <v>235</v>
      </c>
      <c r="B5312" s="26" t="s">
        <v>209</v>
      </c>
      <c r="C5312" s="26">
        <v>22</v>
      </c>
      <c r="D5312" s="26" t="s">
        <v>212</v>
      </c>
      <c r="E5312" s="26">
        <v>254</v>
      </c>
      <c r="F5312" s="27">
        <v>0.6321</v>
      </c>
      <c r="G5312" s="27">
        <v>9.4E-2</v>
      </c>
      <c r="I5312" s="27">
        <v>4.7E-2</v>
      </c>
      <c r="K5312" s="27">
        <v>0.23499999999999999</v>
      </c>
      <c r="L5312" s="27">
        <v>8.5900000000000004E-2</v>
      </c>
      <c r="O5312" s="27">
        <v>4.7E-2</v>
      </c>
      <c r="Q5312" s="27">
        <v>9.4E-2</v>
      </c>
    </row>
    <row r="5313" spans="1:18" s="26" customFormat="1">
      <c r="A5313" s="26" t="s">
        <v>236</v>
      </c>
      <c r="B5313" s="26" t="s">
        <v>209</v>
      </c>
      <c r="C5313" s="26">
        <v>4</v>
      </c>
      <c r="D5313" s="26" t="s">
        <v>212</v>
      </c>
      <c r="E5313" s="26">
        <v>254</v>
      </c>
      <c r="F5313" s="27">
        <v>0.20580000000000001</v>
      </c>
      <c r="G5313" s="27">
        <v>0.20219999999999999</v>
      </c>
      <c r="Q5313" s="27">
        <v>0.59199999999999997</v>
      </c>
    </row>
    <row r="5314" spans="1:18" s="26" customFormat="1">
      <c r="A5314" s="26" t="s">
        <v>235</v>
      </c>
      <c r="B5314" s="26" t="s">
        <v>209</v>
      </c>
      <c r="C5314" s="26">
        <v>7</v>
      </c>
      <c r="D5314" s="26" t="s">
        <v>210</v>
      </c>
      <c r="E5314" s="26">
        <v>254</v>
      </c>
      <c r="F5314" s="27">
        <v>0.71430000000000005</v>
      </c>
      <c r="H5314" s="27">
        <v>0.1429</v>
      </c>
      <c r="M5314" s="27">
        <v>0.1429</v>
      </c>
      <c r="Q5314" s="27">
        <v>0.28570000000000001</v>
      </c>
    </row>
    <row r="5315" spans="1:18" s="26" customFormat="1">
      <c r="A5315" s="26" t="s">
        <v>236</v>
      </c>
      <c r="B5315" s="26" t="s">
        <v>209</v>
      </c>
      <c r="C5315" s="26">
        <v>12</v>
      </c>
      <c r="D5315" s="26" t="s">
        <v>210</v>
      </c>
      <c r="E5315" s="26">
        <v>254</v>
      </c>
      <c r="F5315" s="27">
        <v>0.68610000000000004</v>
      </c>
      <c r="M5315" s="27">
        <v>0.23769999999999999</v>
      </c>
      <c r="O5315" s="27">
        <v>0.23769999999999999</v>
      </c>
      <c r="Q5315" s="27">
        <v>0.16139999999999999</v>
      </c>
    </row>
    <row r="5317" spans="1:18">
      <c r="A5317" t="s">
        <v>1205</v>
      </c>
    </row>
    <row r="5318" spans="1:18">
      <c r="A5318" t="s">
        <v>189</v>
      </c>
      <c r="B5318" t="s">
        <v>195</v>
      </c>
      <c r="C5318" t="s">
        <v>190</v>
      </c>
      <c r="D5318" t="s">
        <v>196</v>
      </c>
      <c r="E5318" t="s">
        <v>1206</v>
      </c>
      <c r="F5318" t="s">
        <v>228</v>
      </c>
      <c r="G5318" t="s">
        <v>1207</v>
      </c>
      <c r="H5318" t="s">
        <v>1208</v>
      </c>
      <c r="I5318" t="s">
        <v>1209</v>
      </c>
      <c r="J5318" t="s">
        <v>1210</v>
      </c>
      <c r="K5318" t="s">
        <v>276</v>
      </c>
      <c r="L5318" t="s">
        <v>1211</v>
      </c>
      <c r="M5318" t="s">
        <v>1212</v>
      </c>
      <c r="N5318" t="s">
        <v>1213</v>
      </c>
      <c r="O5318" t="s">
        <v>1214</v>
      </c>
      <c r="P5318" t="s">
        <v>1215</v>
      </c>
      <c r="Q5318" t="s">
        <v>1216</v>
      </c>
      <c r="R5318" t="s">
        <v>1217</v>
      </c>
    </row>
    <row r="5319" spans="1:18">
      <c r="A5319" t="s">
        <v>197</v>
      </c>
      <c r="B5319">
        <v>964</v>
      </c>
      <c r="C5319" t="s">
        <v>198</v>
      </c>
      <c r="D5319">
        <v>964</v>
      </c>
      <c r="E5319" s="1">
        <v>2.9399999999999999E-2</v>
      </c>
      <c r="F5319" s="1">
        <v>0.38700000000000001</v>
      </c>
      <c r="G5319" s="1">
        <v>0.15279999999999999</v>
      </c>
      <c r="H5319" s="1">
        <v>0.31979999999999997</v>
      </c>
      <c r="I5319" s="1">
        <v>0.16850000000000001</v>
      </c>
      <c r="J5319" s="1">
        <v>7.9399999999999998E-2</v>
      </c>
      <c r="K5319" s="1">
        <v>0.13719999999999999</v>
      </c>
      <c r="L5319" s="1">
        <v>0.26829999999999998</v>
      </c>
      <c r="M5319" s="1">
        <v>0.17249999999999999</v>
      </c>
      <c r="N5319" s="1">
        <v>0.18609999999999999</v>
      </c>
      <c r="O5319" s="1">
        <v>8.7099999999999997E-2</v>
      </c>
      <c r="P5319" s="1">
        <v>3.2099999999999997E-2</v>
      </c>
      <c r="Q5319" s="1">
        <v>3.0499999999999999E-2</v>
      </c>
      <c r="R5319" s="1">
        <v>0.10150000000000001</v>
      </c>
    </row>
    <row r="5320" spans="1:18">
      <c r="A5320" t="s">
        <v>204</v>
      </c>
      <c r="B5320">
        <v>91</v>
      </c>
      <c r="C5320" t="s">
        <v>205</v>
      </c>
      <c r="D5320">
        <v>964</v>
      </c>
      <c r="E5320" s="1">
        <v>2.3999999999999998E-3</v>
      </c>
      <c r="F5320" s="1">
        <v>0.1545</v>
      </c>
      <c r="G5320" s="1">
        <v>0.32990000000000003</v>
      </c>
      <c r="H5320" s="1">
        <v>0.52190000000000003</v>
      </c>
      <c r="I5320" s="1">
        <v>0.35339999999999999</v>
      </c>
      <c r="J5320" s="1">
        <v>0.13980000000000001</v>
      </c>
      <c r="K5320" s="1">
        <v>0.13919999999999999</v>
      </c>
      <c r="L5320" s="1">
        <v>0.31309999999999999</v>
      </c>
      <c r="M5320" s="1">
        <v>0.29920000000000002</v>
      </c>
      <c r="N5320" s="1">
        <v>0.22459999999999999</v>
      </c>
      <c r="O5320" s="1">
        <v>0.20130000000000001</v>
      </c>
      <c r="P5320" s="1">
        <v>2.3999999999999998E-3</v>
      </c>
      <c r="Q5320" s="1">
        <v>1.44E-2</v>
      </c>
      <c r="R5320" s="1">
        <v>0.1646</v>
      </c>
    </row>
    <row r="5321" spans="1:18">
      <c r="A5321" t="s">
        <v>204</v>
      </c>
      <c r="B5321">
        <v>72</v>
      </c>
      <c r="C5321" t="s">
        <v>206</v>
      </c>
      <c r="D5321">
        <v>964</v>
      </c>
      <c r="F5321" s="1">
        <v>0.38829999999999998</v>
      </c>
      <c r="G5321" s="1">
        <v>3.9600000000000003E-2</v>
      </c>
      <c r="H5321" s="1">
        <v>0.15359999999999999</v>
      </c>
      <c r="I5321" s="1">
        <v>5.5800000000000002E-2</v>
      </c>
      <c r="J5321" s="1">
        <v>2.3300000000000001E-2</v>
      </c>
      <c r="K5321" s="1">
        <v>0.32319999999999999</v>
      </c>
      <c r="L5321" s="1">
        <v>0.17449999999999999</v>
      </c>
      <c r="M5321" s="1">
        <v>6.7500000000000004E-2</v>
      </c>
      <c r="N5321" s="1">
        <v>5.1200000000000002E-2</v>
      </c>
      <c r="Q5321" s="1">
        <v>1.1599999999999999E-2</v>
      </c>
    </row>
    <row r="5322" spans="1:18">
      <c r="A5322" t="s">
        <v>204</v>
      </c>
      <c r="B5322">
        <v>131</v>
      </c>
      <c r="C5322" t="s">
        <v>207</v>
      </c>
      <c r="D5322">
        <v>964</v>
      </c>
      <c r="E5322" s="1">
        <v>7.1999999999999998E-3</v>
      </c>
      <c r="F5322" s="1">
        <v>0.42709999999999998</v>
      </c>
      <c r="G5322" s="1">
        <v>9.5699999999999993E-2</v>
      </c>
      <c r="H5322" s="1">
        <v>0.31950000000000001</v>
      </c>
      <c r="I5322" s="1">
        <v>0.06</v>
      </c>
      <c r="J5322" s="1">
        <v>7.1000000000000004E-3</v>
      </c>
      <c r="K5322" s="1">
        <v>0.12859999999999999</v>
      </c>
      <c r="L5322" s="1">
        <v>0.30930000000000002</v>
      </c>
      <c r="M5322" s="1">
        <v>0.1066</v>
      </c>
      <c r="N5322" s="1">
        <v>0.25530000000000003</v>
      </c>
      <c r="O5322" s="1">
        <v>9.74E-2</v>
      </c>
      <c r="P5322" s="1">
        <v>4.6399999999999997E-2</v>
      </c>
      <c r="Q5322" s="1">
        <v>8.9999999999999998E-4</v>
      </c>
      <c r="R5322" s="1">
        <v>9.5799999999999996E-2</v>
      </c>
    </row>
    <row r="5323" spans="1:18">
      <c r="A5323" t="s">
        <v>204</v>
      </c>
      <c r="B5323">
        <v>74</v>
      </c>
      <c r="C5323" t="s">
        <v>208</v>
      </c>
      <c r="D5323">
        <v>964</v>
      </c>
      <c r="E5323" s="1">
        <v>4.0500000000000001E-2</v>
      </c>
      <c r="F5323" s="1">
        <v>0.33779999999999999</v>
      </c>
      <c r="G5323" s="1">
        <v>6.7599999999999993E-2</v>
      </c>
      <c r="H5323" s="1">
        <v>0.29730000000000001</v>
      </c>
      <c r="I5323" s="1">
        <v>0.1216</v>
      </c>
      <c r="J5323" s="1">
        <v>0.1081</v>
      </c>
      <c r="K5323" s="1">
        <v>0.20269999999999999</v>
      </c>
      <c r="L5323" s="1">
        <v>0.32429999999999998</v>
      </c>
      <c r="M5323" s="1">
        <v>6.7599999999999993E-2</v>
      </c>
      <c r="N5323" s="1">
        <v>0.1757</v>
      </c>
      <c r="O5323" s="1">
        <v>9.4600000000000004E-2</v>
      </c>
      <c r="P5323" s="1">
        <v>4.0500000000000001E-2</v>
      </c>
      <c r="Q5323" s="1">
        <v>2.7E-2</v>
      </c>
      <c r="R5323" s="1">
        <v>0.1081</v>
      </c>
    </row>
    <row r="5324" spans="1:18">
      <c r="A5324" t="s">
        <v>199</v>
      </c>
      <c r="B5324">
        <v>73</v>
      </c>
      <c r="C5324" t="s">
        <v>200</v>
      </c>
      <c r="D5324">
        <v>964</v>
      </c>
      <c r="E5324" s="1">
        <v>7.5800000000000006E-2</v>
      </c>
      <c r="F5324" s="1">
        <v>0.31340000000000001</v>
      </c>
      <c r="G5324" s="1">
        <v>0.25109999999999999</v>
      </c>
      <c r="H5324" s="1">
        <v>0.39800000000000002</v>
      </c>
      <c r="I5324" s="1">
        <v>9.2799999999999994E-2</v>
      </c>
      <c r="J5324" s="1">
        <v>6.0499999999999998E-2</v>
      </c>
      <c r="K5324" s="1">
        <v>0.1321</v>
      </c>
      <c r="L5324" s="1">
        <v>9.6000000000000002E-2</v>
      </c>
      <c r="M5324" s="1">
        <v>6.8400000000000002E-2</v>
      </c>
      <c r="N5324" s="1">
        <v>6.0499999999999998E-2</v>
      </c>
      <c r="P5324" s="1">
        <v>6.0499999999999998E-2</v>
      </c>
      <c r="Q5324" s="1">
        <v>4.6399999999999997E-2</v>
      </c>
    </row>
    <row r="5325" spans="1:18">
      <c r="A5325" t="s">
        <v>199</v>
      </c>
      <c r="B5325">
        <v>95</v>
      </c>
      <c r="C5325" t="s">
        <v>201</v>
      </c>
      <c r="D5325">
        <v>964</v>
      </c>
      <c r="E5325" s="1">
        <v>8.4199999999999997E-2</v>
      </c>
      <c r="F5325" s="1">
        <v>0.47370000000000001</v>
      </c>
      <c r="G5325" s="1">
        <v>0.16839999999999999</v>
      </c>
      <c r="H5325" s="1">
        <v>0.26319999999999999</v>
      </c>
      <c r="I5325" s="1">
        <v>0.2</v>
      </c>
      <c r="J5325" s="1">
        <v>0.1053</v>
      </c>
      <c r="K5325" s="1">
        <v>7.3700000000000002E-2</v>
      </c>
      <c r="L5325" s="1">
        <v>0.30530000000000002</v>
      </c>
      <c r="M5325" s="1">
        <v>0.24210000000000001</v>
      </c>
      <c r="N5325" s="1">
        <v>0.22109999999999999</v>
      </c>
      <c r="O5325" s="1">
        <v>6.3200000000000006E-2</v>
      </c>
      <c r="P5325" s="1">
        <v>5.2600000000000001E-2</v>
      </c>
      <c r="Q5325" s="1">
        <v>7.3700000000000002E-2</v>
      </c>
      <c r="R5325" s="1">
        <v>0.1368</v>
      </c>
    </row>
    <row r="5326" spans="1:18">
      <c r="A5326" t="s">
        <v>199</v>
      </c>
      <c r="B5326">
        <v>97</v>
      </c>
      <c r="C5326" t="s">
        <v>202</v>
      </c>
      <c r="D5326">
        <v>964</v>
      </c>
      <c r="E5326" s="1">
        <v>2.1499999999999998E-2</v>
      </c>
      <c r="F5326" s="1">
        <v>0.41699999999999998</v>
      </c>
      <c r="G5326" s="1">
        <v>0.12230000000000001</v>
      </c>
      <c r="H5326" s="1">
        <v>0.34420000000000001</v>
      </c>
      <c r="I5326" s="1">
        <v>0.13009999999999999</v>
      </c>
      <c r="J5326" s="1">
        <v>7.6899999999999996E-2</v>
      </c>
      <c r="K5326" s="1">
        <v>0.14549999999999999</v>
      </c>
      <c r="L5326" s="1">
        <v>0.19900000000000001</v>
      </c>
      <c r="M5326" s="1">
        <v>0.15570000000000001</v>
      </c>
      <c r="N5326" s="1">
        <v>0.16400000000000001</v>
      </c>
      <c r="O5326" s="1">
        <v>2.23E-2</v>
      </c>
      <c r="P5326" s="1">
        <v>4.82E-2</v>
      </c>
      <c r="Q5326" s="1">
        <v>4.3799999999999999E-2</v>
      </c>
      <c r="R5326" s="1">
        <v>5.3800000000000001E-2</v>
      </c>
    </row>
    <row r="5327" spans="1:18">
      <c r="A5327" t="s">
        <v>199</v>
      </c>
      <c r="B5327">
        <v>76</v>
      </c>
      <c r="C5327" t="s">
        <v>203</v>
      </c>
      <c r="D5327">
        <v>964</v>
      </c>
      <c r="E5327" s="1">
        <v>9.5999999999999992E-3</v>
      </c>
      <c r="F5327" s="1">
        <v>0.62929999999999997</v>
      </c>
      <c r="G5327" s="1">
        <v>9.5999999999999992E-3</v>
      </c>
      <c r="H5327" s="1">
        <v>5.4899999999999997E-2</v>
      </c>
      <c r="I5327" s="1">
        <v>9.5999999999999992E-3</v>
      </c>
      <c r="J5327" s="1">
        <v>9.5999999999999992E-3</v>
      </c>
      <c r="K5327" s="1">
        <v>0.28870000000000001</v>
      </c>
      <c r="L5327" s="1">
        <v>4.7899999999999998E-2</v>
      </c>
      <c r="M5327" s="1">
        <v>9.5999999999999992E-3</v>
      </c>
      <c r="N5327" s="1">
        <v>2.0799999999999999E-2</v>
      </c>
      <c r="O5327" s="1">
        <v>9.5999999999999992E-3</v>
      </c>
      <c r="P5327" s="1">
        <v>9.5999999999999992E-3</v>
      </c>
      <c r="Q5327" s="1">
        <v>9.5999999999999992E-3</v>
      </c>
      <c r="R5327" s="1">
        <v>9.5999999999999992E-3</v>
      </c>
    </row>
    <row r="5328" spans="1:18">
      <c r="A5328" t="s">
        <v>209</v>
      </c>
      <c r="B5328">
        <v>73</v>
      </c>
      <c r="C5328" t="s">
        <v>210</v>
      </c>
      <c r="D5328">
        <v>964</v>
      </c>
      <c r="E5328" s="1">
        <v>5.3999999999999999E-2</v>
      </c>
      <c r="F5328" s="1">
        <v>0.46079999999999999</v>
      </c>
      <c r="G5328" s="1">
        <v>4.4499999999999998E-2</v>
      </c>
      <c r="H5328" s="1">
        <v>0.21290000000000001</v>
      </c>
      <c r="I5328" s="1">
        <v>3.5000000000000003E-2</v>
      </c>
      <c r="J5328" s="1">
        <v>5.2999999999999999E-2</v>
      </c>
      <c r="K5328" s="1">
        <v>0.2014</v>
      </c>
      <c r="L5328" s="1">
        <v>0.24890000000000001</v>
      </c>
      <c r="M5328" s="1">
        <v>8.0500000000000002E-2</v>
      </c>
      <c r="N5328" s="1">
        <v>7.9500000000000001E-2</v>
      </c>
      <c r="O5328" s="1">
        <v>3.5999999999999997E-2</v>
      </c>
      <c r="P5328" s="1">
        <v>1.7999999999999999E-2</v>
      </c>
      <c r="Q5328" s="1">
        <v>3.5999999999999997E-2</v>
      </c>
      <c r="R5328" s="1">
        <v>1.7999999999999999E-2</v>
      </c>
    </row>
    <row r="5329" spans="1:19">
      <c r="A5329" t="s">
        <v>209</v>
      </c>
      <c r="B5329">
        <v>97</v>
      </c>
      <c r="C5329" t="s">
        <v>211</v>
      </c>
      <c r="D5329">
        <v>964</v>
      </c>
      <c r="E5329" s="1">
        <v>4.1999999999999997E-3</v>
      </c>
      <c r="F5329" s="1">
        <v>0.50380000000000003</v>
      </c>
      <c r="G5329" s="1">
        <v>3.3599999999999998E-2</v>
      </c>
      <c r="H5329" s="1">
        <v>0.14699999999999999</v>
      </c>
      <c r="I5329" s="1">
        <v>2.8299999999999999E-2</v>
      </c>
      <c r="J5329" s="1">
        <v>1.83E-2</v>
      </c>
      <c r="K5329" s="1">
        <v>0.2064</v>
      </c>
      <c r="L5329" s="1">
        <v>0.13400000000000001</v>
      </c>
      <c r="M5329" s="1">
        <v>8.9399999999999993E-2</v>
      </c>
      <c r="N5329" s="1">
        <v>4.4499999999999998E-2</v>
      </c>
      <c r="O5329" s="1">
        <v>3.2500000000000001E-2</v>
      </c>
      <c r="P5329" s="1">
        <v>2.4E-2</v>
      </c>
      <c r="Q5329" s="1">
        <v>4.1999999999999997E-3</v>
      </c>
      <c r="R5329" s="1">
        <v>1.41E-2</v>
      </c>
    </row>
    <row r="5330" spans="1:19">
      <c r="A5330" t="s">
        <v>209</v>
      </c>
      <c r="B5330">
        <v>85</v>
      </c>
      <c r="C5330" t="s">
        <v>212</v>
      </c>
      <c r="D5330">
        <v>964</v>
      </c>
      <c r="E5330" s="1">
        <v>2.7900000000000001E-2</v>
      </c>
      <c r="F5330" s="1">
        <v>0.49249999999999999</v>
      </c>
      <c r="G5330" s="1">
        <v>5.4199999999999998E-2</v>
      </c>
      <c r="H5330" s="1">
        <v>0.1827</v>
      </c>
      <c r="I5330" s="1">
        <v>0.1479</v>
      </c>
      <c r="J5330" s="1">
        <v>6.9900000000000004E-2</v>
      </c>
      <c r="K5330" s="1">
        <v>0.1028</v>
      </c>
      <c r="L5330" s="1">
        <v>0.30790000000000001</v>
      </c>
      <c r="M5330" s="1">
        <v>0.1215</v>
      </c>
      <c r="N5330" s="1">
        <v>0.15890000000000001</v>
      </c>
      <c r="O5330" s="1">
        <v>6.3299999999999995E-2</v>
      </c>
      <c r="P5330" s="1">
        <v>1.4E-2</v>
      </c>
      <c r="Q5330" s="1">
        <v>2.7900000000000001E-2</v>
      </c>
      <c r="R5330" s="1">
        <v>9.7799999999999998E-2</v>
      </c>
    </row>
    <row r="5332" spans="1:19">
      <c r="A5332" t="s">
        <v>1218</v>
      </c>
    </row>
    <row r="5333" spans="1:19">
      <c r="A5333" t="s">
        <v>214</v>
      </c>
      <c r="B5333" t="s">
        <v>189</v>
      </c>
      <c r="C5333" t="s">
        <v>195</v>
      </c>
      <c r="D5333" t="s">
        <v>190</v>
      </c>
      <c r="E5333" t="s">
        <v>196</v>
      </c>
      <c r="F5333" t="s">
        <v>1206</v>
      </c>
      <c r="G5333" t="s">
        <v>228</v>
      </c>
      <c r="H5333" t="s">
        <v>1207</v>
      </c>
      <c r="I5333" t="s">
        <v>1208</v>
      </c>
      <c r="J5333" t="s">
        <v>1209</v>
      </c>
      <c r="K5333" t="s">
        <v>1210</v>
      </c>
      <c r="L5333" t="s">
        <v>276</v>
      </c>
      <c r="M5333" t="s">
        <v>1211</v>
      </c>
      <c r="N5333" t="s">
        <v>1212</v>
      </c>
      <c r="O5333" t="s">
        <v>1213</v>
      </c>
      <c r="P5333" t="s">
        <v>1214</v>
      </c>
      <c r="Q5333" t="s">
        <v>1215</v>
      </c>
      <c r="R5333" t="s">
        <v>1216</v>
      </c>
      <c r="S5333" t="s">
        <v>1217</v>
      </c>
    </row>
    <row r="5334" spans="1:19">
      <c r="A5334" t="s">
        <v>198</v>
      </c>
      <c r="B5334" t="s">
        <v>197</v>
      </c>
      <c r="C5334">
        <v>964</v>
      </c>
      <c r="D5334" t="s">
        <v>198</v>
      </c>
      <c r="E5334">
        <v>964</v>
      </c>
      <c r="F5334" s="1">
        <v>2.9399999999999999E-2</v>
      </c>
      <c r="G5334" s="1">
        <v>0.38700000000000001</v>
      </c>
      <c r="H5334" s="1">
        <v>0.15279999999999999</v>
      </c>
      <c r="I5334" s="1">
        <v>0.31979999999999997</v>
      </c>
      <c r="J5334" s="1">
        <v>0.16850000000000001</v>
      </c>
      <c r="K5334" s="1">
        <v>7.9399999999999998E-2</v>
      </c>
      <c r="L5334" s="1">
        <v>0.13719999999999999</v>
      </c>
      <c r="M5334" s="1">
        <v>0.26829999999999998</v>
      </c>
      <c r="N5334" s="1">
        <v>0.17249999999999999</v>
      </c>
      <c r="O5334" s="1">
        <v>0.18609999999999999</v>
      </c>
      <c r="P5334" s="1">
        <v>8.7099999999999997E-2</v>
      </c>
      <c r="Q5334" s="1">
        <v>3.2099999999999997E-2</v>
      </c>
      <c r="R5334" s="1">
        <v>3.0499999999999999E-2</v>
      </c>
      <c r="S5334" s="1">
        <v>0.10150000000000001</v>
      </c>
    </row>
    <row r="5335" spans="1:19">
      <c r="A5335" t="s">
        <v>235</v>
      </c>
      <c r="B5335" t="s">
        <v>204</v>
      </c>
      <c r="C5335">
        <v>63</v>
      </c>
      <c r="D5335" t="s">
        <v>208</v>
      </c>
      <c r="E5335">
        <v>964</v>
      </c>
      <c r="F5335" s="1">
        <v>4.7600000000000003E-2</v>
      </c>
      <c r="G5335" s="1">
        <v>0.34920000000000001</v>
      </c>
      <c r="H5335" s="1">
        <v>7.9399999999999998E-2</v>
      </c>
      <c r="I5335" s="1">
        <v>0.33329999999999999</v>
      </c>
      <c r="J5335" s="1">
        <v>0.1429</v>
      </c>
      <c r="K5335" s="1">
        <v>0.127</v>
      </c>
      <c r="L5335" s="1">
        <v>0.1429</v>
      </c>
      <c r="M5335" s="1">
        <v>0.36509999999999998</v>
      </c>
      <c r="N5335" s="1">
        <v>7.9399999999999998E-2</v>
      </c>
      <c r="O5335" s="1">
        <v>0.20630000000000001</v>
      </c>
      <c r="P5335" s="1">
        <v>0.1111</v>
      </c>
      <c r="Q5335" s="1">
        <v>4.7600000000000003E-2</v>
      </c>
      <c r="R5335" s="1">
        <v>3.1699999999999999E-2</v>
      </c>
      <c r="S5335" s="1">
        <v>0.127</v>
      </c>
    </row>
    <row r="5336" spans="1:19">
      <c r="A5336" t="s">
        <v>236</v>
      </c>
      <c r="B5336" t="s">
        <v>204</v>
      </c>
      <c r="C5336">
        <v>32</v>
      </c>
      <c r="D5336" t="s">
        <v>205</v>
      </c>
      <c r="E5336">
        <v>964</v>
      </c>
      <c r="G5336" s="1">
        <v>0.16350000000000001</v>
      </c>
      <c r="H5336" s="1">
        <v>0.22020000000000001</v>
      </c>
      <c r="I5336" s="1">
        <v>0.37419999999999998</v>
      </c>
      <c r="J5336" s="1">
        <v>4.1000000000000002E-2</v>
      </c>
      <c r="L5336" s="1">
        <v>0.435</v>
      </c>
      <c r="M5336" s="1">
        <v>0.27479999999999999</v>
      </c>
      <c r="N5336" s="1">
        <v>1.37E-2</v>
      </c>
      <c r="O5336" s="1">
        <v>0.20649999999999999</v>
      </c>
      <c r="P5336" s="1">
        <v>0.20649999999999999</v>
      </c>
    </row>
    <row r="5337" spans="1:19">
      <c r="A5337" t="s">
        <v>235</v>
      </c>
      <c r="B5337" t="s">
        <v>204</v>
      </c>
      <c r="C5337">
        <v>58</v>
      </c>
      <c r="D5337" t="s">
        <v>205</v>
      </c>
      <c r="E5337">
        <v>964</v>
      </c>
      <c r="F5337" s="1">
        <v>3.0000000000000001E-3</v>
      </c>
      <c r="G5337" s="1">
        <v>0.153</v>
      </c>
      <c r="H5337" s="1">
        <v>0.35470000000000002</v>
      </c>
      <c r="I5337" s="1">
        <v>0.55259999999999998</v>
      </c>
      <c r="J5337" s="1">
        <v>0.41930000000000001</v>
      </c>
      <c r="K5337" s="1">
        <v>0.1706</v>
      </c>
      <c r="L5337" s="1">
        <v>7.5399999999999995E-2</v>
      </c>
      <c r="M5337" s="1">
        <v>0.32229999999999998</v>
      </c>
      <c r="N5337" s="1">
        <v>0.36199999999999999</v>
      </c>
      <c r="O5337" s="1">
        <v>0.22919999999999999</v>
      </c>
      <c r="P5337" s="1">
        <v>0.20080000000000001</v>
      </c>
      <c r="Q5337" s="1">
        <v>3.0000000000000001E-3</v>
      </c>
      <c r="R5337" s="1">
        <v>1.7600000000000001E-2</v>
      </c>
      <c r="S5337" s="1">
        <v>0.20080000000000001</v>
      </c>
    </row>
    <row r="5338" spans="1:19" s="26" customFormat="1">
      <c r="A5338" s="26" t="s">
        <v>236</v>
      </c>
      <c r="B5338" s="26" t="s">
        <v>204</v>
      </c>
      <c r="C5338" s="26">
        <v>21</v>
      </c>
      <c r="D5338" s="26" t="s">
        <v>206</v>
      </c>
      <c r="E5338" s="26">
        <v>964</v>
      </c>
      <c r="G5338" s="27">
        <v>0.24779999999999999</v>
      </c>
      <c r="I5338" s="27">
        <v>0.18809999999999999</v>
      </c>
      <c r="K5338" s="27">
        <v>4.2799999999999998E-2</v>
      </c>
      <c r="L5338" s="27">
        <v>0.41889999999999999</v>
      </c>
      <c r="M5338" s="27">
        <v>0.20499999999999999</v>
      </c>
      <c r="N5338" s="27">
        <v>5.9700000000000003E-2</v>
      </c>
      <c r="O5338" s="27">
        <v>0.10249999999999999</v>
      </c>
    </row>
    <row r="5339" spans="1:19">
      <c r="A5339" t="s">
        <v>235</v>
      </c>
      <c r="B5339" t="s">
        <v>204</v>
      </c>
      <c r="C5339">
        <v>47</v>
      </c>
      <c r="D5339" t="s">
        <v>206</v>
      </c>
      <c r="E5339">
        <v>964</v>
      </c>
      <c r="G5339" s="1">
        <v>0.41570000000000001</v>
      </c>
      <c r="H5339" s="1">
        <v>5.8500000000000003E-2</v>
      </c>
      <c r="I5339" s="1">
        <v>0.15129999999999999</v>
      </c>
      <c r="J5339" s="1">
        <v>8.2500000000000004E-2</v>
      </c>
      <c r="K5339" s="1">
        <v>1.72E-2</v>
      </c>
      <c r="L5339" s="1">
        <v>0.30919999999999997</v>
      </c>
      <c r="M5339" s="1">
        <v>0.1754</v>
      </c>
      <c r="N5339" s="1">
        <v>7.5700000000000003E-2</v>
      </c>
      <c r="O5339" s="1">
        <v>1.72E-2</v>
      </c>
      <c r="R5339" s="1">
        <v>1.72E-2</v>
      </c>
    </row>
    <row r="5340" spans="1:19">
      <c r="A5340" t="s">
        <v>236</v>
      </c>
      <c r="B5340" t="s">
        <v>204</v>
      </c>
      <c r="C5340">
        <v>81</v>
      </c>
      <c r="D5340" t="s">
        <v>207</v>
      </c>
      <c r="E5340">
        <v>964</v>
      </c>
      <c r="G5340" s="1">
        <v>0.40110000000000001</v>
      </c>
      <c r="H5340" s="1">
        <v>3.7000000000000002E-3</v>
      </c>
      <c r="I5340" s="1">
        <v>0.25740000000000002</v>
      </c>
      <c r="J5340" s="1">
        <v>0.1158</v>
      </c>
      <c r="K5340" s="1">
        <v>5.7000000000000002E-3</v>
      </c>
      <c r="L5340" s="1">
        <v>0.28139999999999998</v>
      </c>
      <c r="M5340" s="1">
        <v>0.16950000000000001</v>
      </c>
      <c r="N5340" s="1">
        <v>9.4000000000000004E-3</v>
      </c>
      <c r="O5340" s="1">
        <v>0.25130000000000002</v>
      </c>
      <c r="P5340" s="1">
        <v>0.1158</v>
      </c>
    </row>
    <row r="5341" spans="1:19">
      <c r="A5341" t="s">
        <v>235</v>
      </c>
      <c r="B5341" t="s">
        <v>204</v>
      </c>
      <c r="C5341">
        <v>45</v>
      </c>
      <c r="D5341" t="s">
        <v>207</v>
      </c>
      <c r="E5341">
        <v>964</v>
      </c>
      <c r="F5341" s="1">
        <v>1.2500000000000001E-2</v>
      </c>
      <c r="G5341" s="1">
        <v>0.44040000000000001</v>
      </c>
      <c r="H5341" s="1">
        <v>0.16220000000000001</v>
      </c>
      <c r="I5341" s="1">
        <v>0.37040000000000001</v>
      </c>
      <c r="J5341" s="1">
        <v>2.2499999999999999E-2</v>
      </c>
      <c r="K5341" s="1">
        <v>8.3000000000000001E-3</v>
      </c>
      <c r="L5341" s="1">
        <v>1.6299999999999999E-2</v>
      </c>
      <c r="M5341" s="1">
        <v>0.41410000000000002</v>
      </c>
      <c r="N5341" s="1">
        <v>0.1769</v>
      </c>
      <c r="O5341" s="1">
        <v>0.2641</v>
      </c>
      <c r="P5341" s="1">
        <v>8.6800000000000002E-2</v>
      </c>
      <c r="Q5341" s="1">
        <v>7.9899999999999999E-2</v>
      </c>
      <c r="R5341" s="1">
        <v>1.6000000000000001E-3</v>
      </c>
      <c r="S5341" s="1">
        <v>0.16489999999999999</v>
      </c>
    </row>
    <row r="5342" spans="1:19" s="26" customFormat="1">
      <c r="A5342" s="26" t="s">
        <v>236</v>
      </c>
      <c r="B5342" s="26" t="s">
        <v>204</v>
      </c>
      <c r="C5342" s="26">
        <v>11</v>
      </c>
      <c r="D5342" s="26" t="s">
        <v>208</v>
      </c>
      <c r="E5342" s="26">
        <v>964</v>
      </c>
      <c r="G5342" s="27">
        <v>0.2727</v>
      </c>
      <c r="I5342" s="27">
        <v>9.0899999999999995E-2</v>
      </c>
      <c r="L5342" s="27">
        <v>0.54549999999999998</v>
      </c>
      <c r="M5342" s="27">
        <v>9.0899999999999995E-2</v>
      </c>
    </row>
    <row r="5343" spans="1:19">
      <c r="A5343" t="s">
        <v>235</v>
      </c>
      <c r="B5343" t="s">
        <v>199</v>
      </c>
      <c r="C5343">
        <v>44</v>
      </c>
      <c r="D5343" t="s">
        <v>203</v>
      </c>
      <c r="E5343">
        <v>964</v>
      </c>
      <c r="F5343" s="1">
        <v>1.5100000000000001E-2</v>
      </c>
      <c r="G5343" s="1">
        <v>0.69530000000000003</v>
      </c>
      <c r="H5343" s="1">
        <v>1.5100000000000001E-2</v>
      </c>
      <c r="I5343" s="1">
        <v>7.0400000000000004E-2</v>
      </c>
      <c r="J5343" s="1">
        <v>1.5100000000000001E-2</v>
      </c>
      <c r="K5343" s="1">
        <v>1.5100000000000001E-2</v>
      </c>
      <c r="L5343" s="1">
        <v>0.1915</v>
      </c>
      <c r="M5343" s="1">
        <v>7.1099999999999997E-2</v>
      </c>
      <c r="N5343" s="1">
        <v>1.5100000000000001E-2</v>
      </c>
      <c r="O5343" s="1">
        <v>2.8299999999999999E-2</v>
      </c>
      <c r="P5343" s="1">
        <v>1.5100000000000001E-2</v>
      </c>
      <c r="Q5343" s="1">
        <v>1.5100000000000001E-2</v>
      </c>
      <c r="R5343" s="1">
        <v>1.5100000000000001E-2</v>
      </c>
      <c r="S5343" s="1">
        <v>1.5100000000000001E-2</v>
      </c>
    </row>
    <row r="5344" spans="1:19">
      <c r="A5344" t="s">
        <v>236</v>
      </c>
      <c r="B5344" t="s">
        <v>199</v>
      </c>
      <c r="C5344">
        <v>31</v>
      </c>
      <c r="D5344" t="s">
        <v>203</v>
      </c>
      <c r="E5344">
        <v>964</v>
      </c>
      <c r="G5344" s="1">
        <v>0.47749999999999998</v>
      </c>
      <c r="I5344" s="1">
        <v>3.0499999999999999E-2</v>
      </c>
      <c r="L5344" s="1">
        <v>0.4919</v>
      </c>
      <c r="M5344" s="1">
        <v>8.6E-3</v>
      </c>
      <c r="O5344" s="1">
        <v>8.6E-3</v>
      </c>
    </row>
    <row r="5345" spans="1:19">
      <c r="A5345" t="s">
        <v>235</v>
      </c>
      <c r="B5345" t="s">
        <v>199</v>
      </c>
      <c r="C5345">
        <v>60</v>
      </c>
      <c r="D5345" t="s">
        <v>202</v>
      </c>
      <c r="E5345">
        <v>964</v>
      </c>
      <c r="F5345" s="1">
        <v>1.4800000000000001E-2</v>
      </c>
      <c r="G5345" s="1">
        <v>0.44890000000000002</v>
      </c>
      <c r="H5345" s="1">
        <v>0.12570000000000001</v>
      </c>
      <c r="I5345" s="1">
        <v>0.38919999999999999</v>
      </c>
      <c r="J5345" s="1">
        <v>0.19450000000000001</v>
      </c>
      <c r="K5345" s="1">
        <v>0.1089</v>
      </c>
      <c r="L5345" s="1">
        <v>9.4200000000000006E-2</v>
      </c>
      <c r="M5345" s="1">
        <v>0.30470000000000003</v>
      </c>
      <c r="N5345" s="1">
        <v>0.1744</v>
      </c>
      <c r="O5345" s="1">
        <v>0.25879999999999997</v>
      </c>
      <c r="P5345" s="1">
        <v>3.8399999999999997E-2</v>
      </c>
      <c r="Q5345" s="1">
        <v>3.61E-2</v>
      </c>
      <c r="R5345" s="1">
        <v>5.33E-2</v>
      </c>
      <c r="S5345" s="1">
        <v>9.2600000000000002E-2</v>
      </c>
    </row>
    <row r="5346" spans="1:19" s="26" customFormat="1">
      <c r="A5346" s="26" t="s">
        <v>236</v>
      </c>
      <c r="B5346" s="26" t="s">
        <v>199</v>
      </c>
      <c r="C5346" s="26">
        <v>24</v>
      </c>
      <c r="D5346" s="26" t="s">
        <v>200</v>
      </c>
      <c r="E5346" s="26">
        <v>964</v>
      </c>
      <c r="F5346" s="27">
        <v>0.12889999999999999</v>
      </c>
      <c r="G5346" s="27">
        <v>0.29709999999999998</v>
      </c>
      <c r="H5346" s="27">
        <v>0.25779999999999997</v>
      </c>
      <c r="I5346" s="27">
        <v>0.3397</v>
      </c>
      <c r="L5346" s="27">
        <v>0.23430000000000001</v>
      </c>
      <c r="Q5346" s="27">
        <v>0.12889999999999999</v>
      </c>
    </row>
    <row r="5347" spans="1:19">
      <c r="A5347" t="s">
        <v>235</v>
      </c>
      <c r="B5347" t="s">
        <v>199</v>
      </c>
      <c r="C5347">
        <v>46</v>
      </c>
      <c r="D5347" t="s">
        <v>200</v>
      </c>
      <c r="E5347">
        <v>964</v>
      </c>
      <c r="F5347" s="1">
        <v>2.9100000000000001E-2</v>
      </c>
      <c r="G5347" s="1">
        <v>0.32479999999999998</v>
      </c>
      <c r="H5347" s="1">
        <v>0.24740000000000001</v>
      </c>
      <c r="I5347" s="1">
        <v>0.45369999999999999</v>
      </c>
      <c r="J5347" s="1">
        <v>0.17649999999999999</v>
      </c>
      <c r="K5347" s="1">
        <v>0.11509999999999999</v>
      </c>
      <c r="L5347" s="1">
        <v>4.2000000000000003E-2</v>
      </c>
      <c r="M5347" s="1">
        <v>0.17949999999999999</v>
      </c>
      <c r="N5347" s="1">
        <v>0.13</v>
      </c>
      <c r="O5347" s="1">
        <v>0.11509999999999999</v>
      </c>
      <c r="R5347" s="1">
        <v>8.8300000000000003E-2</v>
      </c>
    </row>
    <row r="5348" spans="1:19">
      <c r="A5348" t="s">
        <v>236</v>
      </c>
      <c r="B5348" t="s">
        <v>199</v>
      </c>
      <c r="C5348">
        <v>36</v>
      </c>
      <c r="D5348" t="s">
        <v>202</v>
      </c>
      <c r="E5348">
        <v>964</v>
      </c>
      <c r="F5348" s="1">
        <v>3.1800000000000002E-2</v>
      </c>
      <c r="G5348" s="1">
        <v>0.38529999999999998</v>
      </c>
      <c r="H5348" s="1">
        <v>0.1215</v>
      </c>
      <c r="I5348" s="1">
        <v>0.29149999999999998</v>
      </c>
      <c r="J5348" s="1">
        <v>4.24E-2</v>
      </c>
      <c r="K5348" s="1">
        <v>3.3799999999999997E-2</v>
      </c>
      <c r="L5348" s="1">
        <v>0.2238</v>
      </c>
      <c r="M5348" s="1">
        <v>5.45E-2</v>
      </c>
      <c r="N5348" s="1">
        <v>0.1003</v>
      </c>
      <c r="O5348" s="1">
        <v>3.3799999999999997E-2</v>
      </c>
      <c r="Q5348" s="1">
        <v>6.7100000000000007E-2</v>
      </c>
      <c r="R5348" s="1">
        <v>3.1800000000000002E-2</v>
      </c>
    </row>
    <row r="5349" spans="1:19">
      <c r="A5349" t="s">
        <v>235</v>
      </c>
      <c r="B5349" t="s">
        <v>199</v>
      </c>
      <c r="C5349">
        <v>95</v>
      </c>
      <c r="D5349" t="s">
        <v>201</v>
      </c>
      <c r="E5349">
        <v>964</v>
      </c>
      <c r="F5349" s="1">
        <v>8.4199999999999997E-2</v>
      </c>
      <c r="G5349" s="1">
        <v>0.47370000000000001</v>
      </c>
      <c r="H5349" s="1">
        <v>0.16839999999999999</v>
      </c>
      <c r="I5349" s="1">
        <v>0.26319999999999999</v>
      </c>
      <c r="J5349" s="1">
        <v>0.2</v>
      </c>
      <c r="K5349" s="1">
        <v>0.1053</v>
      </c>
      <c r="L5349" s="1">
        <v>7.3700000000000002E-2</v>
      </c>
      <c r="M5349" s="1">
        <v>0.30530000000000002</v>
      </c>
      <c r="N5349" s="1">
        <v>0.24210000000000001</v>
      </c>
      <c r="O5349" s="1">
        <v>0.22109999999999999</v>
      </c>
      <c r="P5349" s="1">
        <v>6.3200000000000006E-2</v>
      </c>
      <c r="Q5349" s="1">
        <v>5.2600000000000001E-2</v>
      </c>
      <c r="R5349" s="1">
        <v>7.3700000000000002E-2</v>
      </c>
      <c r="S5349" s="1">
        <v>0.1368</v>
      </c>
    </row>
    <row r="5350" spans="1:19">
      <c r="A5350" t="s">
        <v>236</v>
      </c>
      <c r="B5350" t="s">
        <v>209</v>
      </c>
      <c r="C5350">
        <v>39</v>
      </c>
      <c r="D5350" t="s">
        <v>211</v>
      </c>
      <c r="E5350">
        <v>964</v>
      </c>
      <c r="F5350" s="1">
        <v>1.18E-2</v>
      </c>
      <c r="G5350" s="1">
        <v>0.32319999999999999</v>
      </c>
      <c r="H5350" s="1">
        <v>2.3699999999999999E-2</v>
      </c>
      <c r="I5350" s="1">
        <v>0.13039999999999999</v>
      </c>
      <c r="J5350" s="1">
        <v>4.5400000000000003E-2</v>
      </c>
      <c r="K5350" s="1">
        <v>2.3699999999999999E-2</v>
      </c>
      <c r="L5350" s="1">
        <v>0.4733</v>
      </c>
      <c r="M5350" s="1">
        <v>3.5499999999999997E-2</v>
      </c>
      <c r="N5350" s="1">
        <v>6.7100000000000007E-2</v>
      </c>
      <c r="O5350" s="1">
        <v>1.18E-2</v>
      </c>
      <c r="P5350" s="1">
        <v>2.3699999999999999E-2</v>
      </c>
      <c r="R5350" s="1">
        <v>1.18E-2</v>
      </c>
      <c r="S5350" s="1">
        <v>1.18E-2</v>
      </c>
    </row>
    <row r="5351" spans="1:19">
      <c r="A5351" t="s">
        <v>235</v>
      </c>
      <c r="B5351" t="s">
        <v>209</v>
      </c>
      <c r="C5351">
        <v>56</v>
      </c>
      <c r="D5351" t="s">
        <v>211</v>
      </c>
      <c r="E5351">
        <v>964</v>
      </c>
      <c r="G5351" s="1">
        <v>0.63439999999999996</v>
      </c>
      <c r="H5351" s="1">
        <v>1.6199999999999999E-2</v>
      </c>
      <c r="I5351" s="1">
        <v>0.16400000000000001</v>
      </c>
      <c r="J5351" s="1">
        <v>1.9599999999999999E-2</v>
      </c>
      <c r="K5351" s="1">
        <v>1.6199999999999999E-2</v>
      </c>
      <c r="L5351" s="1">
        <v>3.5799999999999998E-2</v>
      </c>
      <c r="M5351" s="1">
        <v>0.19819999999999999</v>
      </c>
      <c r="N5351" s="1">
        <v>8.2000000000000003E-2</v>
      </c>
      <c r="O5351" s="1">
        <v>6.59E-2</v>
      </c>
      <c r="P5351" s="1">
        <v>3.9300000000000002E-2</v>
      </c>
      <c r="Q5351" s="1">
        <v>3.9300000000000002E-2</v>
      </c>
      <c r="S5351" s="1">
        <v>1.6199999999999999E-2</v>
      </c>
    </row>
    <row r="5352" spans="1:19">
      <c r="A5352" t="s">
        <v>235</v>
      </c>
      <c r="B5352" t="s">
        <v>209</v>
      </c>
      <c r="C5352">
        <v>67</v>
      </c>
      <c r="D5352" t="s">
        <v>212</v>
      </c>
      <c r="E5352">
        <v>964</v>
      </c>
      <c r="F5352" s="1">
        <v>3.2399999999999998E-2</v>
      </c>
      <c r="G5352" s="1">
        <v>0.49980000000000002</v>
      </c>
      <c r="H5352" s="1">
        <v>4.8599999999999997E-2</v>
      </c>
      <c r="I5352" s="1">
        <v>0.19120000000000001</v>
      </c>
      <c r="J5352" s="1">
        <v>0.1459</v>
      </c>
      <c r="K5352" s="1">
        <v>8.1100000000000005E-2</v>
      </c>
      <c r="L5352" s="1">
        <v>7.6100000000000001E-2</v>
      </c>
      <c r="M5352" s="1">
        <v>0.3296</v>
      </c>
      <c r="N5352" s="1">
        <v>0.12970000000000001</v>
      </c>
      <c r="O5352" s="1">
        <v>0.1777</v>
      </c>
      <c r="P5352" s="1">
        <v>6.4799999999999996E-2</v>
      </c>
      <c r="Q5352" s="1">
        <v>1.6199999999999999E-2</v>
      </c>
      <c r="R5352" s="1">
        <v>3.2399999999999998E-2</v>
      </c>
      <c r="S5352" s="1">
        <v>0.1135</v>
      </c>
    </row>
    <row r="5353" spans="1:19" s="26" customFormat="1">
      <c r="A5353" s="26" t="s">
        <v>236</v>
      </c>
      <c r="B5353" s="26" t="s">
        <v>209</v>
      </c>
      <c r="C5353" s="26">
        <v>18</v>
      </c>
      <c r="D5353" s="26" t="s">
        <v>212</v>
      </c>
      <c r="E5353" s="26">
        <v>964</v>
      </c>
      <c r="G5353" s="27">
        <v>0.44690000000000002</v>
      </c>
      <c r="H5353" s="27">
        <v>8.8900000000000007E-2</v>
      </c>
      <c r="I5353" s="27">
        <v>0.13</v>
      </c>
      <c r="J5353" s="27">
        <v>0.16009999999999999</v>
      </c>
      <c r="L5353" s="27">
        <v>0.26929999999999998</v>
      </c>
      <c r="M5353" s="27">
        <v>0.17249999999999999</v>
      </c>
      <c r="N5353" s="27">
        <v>7.0300000000000001E-2</v>
      </c>
      <c r="O5353" s="27">
        <v>4.1099999999999998E-2</v>
      </c>
      <c r="P5353" s="27">
        <v>5.3400000000000003E-2</v>
      </c>
    </row>
    <row r="5354" spans="1:19">
      <c r="A5354" t="s">
        <v>236</v>
      </c>
      <c r="B5354" t="s">
        <v>209</v>
      </c>
      <c r="C5354">
        <v>38</v>
      </c>
      <c r="D5354" t="s">
        <v>210</v>
      </c>
      <c r="E5354">
        <v>964</v>
      </c>
      <c r="F5354" s="1">
        <v>4.3099999999999999E-2</v>
      </c>
      <c r="G5354" s="1">
        <v>0.37319999999999998</v>
      </c>
      <c r="H5354" s="1">
        <v>6.3399999999999998E-2</v>
      </c>
      <c r="I5354" s="1">
        <v>0.23089999999999999</v>
      </c>
      <c r="J5354" s="1">
        <v>4.07E-2</v>
      </c>
      <c r="K5354" s="1">
        <v>8.3699999999999997E-2</v>
      </c>
      <c r="L5354" s="1">
        <v>0.2261</v>
      </c>
      <c r="M5354" s="1">
        <v>0.27389999999999998</v>
      </c>
      <c r="N5354" s="1">
        <v>6.3399999999999998E-2</v>
      </c>
      <c r="O5354" s="1">
        <v>4.07E-2</v>
      </c>
      <c r="R5354" s="1">
        <v>4.3099999999999999E-2</v>
      </c>
    </row>
    <row r="5355" spans="1:19">
      <c r="A5355" t="s">
        <v>235</v>
      </c>
      <c r="B5355" t="s">
        <v>209</v>
      </c>
      <c r="C5355">
        <v>31</v>
      </c>
      <c r="D5355" t="s">
        <v>210</v>
      </c>
      <c r="E5355">
        <v>964</v>
      </c>
      <c r="F5355" s="1">
        <v>6.6799999999999998E-2</v>
      </c>
      <c r="G5355" s="1">
        <v>0.55010000000000003</v>
      </c>
      <c r="H5355" s="1">
        <v>3.3399999999999999E-2</v>
      </c>
      <c r="I5355" s="1">
        <v>0.16700000000000001</v>
      </c>
      <c r="J5355" s="1">
        <v>3.3399999999999999E-2</v>
      </c>
      <c r="K5355" s="1">
        <v>3.3399999999999999E-2</v>
      </c>
      <c r="L5355" s="1">
        <v>0.1827</v>
      </c>
      <c r="M5355" s="1">
        <v>0.23380000000000001</v>
      </c>
      <c r="N5355" s="1">
        <v>0.1002</v>
      </c>
      <c r="O5355" s="1">
        <v>0.1002</v>
      </c>
      <c r="P5355" s="1">
        <v>6.6799999999999998E-2</v>
      </c>
      <c r="Q5355" s="1">
        <v>3.3399999999999999E-2</v>
      </c>
      <c r="R5355" s="1">
        <v>3.3399999999999999E-2</v>
      </c>
      <c r="S5355" s="1">
        <v>3.3399999999999999E-2</v>
      </c>
    </row>
    <row r="5357" spans="1:19">
      <c r="A5357" t="s">
        <v>1219</v>
      </c>
    </row>
    <row r="5358" spans="1:19">
      <c r="A5358" t="s">
        <v>189</v>
      </c>
      <c r="B5358" t="s">
        <v>195</v>
      </c>
      <c r="C5358" t="s">
        <v>190</v>
      </c>
      <c r="D5358" t="s">
        <v>196</v>
      </c>
      <c r="E5358" t="s">
        <v>1220</v>
      </c>
      <c r="F5358" t="s">
        <v>228</v>
      </c>
      <c r="G5358" t="s">
        <v>1207</v>
      </c>
      <c r="H5358" t="s">
        <v>1221</v>
      </c>
      <c r="I5358" t="s">
        <v>1222</v>
      </c>
      <c r="J5358" t="s">
        <v>1223</v>
      </c>
      <c r="K5358" t="s">
        <v>276</v>
      </c>
      <c r="L5358" t="s">
        <v>278</v>
      </c>
      <c r="M5358" t="s">
        <v>223</v>
      </c>
      <c r="N5358" t="s">
        <v>1212</v>
      </c>
      <c r="O5358" t="s">
        <v>1224</v>
      </c>
      <c r="P5358" t="s">
        <v>1216</v>
      </c>
    </row>
    <row r="5359" spans="1:19">
      <c r="A5359" t="s">
        <v>197</v>
      </c>
      <c r="B5359">
        <v>968</v>
      </c>
      <c r="C5359" t="s">
        <v>198</v>
      </c>
      <c r="D5359">
        <v>968</v>
      </c>
      <c r="E5359" s="1">
        <v>0.187</v>
      </c>
      <c r="F5359" s="1">
        <v>0.36480000000000001</v>
      </c>
      <c r="G5359" s="1">
        <v>0.22600000000000001</v>
      </c>
      <c r="H5359" s="1">
        <v>0.1048</v>
      </c>
      <c r="I5359" s="1">
        <v>1.72E-2</v>
      </c>
      <c r="J5359" s="1">
        <v>0.18479999999999999</v>
      </c>
      <c r="K5359" s="1">
        <v>0.1163</v>
      </c>
      <c r="L5359" s="1">
        <v>5.1999999999999998E-3</v>
      </c>
      <c r="M5359" s="1">
        <v>5.9999999999999995E-4</v>
      </c>
      <c r="N5359" s="1">
        <v>0.35320000000000001</v>
      </c>
      <c r="O5359" s="1">
        <v>0.1019</v>
      </c>
      <c r="P5359" s="1">
        <v>3.9199999999999999E-2</v>
      </c>
    </row>
    <row r="5360" spans="1:19">
      <c r="A5360" t="s">
        <v>204</v>
      </c>
      <c r="B5360">
        <v>91</v>
      </c>
      <c r="C5360" t="s">
        <v>205</v>
      </c>
      <c r="D5360">
        <v>968</v>
      </c>
      <c r="E5360" s="1">
        <v>0.2359</v>
      </c>
      <c r="F5360" s="1">
        <v>0.32479999999999998</v>
      </c>
      <c r="G5360" s="1">
        <v>0.27179999999999999</v>
      </c>
      <c r="H5360" s="1">
        <v>0.1017</v>
      </c>
      <c r="I5360" s="1">
        <v>2.3300000000000001E-2</v>
      </c>
      <c r="J5360" s="1">
        <v>0.21990000000000001</v>
      </c>
      <c r="K5360" s="1">
        <v>5.74E-2</v>
      </c>
      <c r="N5360" s="1">
        <v>0.40920000000000001</v>
      </c>
      <c r="O5360" s="1">
        <v>0.19070000000000001</v>
      </c>
      <c r="P5360" s="1">
        <v>7.9699999999999993E-2</v>
      </c>
    </row>
    <row r="5361" spans="1:17">
      <c r="A5361" t="s">
        <v>204</v>
      </c>
      <c r="B5361">
        <v>72</v>
      </c>
      <c r="C5361" t="s">
        <v>206</v>
      </c>
      <c r="D5361">
        <v>968</v>
      </c>
      <c r="E5361" s="1">
        <v>0.16739999999999999</v>
      </c>
      <c r="F5361" s="1">
        <v>0.32319999999999999</v>
      </c>
      <c r="G5361" s="1">
        <v>0.19070000000000001</v>
      </c>
      <c r="H5361" s="1">
        <v>6.0400000000000002E-2</v>
      </c>
      <c r="I5361" s="1">
        <v>3.2500000000000001E-2</v>
      </c>
      <c r="J5361" s="1">
        <v>0.1303</v>
      </c>
      <c r="K5361" s="1">
        <v>0.21160000000000001</v>
      </c>
      <c r="L5361" s="1">
        <v>1.1599999999999999E-2</v>
      </c>
      <c r="N5361" s="1">
        <v>0.25580000000000003</v>
      </c>
      <c r="O5361" s="1">
        <v>7.2099999999999997E-2</v>
      </c>
      <c r="P5361" s="1">
        <v>1.6299999999999999E-2</v>
      </c>
    </row>
    <row r="5362" spans="1:17">
      <c r="A5362" t="s">
        <v>204</v>
      </c>
      <c r="B5362">
        <v>131</v>
      </c>
      <c r="C5362" t="s">
        <v>207</v>
      </c>
      <c r="D5362">
        <v>968</v>
      </c>
      <c r="E5362" s="1">
        <v>0.34670000000000001</v>
      </c>
      <c r="F5362" s="1">
        <v>0.40429999999999999</v>
      </c>
      <c r="G5362" s="1">
        <v>0.42749999999999999</v>
      </c>
      <c r="H5362" s="1">
        <v>2.0899999999999998E-2</v>
      </c>
      <c r="I5362" s="1">
        <v>8.9999999999999998E-4</v>
      </c>
      <c r="J5362" s="1">
        <v>0.1749</v>
      </c>
      <c r="K5362" s="1">
        <v>2.9899999999999999E-2</v>
      </c>
      <c r="L5362" s="1">
        <v>6.1000000000000004E-3</v>
      </c>
      <c r="N5362" s="1">
        <v>0.41589999999999999</v>
      </c>
      <c r="O5362" s="1">
        <v>5.33E-2</v>
      </c>
      <c r="P5362" s="1">
        <v>4.0000000000000001E-3</v>
      </c>
    </row>
    <row r="5363" spans="1:17">
      <c r="A5363" t="s">
        <v>204</v>
      </c>
      <c r="B5363">
        <v>74</v>
      </c>
      <c r="C5363" t="s">
        <v>208</v>
      </c>
      <c r="D5363">
        <v>968</v>
      </c>
      <c r="E5363" s="1">
        <v>0.18920000000000001</v>
      </c>
      <c r="F5363" s="1">
        <v>0.33779999999999999</v>
      </c>
      <c r="G5363" s="1">
        <v>0.2162</v>
      </c>
      <c r="H5363" s="1">
        <v>0.14860000000000001</v>
      </c>
      <c r="J5363" s="1">
        <v>0.20269999999999999</v>
      </c>
      <c r="K5363" s="1">
        <v>8.1100000000000005E-2</v>
      </c>
      <c r="N5363" s="1">
        <v>0.32429999999999998</v>
      </c>
      <c r="O5363" s="1">
        <v>8.1100000000000005E-2</v>
      </c>
      <c r="P5363" s="1">
        <v>2.7E-2</v>
      </c>
    </row>
    <row r="5364" spans="1:17">
      <c r="A5364" t="s">
        <v>199</v>
      </c>
      <c r="B5364">
        <v>73</v>
      </c>
      <c r="C5364" t="s">
        <v>200</v>
      </c>
      <c r="D5364">
        <v>968</v>
      </c>
      <c r="E5364" s="1">
        <v>9.9000000000000005E-2</v>
      </c>
      <c r="F5364" s="1">
        <v>0.26300000000000001</v>
      </c>
      <c r="G5364" s="1">
        <v>0.1701</v>
      </c>
      <c r="H5364" s="1">
        <v>0.1933</v>
      </c>
      <c r="J5364" s="1">
        <v>0.29239999999999999</v>
      </c>
      <c r="K5364" s="1">
        <v>0.17649999999999999</v>
      </c>
      <c r="N5364" s="1">
        <v>0.47399999999999998</v>
      </c>
      <c r="O5364" s="1">
        <v>9.2799999999999994E-2</v>
      </c>
      <c r="P5364" s="1">
        <v>6.1699999999999998E-2</v>
      </c>
    </row>
    <row r="5365" spans="1:17">
      <c r="A5365" t="s">
        <v>199</v>
      </c>
      <c r="B5365">
        <v>96</v>
      </c>
      <c r="C5365" t="s">
        <v>201</v>
      </c>
      <c r="D5365">
        <v>968</v>
      </c>
      <c r="E5365" s="1">
        <v>0.13539999999999999</v>
      </c>
      <c r="F5365" s="1">
        <v>0.36459999999999998</v>
      </c>
      <c r="G5365" s="1">
        <v>0.14580000000000001</v>
      </c>
      <c r="H5365" s="1">
        <v>0.15620000000000001</v>
      </c>
      <c r="I5365" s="1">
        <v>3.1199999999999999E-2</v>
      </c>
      <c r="J5365" s="1">
        <v>0.1875</v>
      </c>
      <c r="K5365" s="1">
        <v>0.21879999999999999</v>
      </c>
      <c r="N5365" s="1">
        <v>0.32290000000000002</v>
      </c>
      <c r="O5365" s="1">
        <v>8.3299999999999999E-2</v>
      </c>
      <c r="P5365" s="1">
        <v>3.1199999999999999E-2</v>
      </c>
    </row>
    <row r="5366" spans="1:17">
      <c r="A5366" t="s">
        <v>199</v>
      </c>
      <c r="B5366">
        <v>98</v>
      </c>
      <c r="C5366" t="s">
        <v>202</v>
      </c>
      <c r="D5366">
        <v>968</v>
      </c>
      <c r="E5366" s="1">
        <v>0.1017</v>
      </c>
      <c r="F5366" s="1">
        <v>0.40629999999999999</v>
      </c>
      <c r="G5366" s="1">
        <v>0.1371</v>
      </c>
      <c r="H5366" s="1">
        <v>8.2699999999999996E-2</v>
      </c>
      <c r="I5366" s="1">
        <v>1.2200000000000001E-2</v>
      </c>
      <c r="J5366" s="1">
        <v>0.1462</v>
      </c>
      <c r="K5366" s="1">
        <v>0.17660000000000001</v>
      </c>
      <c r="L5366" s="1">
        <v>2.29E-2</v>
      </c>
      <c r="M5366" s="1">
        <v>4.1999999999999997E-3</v>
      </c>
      <c r="N5366" s="1">
        <v>0.2389</v>
      </c>
      <c r="O5366" s="1">
        <v>9.2700000000000005E-2</v>
      </c>
      <c r="P5366" s="1">
        <v>4.3799999999999999E-2</v>
      </c>
    </row>
    <row r="5367" spans="1:17">
      <c r="A5367" t="s">
        <v>199</v>
      </c>
      <c r="B5367">
        <v>77</v>
      </c>
      <c r="C5367" t="s">
        <v>203</v>
      </c>
      <c r="D5367">
        <v>968</v>
      </c>
      <c r="E5367" s="1">
        <v>7.8899999999999998E-2</v>
      </c>
      <c r="F5367" s="1">
        <v>0.38829999999999998</v>
      </c>
      <c r="G5367" s="1">
        <v>0.1623</v>
      </c>
      <c r="H5367" s="1">
        <v>0.1255</v>
      </c>
      <c r="I5367" s="1">
        <v>3.6400000000000002E-2</v>
      </c>
      <c r="J5367" s="1">
        <v>0.126</v>
      </c>
      <c r="K5367" s="1">
        <v>0.15040000000000001</v>
      </c>
      <c r="N5367" s="1">
        <v>0.35139999999999999</v>
      </c>
      <c r="O5367" s="1">
        <v>8.1000000000000003E-2</v>
      </c>
      <c r="P5367" s="1">
        <v>3.6400000000000002E-2</v>
      </c>
    </row>
    <row r="5368" spans="1:17">
      <c r="A5368" t="s">
        <v>209</v>
      </c>
      <c r="B5368">
        <v>74</v>
      </c>
      <c r="C5368" t="s">
        <v>210</v>
      </c>
      <c r="D5368">
        <v>968</v>
      </c>
      <c r="E5368" s="1">
        <v>5.0099999999999999E-2</v>
      </c>
      <c r="F5368" s="1">
        <v>0.4703</v>
      </c>
      <c r="G5368" s="1">
        <v>0.1915</v>
      </c>
      <c r="H5368" s="1">
        <v>6.0400000000000002E-2</v>
      </c>
      <c r="J5368" s="1">
        <v>0.1217</v>
      </c>
      <c r="K5368" s="1">
        <v>0.1487</v>
      </c>
      <c r="N5368" s="1">
        <v>0.2155</v>
      </c>
      <c r="O5368" s="1">
        <v>3.5299999999999998E-2</v>
      </c>
      <c r="P5368" s="1">
        <v>2.5999999999999999E-2</v>
      </c>
    </row>
    <row r="5369" spans="1:17">
      <c r="A5369" t="s">
        <v>209</v>
      </c>
      <c r="B5369">
        <v>97</v>
      </c>
      <c r="C5369" t="s">
        <v>211</v>
      </c>
      <c r="D5369">
        <v>968</v>
      </c>
      <c r="E5369" s="1">
        <v>0.14879999999999999</v>
      </c>
      <c r="F5369" s="1">
        <v>0.39700000000000002</v>
      </c>
      <c r="G5369" s="1">
        <v>0.2555</v>
      </c>
      <c r="H5369" s="1">
        <v>0.17219999999999999</v>
      </c>
      <c r="I5369" s="1">
        <v>2.6100000000000002E-2</v>
      </c>
      <c r="J5369" s="1">
        <v>0.21879999999999999</v>
      </c>
      <c r="K5369" s="1">
        <v>9.9000000000000005E-2</v>
      </c>
      <c r="L5369" s="1">
        <v>1.6299999999999999E-2</v>
      </c>
      <c r="N5369" s="1">
        <v>0.32500000000000001</v>
      </c>
      <c r="O5369" s="1">
        <v>9.9599999999999994E-2</v>
      </c>
      <c r="P5369" s="1">
        <v>3.2500000000000001E-2</v>
      </c>
    </row>
    <row r="5370" spans="1:17">
      <c r="A5370" t="s">
        <v>209</v>
      </c>
      <c r="B5370">
        <v>85</v>
      </c>
      <c r="C5370" t="s">
        <v>212</v>
      </c>
      <c r="D5370">
        <v>968</v>
      </c>
      <c r="E5370" s="1">
        <v>0.15820000000000001</v>
      </c>
      <c r="F5370" s="1">
        <v>0.3468</v>
      </c>
      <c r="G5370" s="1">
        <v>0.1492</v>
      </c>
      <c r="H5370" s="1">
        <v>9.1999999999999998E-2</v>
      </c>
      <c r="I5370" s="1">
        <v>1.4E-2</v>
      </c>
      <c r="J5370" s="1">
        <v>0.15679999999999999</v>
      </c>
      <c r="K5370" s="1">
        <v>7.7700000000000005E-2</v>
      </c>
      <c r="N5370" s="1">
        <v>0.3856</v>
      </c>
      <c r="O5370" s="1">
        <v>7.6700000000000004E-2</v>
      </c>
      <c r="P5370" s="1">
        <v>2.7900000000000001E-2</v>
      </c>
    </row>
    <row r="5372" spans="1:17">
      <c r="A5372" t="s">
        <v>1225</v>
      </c>
    </row>
    <row r="5373" spans="1:17">
      <c r="A5373" t="s">
        <v>214</v>
      </c>
      <c r="B5373" t="s">
        <v>189</v>
      </c>
      <c r="C5373" t="s">
        <v>195</v>
      </c>
      <c r="D5373" t="s">
        <v>190</v>
      </c>
      <c r="E5373" t="s">
        <v>196</v>
      </c>
      <c r="F5373" t="s">
        <v>1220</v>
      </c>
      <c r="G5373" t="s">
        <v>228</v>
      </c>
      <c r="H5373" t="s">
        <v>1207</v>
      </c>
      <c r="I5373" t="s">
        <v>1221</v>
      </c>
      <c r="J5373" t="s">
        <v>1222</v>
      </c>
      <c r="K5373" t="s">
        <v>1223</v>
      </c>
      <c r="L5373" t="s">
        <v>276</v>
      </c>
      <c r="M5373" t="s">
        <v>278</v>
      </c>
      <c r="N5373" t="s">
        <v>223</v>
      </c>
      <c r="O5373" t="s">
        <v>1212</v>
      </c>
      <c r="P5373" t="s">
        <v>1224</v>
      </c>
      <c r="Q5373" t="s">
        <v>1216</v>
      </c>
    </row>
    <row r="5374" spans="1:17">
      <c r="A5374" t="s">
        <v>198</v>
      </c>
      <c r="B5374" t="s">
        <v>197</v>
      </c>
      <c r="C5374">
        <v>968</v>
      </c>
      <c r="D5374" t="s">
        <v>198</v>
      </c>
      <c r="E5374">
        <v>968</v>
      </c>
      <c r="F5374" s="1">
        <v>0.187</v>
      </c>
      <c r="G5374" s="1">
        <v>0.36480000000000001</v>
      </c>
      <c r="H5374" s="1">
        <v>0.22600000000000001</v>
      </c>
      <c r="I5374" s="1">
        <v>0.1048</v>
      </c>
      <c r="J5374" s="1">
        <v>1.72E-2</v>
      </c>
      <c r="K5374" s="1">
        <v>0.18479999999999999</v>
      </c>
      <c r="L5374" s="1">
        <v>0.1163</v>
      </c>
      <c r="M5374" s="1">
        <v>5.1999999999999998E-3</v>
      </c>
      <c r="N5374" s="1">
        <v>5.9999999999999995E-4</v>
      </c>
      <c r="O5374" s="1">
        <v>0.35320000000000001</v>
      </c>
      <c r="P5374" s="1">
        <v>0.1019</v>
      </c>
      <c r="Q5374" s="1">
        <v>3.9199999999999999E-2</v>
      </c>
    </row>
    <row r="5375" spans="1:17">
      <c r="A5375" t="s">
        <v>235</v>
      </c>
      <c r="B5375" t="s">
        <v>204</v>
      </c>
      <c r="C5375">
        <v>63</v>
      </c>
      <c r="D5375" t="s">
        <v>208</v>
      </c>
      <c r="E5375">
        <v>968</v>
      </c>
      <c r="F5375" s="1">
        <v>0.1905</v>
      </c>
      <c r="G5375" s="1">
        <v>0.36509999999999998</v>
      </c>
      <c r="H5375" s="1">
        <v>0.20630000000000001</v>
      </c>
      <c r="I5375" s="1">
        <v>0.1429</v>
      </c>
      <c r="K5375" s="1">
        <v>0.22220000000000001</v>
      </c>
      <c r="L5375" s="1">
        <v>7.9399999999999998E-2</v>
      </c>
      <c r="O5375" s="1">
        <v>0.3175</v>
      </c>
      <c r="P5375" s="1">
        <v>9.5200000000000007E-2</v>
      </c>
      <c r="Q5375" s="1">
        <v>3.1699999999999999E-2</v>
      </c>
    </row>
    <row r="5376" spans="1:17">
      <c r="A5376" t="s">
        <v>236</v>
      </c>
      <c r="B5376" t="s">
        <v>204</v>
      </c>
      <c r="C5376">
        <v>32</v>
      </c>
      <c r="D5376" t="s">
        <v>205</v>
      </c>
      <c r="E5376">
        <v>968</v>
      </c>
      <c r="F5376" s="1">
        <v>0.35449999999999998</v>
      </c>
      <c r="G5376" s="1">
        <v>0.16769999999999999</v>
      </c>
      <c r="H5376" s="1">
        <v>0.22470000000000001</v>
      </c>
      <c r="I5376" s="1">
        <v>0.2417</v>
      </c>
      <c r="J5376" s="1">
        <v>0.113</v>
      </c>
      <c r="K5376" s="1">
        <v>0.37419999999999998</v>
      </c>
      <c r="L5376" s="1">
        <v>5.4699999999999999E-2</v>
      </c>
      <c r="O5376" s="1">
        <v>0.53439999999999999</v>
      </c>
      <c r="P5376" s="1">
        <v>0.10879999999999999</v>
      </c>
      <c r="Q5376" s="1">
        <v>0.15640000000000001</v>
      </c>
    </row>
    <row r="5377" spans="1:17">
      <c r="A5377" t="s">
        <v>235</v>
      </c>
      <c r="B5377" t="s">
        <v>204</v>
      </c>
      <c r="C5377">
        <v>58</v>
      </c>
      <c r="D5377" t="s">
        <v>205</v>
      </c>
      <c r="E5377">
        <v>968</v>
      </c>
      <c r="F5377" s="1">
        <v>0.21079999999999999</v>
      </c>
      <c r="G5377" s="1">
        <v>0.3569</v>
      </c>
      <c r="H5377" s="1">
        <v>0.2828</v>
      </c>
      <c r="I5377" s="1">
        <v>7.1599999999999997E-2</v>
      </c>
      <c r="J5377" s="1">
        <v>3.8999999999999998E-3</v>
      </c>
      <c r="K5377" s="1">
        <v>0.187</v>
      </c>
      <c r="L5377" s="1">
        <v>5.8099999999999999E-2</v>
      </c>
      <c r="O5377" s="1">
        <v>0.38319999999999999</v>
      </c>
      <c r="P5377" s="1">
        <v>0.20899999999999999</v>
      </c>
      <c r="Q5377" s="1">
        <v>6.3299999999999995E-2</v>
      </c>
    </row>
    <row r="5378" spans="1:17" s="26" customFormat="1">
      <c r="A5378" s="26" t="s">
        <v>236</v>
      </c>
      <c r="B5378" s="26" t="s">
        <v>204</v>
      </c>
      <c r="C5378" s="26">
        <v>21</v>
      </c>
      <c r="D5378" s="26" t="s">
        <v>206</v>
      </c>
      <c r="E5378" s="26">
        <v>968</v>
      </c>
      <c r="F5378" s="27">
        <v>0.18809999999999999</v>
      </c>
      <c r="G5378" s="27">
        <v>0.3075</v>
      </c>
      <c r="H5378" s="27">
        <v>0.33329999999999999</v>
      </c>
      <c r="I5378" s="27">
        <v>5.9700000000000003E-2</v>
      </c>
      <c r="J5378" s="27">
        <v>5.9700000000000003E-2</v>
      </c>
      <c r="K5378" s="27">
        <v>8.5500000000000007E-2</v>
      </c>
      <c r="L5378" s="27">
        <v>0.14530000000000001</v>
      </c>
      <c r="M5378" s="27">
        <v>4.2799999999999998E-2</v>
      </c>
      <c r="O5378" s="27">
        <v>0.23080000000000001</v>
      </c>
    </row>
    <row r="5379" spans="1:17">
      <c r="A5379" t="s">
        <v>235</v>
      </c>
      <c r="B5379" t="s">
        <v>204</v>
      </c>
      <c r="C5379">
        <v>47</v>
      </c>
      <c r="D5379" t="s">
        <v>206</v>
      </c>
      <c r="E5379">
        <v>968</v>
      </c>
      <c r="F5379" s="1">
        <v>0.13739999999999999</v>
      </c>
      <c r="G5379" s="1">
        <v>0.31280000000000002</v>
      </c>
      <c r="H5379" s="1">
        <v>0.14779999999999999</v>
      </c>
      <c r="I5379" s="1">
        <v>6.5299999999999997E-2</v>
      </c>
      <c r="J5379" s="1">
        <v>2.4E-2</v>
      </c>
      <c r="K5379" s="1">
        <v>0.1409</v>
      </c>
      <c r="L5379" s="1">
        <v>0.25430000000000003</v>
      </c>
      <c r="O5379" s="1">
        <v>0.25069999999999998</v>
      </c>
      <c r="P5379" s="1">
        <v>0.1065</v>
      </c>
      <c r="Q5379" s="1">
        <v>2.4E-2</v>
      </c>
    </row>
    <row r="5380" spans="1:17">
      <c r="A5380" t="s">
        <v>236</v>
      </c>
      <c r="B5380" t="s">
        <v>204</v>
      </c>
      <c r="C5380">
        <v>81</v>
      </c>
      <c r="D5380" t="s">
        <v>207</v>
      </c>
      <c r="E5380">
        <v>968</v>
      </c>
      <c r="F5380" s="1">
        <v>0.2427</v>
      </c>
      <c r="G5380" s="1">
        <v>0.37659999999999999</v>
      </c>
      <c r="H5380" s="1">
        <v>0.42620000000000002</v>
      </c>
      <c r="I5380" s="1">
        <v>4.0899999999999999E-2</v>
      </c>
      <c r="K5380" s="1">
        <v>0.1915</v>
      </c>
      <c r="L5380" s="1">
        <v>5.0200000000000002E-2</v>
      </c>
      <c r="M5380" s="1">
        <v>1.4999999999999999E-2</v>
      </c>
      <c r="O5380" s="1">
        <v>0.50480000000000003</v>
      </c>
      <c r="P5380" s="1">
        <v>1.5599999999999999E-2</v>
      </c>
      <c r="Q5380" s="1">
        <v>3.7000000000000002E-3</v>
      </c>
    </row>
    <row r="5381" spans="1:17">
      <c r="A5381" t="s">
        <v>235</v>
      </c>
      <c r="B5381" t="s">
        <v>204</v>
      </c>
      <c r="C5381">
        <v>45</v>
      </c>
      <c r="D5381" t="s">
        <v>207</v>
      </c>
      <c r="E5381">
        <v>968</v>
      </c>
      <c r="F5381" s="1">
        <v>0.4274</v>
      </c>
      <c r="G5381" s="1">
        <v>0.4289</v>
      </c>
      <c r="H5381" s="1">
        <v>0.43830000000000002</v>
      </c>
      <c r="I5381" s="1">
        <v>7.4000000000000003E-3</v>
      </c>
      <c r="J5381" s="1">
        <v>1.6000000000000001E-3</v>
      </c>
      <c r="K5381" s="1">
        <v>0.16750000000000001</v>
      </c>
      <c r="L5381" s="1">
        <v>1.6299999999999999E-2</v>
      </c>
      <c r="O5381" s="1">
        <v>0.34870000000000001</v>
      </c>
      <c r="P5381" s="1">
        <v>8.09E-2</v>
      </c>
    </row>
    <row r="5382" spans="1:17" s="26" customFormat="1">
      <c r="A5382" s="26" t="s">
        <v>236</v>
      </c>
      <c r="B5382" s="26" t="s">
        <v>204</v>
      </c>
      <c r="C5382" s="26">
        <v>11</v>
      </c>
      <c r="D5382" s="26" t="s">
        <v>208</v>
      </c>
      <c r="E5382" s="26">
        <v>968</v>
      </c>
      <c r="F5382" s="27">
        <v>0.18179999999999999</v>
      </c>
      <c r="G5382" s="27">
        <v>0.18179999999999999</v>
      </c>
      <c r="H5382" s="27">
        <v>0.2727</v>
      </c>
      <c r="I5382" s="27">
        <v>0.18179999999999999</v>
      </c>
      <c r="K5382" s="27">
        <v>9.0899999999999995E-2</v>
      </c>
      <c r="L5382" s="27">
        <v>9.0899999999999995E-2</v>
      </c>
      <c r="O5382" s="27">
        <v>0.36359999999999998</v>
      </c>
    </row>
    <row r="5383" spans="1:17">
      <c r="A5383" t="s">
        <v>235</v>
      </c>
      <c r="B5383" t="s">
        <v>199</v>
      </c>
      <c r="C5383">
        <v>44</v>
      </c>
      <c r="D5383" t="s">
        <v>203</v>
      </c>
      <c r="E5383">
        <v>968</v>
      </c>
      <c r="F5383" s="1">
        <v>0.1008</v>
      </c>
      <c r="G5383" s="1">
        <v>0.37980000000000003</v>
      </c>
      <c r="H5383" s="1">
        <v>0.14360000000000001</v>
      </c>
      <c r="I5383" s="1">
        <v>7.1099999999999997E-2</v>
      </c>
      <c r="J5383" s="1">
        <v>5.8000000000000003E-2</v>
      </c>
      <c r="K5383" s="1">
        <v>0.14419999999999999</v>
      </c>
      <c r="L5383" s="1">
        <v>0.1968</v>
      </c>
      <c r="O5383" s="1">
        <v>0.3654</v>
      </c>
      <c r="P5383" s="1">
        <v>0.1008</v>
      </c>
      <c r="Q5383" s="1">
        <v>5.8000000000000003E-2</v>
      </c>
    </row>
    <row r="5384" spans="1:17">
      <c r="A5384" t="s">
        <v>236</v>
      </c>
      <c r="B5384" t="s">
        <v>199</v>
      </c>
      <c r="C5384">
        <v>32</v>
      </c>
      <c r="D5384" t="s">
        <v>203</v>
      </c>
      <c r="E5384">
        <v>968</v>
      </c>
      <c r="F5384" s="1">
        <v>4.53E-2</v>
      </c>
      <c r="G5384" s="1">
        <v>0.43380000000000002</v>
      </c>
      <c r="H5384" s="1">
        <v>0.1313</v>
      </c>
      <c r="I5384" s="1">
        <v>0.2341</v>
      </c>
      <c r="K5384" s="1">
        <v>0.1027</v>
      </c>
      <c r="L5384" s="1">
        <v>7.7700000000000005E-2</v>
      </c>
      <c r="O5384" s="1">
        <v>0.35339999999999999</v>
      </c>
      <c r="P5384" s="1">
        <v>5.1400000000000001E-2</v>
      </c>
    </row>
    <row r="5385" spans="1:17">
      <c r="A5385" t="s">
        <v>235</v>
      </c>
      <c r="B5385" t="s">
        <v>199</v>
      </c>
      <c r="C5385">
        <v>60</v>
      </c>
      <c r="D5385" t="s">
        <v>202</v>
      </c>
      <c r="E5385">
        <v>968</v>
      </c>
      <c r="F5385" s="1">
        <v>8.5199999999999998E-2</v>
      </c>
      <c r="G5385" s="1">
        <v>0.37140000000000001</v>
      </c>
      <c r="H5385" s="1">
        <v>9.3200000000000005E-2</v>
      </c>
      <c r="I5385" s="1">
        <v>7.6499999999999999E-2</v>
      </c>
      <c r="K5385" s="1">
        <v>0.1867</v>
      </c>
      <c r="L5385" s="1">
        <v>0.24329999999999999</v>
      </c>
      <c r="N5385" s="1">
        <v>7.4000000000000003E-3</v>
      </c>
      <c r="O5385" s="1">
        <v>0.24840000000000001</v>
      </c>
      <c r="P5385" s="1">
        <v>0.1172</v>
      </c>
      <c r="Q5385" s="1">
        <v>5.5100000000000003E-2</v>
      </c>
    </row>
    <row r="5386" spans="1:17" s="26" customFormat="1">
      <c r="A5386" s="26" t="s">
        <v>236</v>
      </c>
      <c r="B5386" s="26" t="s">
        <v>199</v>
      </c>
      <c r="C5386" s="26">
        <v>24</v>
      </c>
      <c r="D5386" s="26" t="s">
        <v>200</v>
      </c>
      <c r="E5386" s="26">
        <v>968</v>
      </c>
      <c r="F5386" s="27">
        <v>0.21079999999999999</v>
      </c>
      <c r="G5386" s="27">
        <v>0.47949999999999998</v>
      </c>
      <c r="H5386" s="27">
        <v>0.3422</v>
      </c>
      <c r="I5386" s="27">
        <v>0.21410000000000001</v>
      </c>
      <c r="K5386" s="27">
        <v>7.1900000000000006E-2</v>
      </c>
      <c r="L5386" s="27">
        <v>3.3999999999999998E-3</v>
      </c>
      <c r="O5386" s="27">
        <v>0.35310000000000002</v>
      </c>
      <c r="Q5386" s="27">
        <v>3.2599999999999997E-2</v>
      </c>
    </row>
    <row r="5387" spans="1:17">
      <c r="A5387" t="s">
        <v>235</v>
      </c>
      <c r="B5387" t="s">
        <v>199</v>
      </c>
      <c r="C5387">
        <v>46</v>
      </c>
      <c r="D5387" t="s">
        <v>200</v>
      </c>
      <c r="E5387">
        <v>968</v>
      </c>
      <c r="G5387" s="1">
        <v>6.9000000000000006E-2</v>
      </c>
      <c r="H5387" s="1">
        <v>1.7999999999999999E-2</v>
      </c>
      <c r="I5387" s="1">
        <v>0.17649999999999999</v>
      </c>
      <c r="K5387" s="1">
        <v>0.48899999999999999</v>
      </c>
      <c r="L5387" s="1">
        <v>0.3327</v>
      </c>
      <c r="O5387" s="1">
        <v>0.58330000000000004</v>
      </c>
      <c r="P5387" s="1">
        <v>0.17649999999999999</v>
      </c>
      <c r="Q5387" s="1">
        <v>8.8300000000000003E-2</v>
      </c>
    </row>
    <row r="5388" spans="1:17">
      <c r="A5388" t="s">
        <v>236</v>
      </c>
      <c r="B5388" t="s">
        <v>199</v>
      </c>
      <c r="C5388">
        <v>37</v>
      </c>
      <c r="D5388" t="s">
        <v>202</v>
      </c>
      <c r="E5388">
        <v>968</v>
      </c>
      <c r="F5388" s="1">
        <v>0.128</v>
      </c>
      <c r="G5388" s="1">
        <v>0.43519999999999998</v>
      </c>
      <c r="H5388" s="1">
        <v>0.20269999999999999</v>
      </c>
      <c r="I5388" s="1">
        <v>9.4100000000000003E-2</v>
      </c>
      <c r="J5388" s="1">
        <v>2.9600000000000001E-2</v>
      </c>
      <c r="K5388" s="1">
        <v>9.4600000000000004E-2</v>
      </c>
      <c r="L5388" s="1">
        <v>8.9599999999999999E-2</v>
      </c>
      <c r="M5388" s="1">
        <v>5.5599999999999997E-2</v>
      </c>
      <c r="O5388" s="1">
        <v>0.23369999999999999</v>
      </c>
      <c r="P5388" s="1">
        <v>6.1800000000000001E-2</v>
      </c>
      <c r="Q5388" s="1">
        <v>2.9600000000000001E-2</v>
      </c>
    </row>
    <row r="5389" spans="1:17">
      <c r="A5389" t="s">
        <v>235</v>
      </c>
      <c r="B5389" t="s">
        <v>199</v>
      </c>
      <c r="C5389">
        <v>96</v>
      </c>
      <c r="D5389" t="s">
        <v>201</v>
      </c>
      <c r="E5389">
        <v>968</v>
      </c>
      <c r="F5389" s="1">
        <v>0.13539999999999999</v>
      </c>
      <c r="G5389" s="1">
        <v>0.36459999999999998</v>
      </c>
      <c r="H5389" s="1">
        <v>0.14580000000000001</v>
      </c>
      <c r="I5389" s="1">
        <v>0.15620000000000001</v>
      </c>
      <c r="J5389" s="1">
        <v>3.1199999999999999E-2</v>
      </c>
      <c r="K5389" s="1">
        <v>0.1875</v>
      </c>
      <c r="L5389" s="1">
        <v>0.21879999999999999</v>
      </c>
      <c r="O5389" s="1">
        <v>0.32290000000000002</v>
      </c>
      <c r="P5389" s="1">
        <v>8.3299999999999999E-2</v>
      </c>
      <c r="Q5389" s="1">
        <v>3.1199999999999999E-2</v>
      </c>
    </row>
    <row r="5390" spans="1:17">
      <c r="A5390" t="s">
        <v>236</v>
      </c>
      <c r="B5390" t="s">
        <v>209</v>
      </c>
      <c r="C5390">
        <v>39</v>
      </c>
      <c r="D5390" t="s">
        <v>211</v>
      </c>
      <c r="E5390">
        <v>968</v>
      </c>
      <c r="F5390" s="1">
        <v>0.24199999999999999</v>
      </c>
      <c r="G5390" s="1">
        <v>0.41710000000000003</v>
      </c>
      <c r="H5390" s="1">
        <v>0.25380000000000003</v>
      </c>
      <c r="I5390" s="1">
        <v>0.28270000000000001</v>
      </c>
      <c r="J5390" s="1">
        <v>4.5400000000000003E-2</v>
      </c>
      <c r="K5390" s="1">
        <v>0.17580000000000001</v>
      </c>
      <c r="L5390" s="1">
        <v>1.18E-2</v>
      </c>
      <c r="M5390" s="1">
        <v>4.5400000000000003E-2</v>
      </c>
      <c r="O5390" s="1">
        <v>0.43659999999999999</v>
      </c>
      <c r="P5390" s="1">
        <v>0.20549999999999999</v>
      </c>
      <c r="Q5390" s="1">
        <v>5.7299999999999997E-2</v>
      </c>
    </row>
    <row r="5391" spans="1:17">
      <c r="A5391" t="s">
        <v>235</v>
      </c>
      <c r="B5391" t="s">
        <v>209</v>
      </c>
      <c r="C5391">
        <v>56</v>
      </c>
      <c r="D5391" t="s">
        <v>211</v>
      </c>
      <c r="E5391">
        <v>968</v>
      </c>
      <c r="F5391" s="1">
        <v>0.1017</v>
      </c>
      <c r="G5391" s="1">
        <v>0.40500000000000003</v>
      </c>
      <c r="H5391" s="1">
        <v>0.26919999999999999</v>
      </c>
      <c r="I5391" s="1">
        <v>0.11609999999999999</v>
      </c>
      <c r="J5391" s="1">
        <v>1.6199999999999999E-2</v>
      </c>
      <c r="K5391" s="1">
        <v>0.22989999999999999</v>
      </c>
      <c r="L5391" s="1">
        <v>0.13</v>
      </c>
      <c r="O5391" s="1">
        <v>0.27600000000000002</v>
      </c>
      <c r="P5391" s="1">
        <v>4.2700000000000002E-2</v>
      </c>
      <c r="Q5391" s="1">
        <v>1.9599999999999999E-2</v>
      </c>
    </row>
    <row r="5392" spans="1:17">
      <c r="A5392" t="s">
        <v>235</v>
      </c>
      <c r="B5392" t="s">
        <v>209</v>
      </c>
      <c r="C5392">
        <v>67</v>
      </c>
      <c r="D5392" t="s">
        <v>212</v>
      </c>
      <c r="E5392">
        <v>968</v>
      </c>
      <c r="F5392" s="1">
        <v>0.1673</v>
      </c>
      <c r="G5392" s="1">
        <v>0.35360000000000003</v>
      </c>
      <c r="H5392" s="1">
        <v>0.15110000000000001</v>
      </c>
      <c r="I5392" s="1">
        <v>8.9599999999999999E-2</v>
      </c>
      <c r="J5392" s="1">
        <v>1.6199999999999999E-2</v>
      </c>
      <c r="K5392" s="1">
        <v>0.1573</v>
      </c>
      <c r="L5392" s="1">
        <v>5.7000000000000002E-2</v>
      </c>
      <c r="O5392" s="1">
        <v>0.3947</v>
      </c>
      <c r="P5392" s="1">
        <v>8.0399999999999999E-2</v>
      </c>
      <c r="Q5392" s="1">
        <v>3.2399999999999998E-2</v>
      </c>
    </row>
    <row r="5393" spans="1:17" s="26" customFormat="1">
      <c r="A5393" s="26" t="s">
        <v>236</v>
      </c>
      <c r="B5393" s="26" t="s">
        <v>209</v>
      </c>
      <c r="C5393" s="26">
        <v>18</v>
      </c>
      <c r="D5393" s="26" t="s">
        <v>212</v>
      </c>
      <c r="E5393" s="26">
        <v>968</v>
      </c>
      <c r="F5393" s="27">
        <v>0.1013</v>
      </c>
      <c r="G5393" s="27">
        <v>0.30420000000000003</v>
      </c>
      <c r="H5393" s="27">
        <v>0.13739999999999999</v>
      </c>
      <c r="I5393" s="27">
        <v>0.1067</v>
      </c>
      <c r="K5393" s="27">
        <v>0.15329999999999999</v>
      </c>
      <c r="L5393" s="27">
        <v>0.20669999999999999</v>
      </c>
      <c r="O5393" s="27">
        <v>0.32900000000000001</v>
      </c>
      <c r="P5393" s="27">
        <v>5.3400000000000003E-2</v>
      </c>
    </row>
    <row r="5394" spans="1:17">
      <c r="A5394" t="s">
        <v>236</v>
      </c>
      <c r="B5394" t="s">
        <v>209</v>
      </c>
      <c r="C5394">
        <v>38</v>
      </c>
      <c r="D5394" t="s">
        <v>210</v>
      </c>
      <c r="E5394">
        <v>968</v>
      </c>
      <c r="F5394" s="1">
        <v>8.1299999999999997E-2</v>
      </c>
      <c r="G5394" s="1">
        <v>0.4163</v>
      </c>
      <c r="H5394" s="1">
        <v>0.14710000000000001</v>
      </c>
      <c r="I5394" s="1">
        <v>4.07E-2</v>
      </c>
      <c r="K5394" s="1">
        <v>0.1041</v>
      </c>
      <c r="L5394" s="1">
        <v>0.19020000000000001</v>
      </c>
      <c r="O5394" s="1">
        <v>0.20569999999999999</v>
      </c>
      <c r="P5394" s="1">
        <v>4.3099999999999999E-2</v>
      </c>
    </row>
    <row r="5395" spans="1:17">
      <c r="A5395" t="s">
        <v>235</v>
      </c>
      <c r="B5395" t="s">
        <v>209</v>
      </c>
      <c r="C5395">
        <v>32</v>
      </c>
      <c r="D5395" t="s">
        <v>210</v>
      </c>
      <c r="E5395">
        <v>968</v>
      </c>
      <c r="F5395" s="1">
        <v>1.5299999999999999E-2</v>
      </c>
      <c r="G5395" s="1">
        <v>0.5323</v>
      </c>
      <c r="H5395" s="1">
        <v>0.2092</v>
      </c>
      <c r="I5395" s="1">
        <v>6.4600000000000005E-2</v>
      </c>
      <c r="K5395" s="1">
        <v>0.1293</v>
      </c>
      <c r="L5395" s="1">
        <v>0.1293</v>
      </c>
      <c r="O5395" s="1">
        <v>0.17680000000000001</v>
      </c>
      <c r="P5395" s="1">
        <v>3.2300000000000002E-2</v>
      </c>
      <c r="Q5395" s="1">
        <v>3.2300000000000002E-2</v>
      </c>
    </row>
    <row r="5397" spans="1:17">
      <c r="A5397" t="s">
        <v>1226</v>
      </c>
    </row>
    <row r="5398" spans="1:17">
      <c r="A5398" t="s">
        <v>190</v>
      </c>
      <c r="B5398" t="s">
        <v>214</v>
      </c>
      <c r="C5398" t="s">
        <v>705</v>
      </c>
      <c r="D5398" t="s">
        <v>1227</v>
      </c>
      <c r="E5398" t="s">
        <v>1228</v>
      </c>
      <c r="F5398" t="s">
        <v>1229</v>
      </c>
      <c r="G5398" t="s">
        <v>1230</v>
      </c>
      <c r="H5398" t="s">
        <v>1231</v>
      </c>
      <c r="I5398" t="s">
        <v>716</v>
      </c>
      <c r="J5398" t="s">
        <v>195</v>
      </c>
      <c r="K5398" t="s">
        <v>196</v>
      </c>
    </row>
    <row r="5399" spans="1:17">
      <c r="A5399" t="s">
        <v>198</v>
      </c>
      <c r="B5399" t="s">
        <v>198</v>
      </c>
      <c r="C5399" t="s">
        <v>1232</v>
      </c>
      <c r="D5399" s="1">
        <v>0.48049999999999998</v>
      </c>
      <c r="E5399" s="1">
        <v>0.82830000000000004</v>
      </c>
      <c r="F5399" s="1">
        <v>0.83950000000000002</v>
      </c>
      <c r="G5399" s="1">
        <v>0.8669</v>
      </c>
      <c r="H5399" s="1">
        <v>0.88619999999999999</v>
      </c>
      <c r="I5399">
        <v>879</v>
      </c>
      <c r="J5399">
        <v>879</v>
      </c>
      <c r="K5399">
        <v>879</v>
      </c>
    </row>
    <row r="5400" spans="1:17">
      <c r="A5400" t="s">
        <v>198</v>
      </c>
      <c r="B5400" t="s">
        <v>198</v>
      </c>
      <c r="C5400" t="s">
        <v>1233</v>
      </c>
      <c r="D5400" s="1">
        <v>0.51949999999999996</v>
      </c>
      <c r="E5400" s="1">
        <v>0.17169999999999999</v>
      </c>
      <c r="F5400" s="1">
        <v>0.1605</v>
      </c>
      <c r="G5400" s="1">
        <v>0.1331</v>
      </c>
      <c r="H5400" s="1">
        <v>0.1138</v>
      </c>
      <c r="I5400">
        <v>879</v>
      </c>
      <c r="J5400">
        <v>879</v>
      </c>
      <c r="K5400">
        <v>879</v>
      </c>
    </row>
    <row r="5401" spans="1:17" s="26" customFormat="1" ht="14.25" customHeight="1">
      <c r="A5401" s="26" t="s">
        <v>200</v>
      </c>
      <c r="B5401" s="26" t="s">
        <v>236</v>
      </c>
      <c r="C5401" s="26" t="s">
        <v>1232</v>
      </c>
      <c r="D5401" s="27">
        <v>0.50790000000000002</v>
      </c>
      <c r="E5401" s="27">
        <v>0.70079999999999998</v>
      </c>
      <c r="F5401" s="27">
        <v>0.86009999999999998</v>
      </c>
      <c r="G5401" s="27">
        <v>1</v>
      </c>
      <c r="H5401" s="27">
        <v>1</v>
      </c>
      <c r="I5401" s="26">
        <v>9</v>
      </c>
      <c r="J5401" s="26">
        <v>22</v>
      </c>
      <c r="K5401" s="26">
        <v>879</v>
      </c>
    </row>
    <row r="5402" spans="1:17" s="26" customFormat="1">
      <c r="A5402" s="26" t="s">
        <v>200</v>
      </c>
      <c r="B5402" s="26" t="s">
        <v>236</v>
      </c>
      <c r="C5402" s="26" t="s">
        <v>1233</v>
      </c>
      <c r="D5402" s="27">
        <v>0.49209999999999998</v>
      </c>
      <c r="E5402" s="27">
        <v>0.29920000000000002</v>
      </c>
      <c r="F5402" s="27">
        <v>0.1399</v>
      </c>
      <c r="I5402" s="26">
        <v>9</v>
      </c>
      <c r="J5402" s="26">
        <v>22</v>
      </c>
      <c r="K5402" s="26">
        <v>879</v>
      </c>
    </row>
    <row r="5403" spans="1:17">
      <c r="A5403" t="s">
        <v>200</v>
      </c>
      <c r="B5403" t="s">
        <v>235</v>
      </c>
      <c r="C5403" t="s">
        <v>1232</v>
      </c>
      <c r="D5403" s="1">
        <v>0.48010000000000003</v>
      </c>
      <c r="E5403" s="1">
        <v>0.5272</v>
      </c>
      <c r="F5403" s="1">
        <v>0.98470000000000002</v>
      </c>
      <c r="G5403" s="1">
        <v>0.98499999999999999</v>
      </c>
      <c r="H5403" s="1">
        <v>0.98160000000000003</v>
      </c>
      <c r="I5403">
        <v>11</v>
      </c>
      <c r="J5403">
        <v>44</v>
      </c>
      <c r="K5403">
        <v>879</v>
      </c>
    </row>
    <row r="5404" spans="1:17">
      <c r="A5404" t="s">
        <v>200</v>
      </c>
      <c r="B5404" t="s">
        <v>235</v>
      </c>
      <c r="C5404" t="s">
        <v>1233</v>
      </c>
      <c r="D5404" s="1">
        <v>0.51990000000000003</v>
      </c>
      <c r="E5404" s="1">
        <v>0.4728</v>
      </c>
      <c r="F5404" s="1">
        <v>1.5299999999999999E-2</v>
      </c>
      <c r="G5404" s="1">
        <v>1.4999999999999999E-2</v>
      </c>
      <c r="H5404" s="1">
        <v>1.84E-2</v>
      </c>
      <c r="I5404">
        <v>11</v>
      </c>
      <c r="J5404">
        <v>44</v>
      </c>
      <c r="K5404">
        <v>879</v>
      </c>
    </row>
    <row r="5405" spans="1:17">
      <c r="A5405" t="s">
        <v>201</v>
      </c>
      <c r="B5405" t="s">
        <v>235</v>
      </c>
      <c r="C5405" t="s">
        <v>1232</v>
      </c>
      <c r="D5405" s="1">
        <v>0.56989999999999996</v>
      </c>
      <c r="E5405" s="1">
        <v>0.8851</v>
      </c>
      <c r="F5405" s="1">
        <v>0.83909999999999996</v>
      </c>
      <c r="G5405" s="1">
        <v>0.86670000000000003</v>
      </c>
      <c r="H5405" s="1">
        <v>0.89410000000000001</v>
      </c>
      <c r="I5405">
        <v>139</v>
      </c>
      <c r="J5405">
        <v>93</v>
      </c>
      <c r="K5405">
        <v>879</v>
      </c>
    </row>
    <row r="5406" spans="1:17">
      <c r="A5406" t="s">
        <v>201</v>
      </c>
      <c r="B5406" t="s">
        <v>235</v>
      </c>
      <c r="C5406" t="s">
        <v>1233</v>
      </c>
      <c r="D5406" s="1">
        <v>0.43009999999999998</v>
      </c>
      <c r="E5406" s="1">
        <v>0.1149</v>
      </c>
      <c r="F5406" s="1">
        <v>0.16089999999999999</v>
      </c>
      <c r="G5406" s="1">
        <v>0.1333</v>
      </c>
      <c r="H5406" s="1">
        <v>0.10589999999999999</v>
      </c>
      <c r="I5406">
        <v>139</v>
      </c>
      <c r="J5406">
        <v>93</v>
      </c>
      <c r="K5406">
        <v>879</v>
      </c>
    </row>
    <row r="5407" spans="1:17">
      <c r="A5407" t="s">
        <v>202</v>
      </c>
      <c r="B5407" t="s">
        <v>236</v>
      </c>
      <c r="C5407" t="s">
        <v>1232</v>
      </c>
      <c r="D5407" s="1">
        <v>0.57330000000000003</v>
      </c>
      <c r="E5407" s="1">
        <v>0.8982</v>
      </c>
      <c r="F5407" s="1">
        <v>0.89239999999999997</v>
      </c>
      <c r="G5407" s="1">
        <v>0.94530000000000003</v>
      </c>
      <c r="H5407" s="1">
        <v>0.89480000000000004</v>
      </c>
      <c r="I5407">
        <v>38</v>
      </c>
      <c r="J5407">
        <v>31</v>
      </c>
      <c r="K5407">
        <v>879</v>
      </c>
    </row>
    <row r="5408" spans="1:17">
      <c r="A5408" t="s">
        <v>202</v>
      </c>
      <c r="B5408" t="s">
        <v>236</v>
      </c>
      <c r="C5408" t="s">
        <v>1233</v>
      </c>
      <c r="D5408" s="1">
        <v>0.42670000000000002</v>
      </c>
      <c r="E5408" s="1">
        <v>0.1018</v>
      </c>
      <c r="F5408" s="1">
        <v>0.1076</v>
      </c>
      <c r="G5408" s="1">
        <v>5.4699999999999999E-2</v>
      </c>
      <c r="H5408" s="1">
        <v>0.1052</v>
      </c>
      <c r="I5408">
        <v>38</v>
      </c>
      <c r="J5408">
        <v>31</v>
      </c>
      <c r="K5408">
        <v>879</v>
      </c>
    </row>
    <row r="5409" spans="1:11">
      <c r="A5409" t="s">
        <v>202</v>
      </c>
      <c r="B5409" t="s">
        <v>235</v>
      </c>
      <c r="C5409" t="s">
        <v>1232</v>
      </c>
      <c r="D5409" s="1">
        <v>0.48220000000000002</v>
      </c>
      <c r="E5409" s="1">
        <v>0.91269999999999996</v>
      </c>
      <c r="F5409" s="1">
        <v>0.86270000000000002</v>
      </c>
      <c r="G5409" s="1">
        <v>0.86199999999999999</v>
      </c>
      <c r="H5409" s="1">
        <v>0.87890000000000001</v>
      </c>
      <c r="I5409">
        <v>60</v>
      </c>
      <c r="J5409">
        <v>56</v>
      </c>
      <c r="K5409">
        <v>879</v>
      </c>
    </row>
    <row r="5410" spans="1:11">
      <c r="A5410" t="s">
        <v>202</v>
      </c>
      <c r="B5410" t="s">
        <v>235</v>
      </c>
      <c r="C5410" t="s">
        <v>1233</v>
      </c>
      <c r="D5410" s="1">
        <v>0.51780000000000004</v>
      </c>
      <c r="E5410" s="1">
        <v>8.7300000000000003E-2</v>
      </c>
      <c r="F5410" s="1">
        <v>0.13730000000000001</v>
      </c>
      <c r="G5410" s="1">
        <v>0.13800000000000001</v>
      </c>
      <c r="H5410" s="1">
        <v>0.1211</v>
      </c>
      <c r="I5410">
        <v>60</v>
      </c>
      <c r="J5410">
        <v>56</v>
      </c>
      <c r="K5410">
        <v>879</v>
      </c>
    </row>
    <row r="5411" spans="1:11" s="26" customFormat="1">
      <c r="A5411" s="26" t="s">
        <v>203</v>
      </c>
      <c r="B5411" s="26" t="s">
        <v>236</v>
      </c>
      <c r="C5411" s="26" t="s">
        <v>1232</v>
      </c>
      <c r="D5411" s="27">
        <v>0.33279999999999998</v>
      </c>
      <c r="E5411" s="27">
        <v>0.75049999999999994</v>
      </c>
      <c r="F5411" s="27">
        <v>0.67269999999999996</v>
      </c>
      <c r="G5411" s="27">
        <v>0.89129999999999998</v>
      </c>
      <c r="H5411" s="27">
        <v>0.78939999999999999</v>
      </c>
      <c r="I5411" s="26">
        <v>7</v>
      </c>
      <c r="J5411" s="26">
        <v>28</v>
      </c>
      <c r="K5411" s="26">
        <v>879</v>
      </c>
    </row>
    <row r="5412" spans="1:11" s="26" customFormat="1">
      <c r="A5412" s="26" t="s">
        <v>203</v>
      </c>
      <c r="B5412" s="26" t="s">
        <v>236</v>
      </c>
      <c r="C5412" s="26" t="s">
        <v>1233</v>
      </c>
      <c r="D5412" s="27">
        <v>0.66720000000000002</v>
      </c>
      <c r="E5412" s="27">
        <v>0.2495</v>
      </c>
      <c r="F5412" s="27">
        <v>0.32729999999999998</v>
      </c>
      <c r="G5412" s="27">
        <v>0.1087</v>
      </c>
      <c r="H5412" s="27">
        <v>0.21060000000000001</v>
      </c>
      <c r="I5412" s="26">
        <v>7</v>
      </c>
      <c r="J5412" s="26">
        <v>28</v>
      </c>
      <c r="K5412" s="26">
        <v>879</v>
      </c>
    </row>
    <row r="5413" spans="1:11">
      <c r="A5413" t="s">
        <v>203</v>
      </c>
      <c r="B5413" t="s">
        <v>235</v>
      </c>
      <c r="C5413" t="s">
        <v>1232</v>
      </c>
      <c r="D5413" s="1">
        <v>0.45479999999999998</v>
      </c>
      <c r="E5413" s="1">
        <v>0.55510000000000004</v>
      </c>
      <c r="F5413" s="1">
        <v>0.88580000000000003</v>
      </c>
      <c r="G5413" s="1">
        <v>0.74609999999999999</v>
      </c>
      <c r="H5413" s="1">
        <v>0.81589999999999996</v>
      </c>
      <c r="I5413">
        <v>14</v>
      </c>
      <c r="J5413">
        <v>35</v>
      </c>
      <c r="K5413">
        <v>879</v>
      </c>
    </row>
    <row r="5414" spans="1:11">
      <c r="A5414" t="s">
        <v>203</v>
      </c>
      <c r="B5414" t="s">
        <v>235</v>
      </c>
      <c r="C5414" t="s">
        <v>1233</v>
      </c>
      <c r="D5414" s="1">
        <v>0.54520000000000002</v>
      </c>
      <c r="E5414" s="1">
        <v>0.44490000000000002</v>
      </c>
      <c r="F5414" s="1">
        <v>0.1142</v>
      </c>
      <c r="G5414" s="1">
        <v>0.25390000000000001</v>
      </c>
      <c r="H5414" s="1">
        <v>0.18410000000000001</v>
      </c>
      <c r="I5414">
        <v>14</v>
      </c>
      <c r="J5414">
        <v>35</v>
      </c>
      <c r="K5414">
        <v>879</v>
      </c>
    </row>
    <row r="5415" spans="1:11" s="26" customFormat="1">
      <c r="A5415" s="26" t="s">
        <v>205</v>
      </c>
      <c r="B5415" s="26" t="s">
        <v>236</v>
      </c>
      <c r="C5415" s="26" t="s">
        <v>1232</v>
      </c>
      <c r="D5415" s="27">
        <v>0.57450000000000001</v>
      </c>
      <c r="E5415" s="27">
        <v>0.85980000000000001</v>
      </c>
      <c r="F5415" s="27">
        <v>0.78339999999999999</v>
      </c>
      <c r="G5415" s="27">
        <v>0.87229999999999996</v>
      </c>
      <c r="H5415" s="27">
        <v>0.82120000000000004</v>
      </c>
      <c r="I5415" s="26">
        <v>25</v>
      </c>
      <c r="J5415" s="26">
        <v>28</v>
      </c>
      <c r="K5415" s="26">
        <v>879</v>
      </c>
    </row>
    <row r="5416" spans="1:11" s="26" customFormat="1">
      <c r="A5416" s="26" t="s">
        <v>205</v>
      </c>
      <c r="B5416" s="26" t="s">
        <v>236</v>
      </c>
      <c r="C5416" s="26" t="s">
        <v>1233</v>
      </c>
      <c r="D5416" s="27">
        <v>0.42549999999999999</v>
      </c>
      <c r="E5416" s="27">
        <v>0.14019999999999999</v>
      </c>
      <c r="F5416" s="27">
        <v>0.21659999999999999</v>
      </c>
      <c r="G5416" s="27">
        <v>0.12770000000000001</v>
      </c>
      <c r="H5416" s="27">
        <v>0.17879999999999999</v>
      </c>
      <c r="I5416" s="26">
        <v>25</v>
      </c>
      <c r="J5416" s="26">
        <v>28</v>
      </c>
      <c r="K5416" s="26">
        <v>879</v>
      </c>
    </row>
    <row r="5417" spans="1:11">
      <c r="A5417" t="s">
        <v>205</v>
      </c>
      <c r="B5417" t="s">
        <v>235</v>
      </c>
      <c r="C5417" t="s">
        <v>1232</v>
      </c>
      <c r="D5417" s="1">
        <v>0.45040000000000002</v>
      </c>
      <c r="E5417" s="1">
        <v>0.90880000000000005</v>
      </c>
      <c r="F5417" s="1">
        <v>0.83630000000000004</v>
      </c>
      <c r="G5417" s="1">
        <v>0.95509999999999995</v>
      </c>
      <c r="H5417" s="1">
        <v>0.92430000000000001</v>
      </c>
      <c r="I5417">
        <v>120</v>
      </c>
      <c r="J5417">
        <v>55</v>
      </c>
      <c r="K5417">
        <v>879</v>
      </c>
    </row>
    <row r="5418" spans="1:11">
      <c r="A5418" t="s">
        <v>205</v>
      </c>
      <c r="B5418" t="s">
        <v>235</v>
      </c>
      <c r="C5418" t="s">
        <v>1233</v>
      </c>
      <c r="D5418" s="1">
        <v>0.54959999999999998</v>
      </c>
      <c r="E5418" s="1">
        <v>9.1200000000000003E-2</v>
      </c>
      <c r="F5418" s="1">
        <v>0.16370000000000001</v>
      </c>
      <c r="G5418" s="1">
        <v>4.4900000000000002E-2</v>
      </c>
      <c r="H5418" s="1">
        <v>7.5700000000000003E-2</v>
      </c>
      <c r="I5418">
        <v>120</v>
      </c>
      <c r="J5418">
        <v>55</v>
      </c>
      <c r="K5418">
        <v>879</v>
      </c>
    </row>
    <row r="5419" spans="1:11" s="26" customFormat="1">
      <c r="A5419" s="26" t="s">
        <v>206</v>
      </c>
      <c r="B5419" s="26" t="s">
        <v>236</v>
      </c>
      <c r="C5419" s="26" t="s">
        <v>1232</v>
      </c>
      <c r="D5419" s="27">
        <v>0.42259999999999998</v>
      </c>
      <c r="E5419" s="27">
        <v>0.54820000000000002</v>
      </c>
      <c r="F5419" s="27">
        <v>0.62339999999999995</v>
      </c>
      <c r="G5419" s="27">
        <v>0.7157</v>
      </c>
      <c r="H5419" s="27">
        <v>0.61040000000000005</v>
      </c>
      <c r="I5419" s="26">
        <v>2</v>
      </c>
      <c r="J5419" s="26">
        <v>17</v>
      </c>
      <c r="K5419" s="26">
        <v>879</v>
      </c>
    </row>
    <row r="5420" spans="1:11" s="26" customFormat="1">
      <c r="A5420" s="26" t="s">
        <v>206</v>
      </c>
      <c r="B5420" s="26" t="s">
        <v>236</v>
      </c>
      <c r="C5420" s="26" t="s">
        <v>1233</v>
      </c>
      <c r="D5420" s="27">
        <v>0.57740000000000002</v>
      </c>
      <c r="E5420" s="27">
        <v>0.45179999999999998</v>
      </c>
      <c r="F5420" s="27">
        <v>0.37659999999999999</v>
      </c>
      <c r="G5420" s="27">
        <v>0.2843</v>
      </c>
      <c r="H5420" s="27">
        <v>0.3896</v>
      </c>
      <c r="I5420" s="26">
        <v>2</v>
      </c>
      <c r="J5420" s="26">
        <v>17</v>
      </c>
      <c r="K5420" s="26">
        <v>879</v>
      </c>
    </row>
    <row r="5421" spans="1:11">
      <c r="A5421" t="s">
        <v>206</v>
      </c>
      <c r="B5421" t="s">
        <v>235</v>
      </c>
      <c r="C5421" t="s">
        <v>1232</v>
      </c>
      <c r="D5421" s="1">
        <v>0.45269999999999999</v>
      </c>
      <c r="E5421" s="1">
        <v>0.85360000000000003</v>
      </c>
      <c r="F5421" s="1">
        <v>0.7782</v>
      </c>
      <c r="G5421" s="1">
        <v>0.80010000000000003</v>
      </c>
      <c r="H5421" s="1">
        <v>0.83789999999999998</v>
      </c>
      <c r="I5421">
        <v>5</v>
      </c>
      <c r="J5421">
        <v>39</v>
      </c>
      <c r="K5421">
        <v>879</v>
      </c>
    </row>
    <row r="5422" spans="1:11">
      <c r="A5422" t="s">
        <v>206</v>
      </c>
      <c r="B5422" t="s">
        <v>235</v>
      </c>
      <c r="C5422" t="s">
        <v>1233</v>
      </c>
      <c r="D5422" s="1">
        <v>0.54730000000000001</v>
      </c>
      <c r="E5422" s="1">
        <v>0.1464</v>
      </c>
      <c r="F5422" s="1">
        <v>0.2218</v>
      </c>
      <c r="G5422" s="1">
        <v>0.19989999999999999</v>
      </c>
      <c r="H5422" s="1">
        <v>0.16209999999999999</v>
      </c>
      <c r="I5422">
        <v>5</v>
      </c>
      <c r="J5422">
        <v>39</v>
      </c>
      <c r="K5422">
        <v>879</v>
      </c>
    </row>
    <row r="5423" spans="1:11">
      <c r="A5423" t="s">
        <v>207</v>
      </c>
      <c r="B5423" t="s">
        <v>236</v>
      </c>
      <c r="C5423" t="s">
        <v>1232</v>
      </c>
      <c r="D5423" s="1">
        <v>0.72189999999999999</v>
      </c>
      <c r="E5423" s="1">
        <v>0.75070000000000003</v>
      </c>
      <c r="F5423" s="1">
        <v>0.88149999999999995</v>
      </c>
      <c r="G5423" s="1">
        <v>0.89739999999999998</v>
      </c>
      <c r="H5423" s="1">
        <v>0.89829999999999999</v>
      </c>
      <c r="I5423">
        <v>46</v>
      </c>
      <c r="J5423">
        <v>79</v>
      </c>
      <c r="K5423">
        <v>879</v>
      </c>
    </row>
    <row r="5424" spans="1:11">
      <c r="A5424" t="s">
        <v>207</v>
      </c>
      <c r="B5424" t="s">
        <v>236</v>
      </c>
      <c r="C5424" t="s">
        <v>1233</v>
      </c>
      <c r="D5424" s="1">
        <v>0.27810000000000001</v>
      </c>
      <c r="E5424" s="1">
        <v>0.24929999999999999</v>
      </c>
      <c r="F5424" s="1">
        <v>0.11849999999999999</v>
      </c>
      <c r="G5424" s="1">
        <v>0.1026</v>
      </c>
      <c r="H5424" s="1">
        <v>0.1017</v>
      </c>
      <c r="I5424">
        <v>46</v>
      </c>
      <c r="J5424">
        <v>79</v>
      </c>
      <c r="K5424">
        <v>879</v>
      </c>
    </row>
    <row r="5425" spans="1:11">
      <c r="A5425" t="s">
        <v>207</v>
      </c>
      <c r="B5425" t="s">
        <v>235</v>
      </c>
      <c r="C5425" t="s">
        <v>1232</v>
      </c>
      <c r="D5425" s="1">
        <v>0.39660000000000001</v>
      </c>
      <c r="E5425" s="1">
        <v>0.73970000000000002</v>
      </c>
      <c r="F5425" s="1">
        <v>0.90680000000000005</v>
      </c>
      <c r="G5425" s="1">
        <v>0.91620000000000001</v>
      </c>
      <c r="H5425" s="1">
        <v>0.99160000000000004</v>
      </c>
      <c r="I5425">
        <v>61</v>
      </c>
      <c r="J5425">
        <v>38</v>
      </c>
      <c r="K5425">
        <v>879</v>
      </c>
    </row>
    <row r="5426" spans="1:11">
      <c r="A5426" t="s">
        <v>207</v>
      </c>
      <c r="B5426" t="s">
        <v>235</v>
      </c>
      <c r="C5426" t="s">
        <v>1233</v>
      </c>
      <c r="D5426" s="1">
        <v>0.60340000000000005</v>
      </c>
      <c r="E5426" s="1">
        <v>0.26029999999999998</v>
      </c>
      <c r="F5426" s="1">
        <v>9.3200000000000005E-2</v>
      </c>
      <c r="G5426" s="1">
        <v>8.3799999999999999E-2</v>
      </c>
      <c r="H5426" s="1">
        <v>8.3999999999999995E-3</v>
      </c>
      <c r="I5426">
        <v>61</v>
      </c>
      <c r="J5426">
        <v>38</v>
      </c>
      <c r="K5426">
        <v>879</v>
      </c>
    </row>
    <row r="5427" spans="1:11" s="26" customFormat="1">
      <c r="A5427" s="26" t="s">
        <v>208</v>
      </c>
      <c r="B5427" s="26" t="s">
        <v>236</v>
      </c>
      <c r="C5427" s="26" t="s">
        <v>1232</v>
      </c>
      <c r="D5427" s="27">
        <v>0.3</v>
      </c>
      <c r="E5427" s="27">
        <v>0.81820000000000004</v>
      </c>
      <c r="F5427" s="27">
        <v>0.8</v>
      </c>
      <c r="G5427" s="27">
        <v>0.63639999999999997</v>
      </c>
      <c r="H5427" s="27">
        <v>0.81820000000000004</v>
      </c>
      <c r="I5427" s="26">
        <v>7</v>
      </c>
      <c r="J5427" s="26">
        <v>10</v>
      </c>
      <c r="K5427" s="26">
        <v>879</v>
      </c>
    </row>
    <row r="5428" spans="1:11" s="26" customFormat="1">
      <c r="A5428" s="26" t="s">
        <v>208</v>
      </c>
      <c r="B5428" s="26" t="s">
        <v>236</v>
      </c>
      <c r="C5428" s="26" t="s">
        <v>1233</v>
      </c>
      <c r="D5428" s="27">
        <v>0.7</v>
      </c>
      <c r="E5428" s="27">
        <v>0.18179999999999999</v>
      </c>
      <c r="F5428" s="27">
        <v>0.2</v>
      </c>
      <c r="G5428" s="27">
        <v>0.36359999999999998</v>
      </c>
      <c r="H5428" s="27">
        <v>0.18179999999999999</v>
      </c>
      <c r="I5428" s="26">
        <v>7</v>
      </c>
      <c r="J5428" s="26">
        <v>10</v>
      </c>
      <c r="K5428" s="26">
        <v>879</v>
      </c>
    </row>
    <row r="5429" spans="1:11">
      <c r="A5429" t="s">
        <v>208</v>
      </c>
      <c r="B5429" t="s">
        <v>235</v>
      </c>
      <c r="C5429" t="s">
        <v>1232</v>
      </c>
      <c r="D5429" s="1">
        <v>0.26319999999999999</v>
      </c>
      <c r="E5429" s="1">
        <v>0.71699999999999997</v>
      </c>
      <c r="F5429" s="1">
        <v>0.73080000000000001</v>
      </c>
      <c r="G5429" s="1">
        <v>0.77780000000000005</v>
      </c>
      <c r="H5429" s="1">
        <v>0.81130000000000002</v>
      </c>
      <c r="I5429">
        <v>37</v>
      </c>
      <c r="J5429">
        <v>57</v>
      </c>
      <c r="K5429">
        <v>879</v>
      </c>
    </row>
    <row r="5430" spans="1:11">
      <c r="A5430" t="s">
        <v>208</v>
      </c>
      <c r="B5430" t="s">
        <v>235</v>
      </c>
      <c r="C5430" t="s">
        <v>1233</v>
      </c>
      <c r="D5430" s="1">
        <v>0.73680000000000001</v>
      </c>
      <c r="E5430" s="1">
        <v>0.28299999999999997</v>
      </c>
      <c r="F5430" s="1">
        <v>0.26919999999999999</v>
      </c>
      <c r="G5430" s="1">
        <v>0.22220000000000001</v>
      </c>
      <c r="H5430" s="1">
        <v>0.18870000000000001</v>
      </c>
      <c r="I5430">
        <v>37</v>
      </c>
      <c r="J5430">
        <v>57</v>
      </c>
      <c r="K5430">
        <v>879</v>
      </c>
    </row>
    <row r="5431" spans="1:11">
      <c r="A5431" t="s">
        <v>210</v>
      </c>
      <c r="B5431" t="s">
        <v>236</v>
      </c>
      <c r="C5431" t="s">
        <v>1232</v>
      </c>
      <c r="D5431" s="1">
        <v>0.62290000000000001</v>
      </c>
      <c r="E5431" s="1">
        <v>0.78820000000000001</v>
      </c>
      <c r="F5431" s="1">
        <v>0.87790000000000001</v>
      </c>
      <c r="G5431" s="1">
        <v>0.82169999999999999</v>
      </c>
      <c r="H5431" s="1">
        <v>0.88109999999999999</v>
      </c>
      <c r="I5431">
        <v>2</v>
      </c>
      <c r="J5431">
        <v>33</v>
      </c>
      <c r="K5431">
        <v>879</v>
      </c>
    </row>
    <row r="5432" spans="1:11">
      <c r="A5432" t="s">
        <v>210</v>
      </c>
      <c r="B5432" t="s">
        <v>236</v>
      </c>
      <c r="C5432" t="s">
        <v>1233</v>
      </c>
      <c r="D5432" s="1">
        <v>0.37709999999999999</v>
      </c>
      <c r="E5432" s="1">
        <v>0.21179999999999999</v>
      </c>
      <c r="F5432" s="1">
        <v>0.1221</v>
      </c>
      <c r="G5432" s="1">
        <v>0.17829999999999999</v>
      </c>
      <c r="H5432" s="1">
        <v>0.11890000000000001</v>
      </c>
      <c r="I5432">
        <v>2</v>
      </c>
      <c r="J5432">
        <v>33</v>
      </c>
      <c r="K5432">
        <v>879</v>
      </c>
    </row>
    <row r="5433" spans="1:11" s="26" customFormat="1">
      <c r="A5433" s="26" t="s">
        <v>210</v>
      </c>
      <c r="B5433" s="26" t="s">
        <v>235</v>
      </c>
      <c r="C5433" s="26" t="s">
        <v>1232</v>
      </c>
      <c r="D5433" s="27">
        <v>0.52890000000000004</v>
      </c>
      <c r="E5433" s="27">
        <v>0.92290000000000005</v>
      </c>
      <c r="F5433" s="27">
        <v>0.81110000000000004</v>
      </c>
      <c r="G5433" s="27">
        <v>0.93540000000000001</v>
      </c>
      <c r="H5433" s="27">
        <v>0.78159999999999996</v>
      </c>
      <c r="I5433" s="26">
        <v>2</v>
      </c>
      <c r="J5433" s="26">
        <v>26</v>
      </c>
      <c r="K5433" s="26">
        <v>879</v>
      </c>
    </row>
    <row r="5434" spans="1:11" s="26" customFormat="1">
      <c r="A5434" s="26" t="s">
        <v>210</v>
      </c>
      <c r="B5434" s="26" t="s">
        <v>235</v>
      </c>
      <c r="C5434" s="26" t="s">
        <v>1233</v>
      </c>
      <c r="D5434" s="27">
        <v>0.47110000000000002</v>
      </c>
      <c r="E5434" s="27">
        <v>7.7100000000000002E-2</v>
      </c>
      <c r="F5434" s="27">
        <v>0.18890000000000001</v>
      </c>
      <c r="G5434" s="27">
        <v>6.4600000000000005E-2</v>
      </c>
      <c r="H5434" s="27">
        <v>0.21840000000000001</v>
      </c>
      <c r="I5434" s="26">
        <v>2</v>
      </c>
      <c r="J5434" s="26">
        <v>26</v>
      </c>
      <c r="K5434" s="26">
        <v>879</v>
      </c>
    </row>
    <row r="5435" spans="1:11">
      <c r="A5435" t="s">
        <v>211</v>
      </c>
      <c r="B5435" t="s">
        <v>236</v>
      </c>
      <c r="C5435" t="s">
        <v>1232</v>
      </c>
      <c r="D5435" s="1">
        <v>0.40689999999999998</v>
      </c>
      <c r="E5435" s="1">
        <v>0.63970000000000005</v>
      </c>
      <c r="F5435" s="1">
        <v>0.79020000000000001</v>
      </c>
      <c r="G5435" s="1">
        <v>0.76629999999999998</v>
      </c>
      <c r="H5435" s="1">
        <v>0.94710000000000005</v>
      </c>
      <c r="I5435">
        <v>12</v>
      </c>
      <c r="J5435">
        <v>36</v>
      </c>
      <c r="K5435">
        <v>879</v>
      </c>
    </row>
    <row r="5436" spans="1:11">
      <c r="A5436" t="s">
        <v>211</v>
      </c>
      <c r="B5436" t="s">
        <v>236</v>
      </c>
      <c r="C5436" t="s">
        <v>1233</v>
      </c>
      <c r="D5436" s="1">
        <v>0.59309999999999996</v>
      </c>
      <c r="E5436" s="1">
        <v>0.36030000000000001</v>
      </c>
      <c r="F5436" s="1">
        <v>0.20979999999999999</v>
      </c>
      <c r="G5436" s="1">
        <v>0.23369999999999999</v>
      </c>
      <c r="H5436" s="1">
        <v>5.2900000000000003E-2</v>
      </c>
      <c r="I5436">
        <v>12</v>
      </c>
      <c r="J5436">
        <v>36</v>
      </c>
      <c r="K5436">
        <v>879</v>
      </c>
    </row>
    <row r="5437" spans="1:11">
      <c r="A5437" t="s">
        <v>211</v>
      </c>
      <c r="B5437" t="s">
        <v>235</v>
      </c>
      <c r="C5437" t="s">
        <v>1232</v>
      </c>
      <c r="D5437" s="1">
        <v>0.50070000000000003</v>
      </c>
      <c r="E5437" s="1">
        <v>0.75839999999999996</v>
      </c>
      <c r="F5437" s="1">
        <v>0.77349999999999997</v>
      </c>
      <c r="G5437" s="1">
        <v>0.88029999999999997</v>
      </c>
      <c r="H5437" s="1">
        <v>0.84330000000000005</v>
      </c>
      <c r="I5437">
        <v>21</v>
      </c>
      <c r="J5437">
        <v>55</v>
      </c>
      <c r="K5437">
        <v>879</v>
      </c>
    </row>
    <row r="5438" spans="1:11">
      <c r="A5438" t="s">
        <v>211</v>
      </c>
      <c r="B5438" t="s">
        <v>235</v>
      </c>
      <c r="C5438" t="s">
        <v>1233</v>
      </c>
      <c r="D5438" s="1">
        <v>0.49930000000000002</v>
      </c>
      <c r="E5438" s="1">
        <v>0.24160000000000001</v>
      </c>
      <c r="F5438" s="1">
        <v>0.22650000000000001</v>
      </c>
      <c r="G5438" s="1">
        <v>0.1197</v>
      </c>
      <c r="H5438" s="1">
        <v>0.15670000000000001</v>
      </c>
      <c r="I5438">
        <v>21</v>
      </c>
      <c r="J5438">
        <v>55</v>
      </c>
      <c r="K5438">
        <v>879</v>
      </c>
    </row>
    <row r="5439" spans="1:11" s="26" customFormat="1">
      <c r="A5439" s="26" t="s">
        <v>212</v>
      </c>
      <c r="B5439" s="26" t="s">
        <v>236</v>
      </c>
      <c r="C5439" s="26" t="s">
        <v>1232</v>
      </c>
      <c r="D5439" s="27">
        <v>0.24410000000000001</v>
      </c>
      <c r="E5439" s="27">
        <v>0.84089999999999998</v>
      </c>
      <c r="F5439" s="27">
        <v>0.97709999999999997</v>
      </c>
      <c r="G5439" s="27">
        <v>0.92669999999999997</v>
      </c>
      <c r="H5439" s="27">
        <v>1</v>
      </c>
      <c r="I5439" s="26">
        <v>11</v>
      </c>
      <c r="J5439" s="26">
        <v>17</v>
      </c>
      <c r="K5439" s="26">
        <v>879</v>
      </c>
    </row>
    <row r="5440" spans="1:11" s="26" customFormat="1">
      <c r="A5440" s="26" t="s">
        <v>212</v>
      </c>
      <c r="B5440" s="26" t="s">
        <v>236</v>
      </c>
      <c r="C5440" s="26" t="s">
        <v>1233</v>
      </c>
      <c r="D5440" s="27">
        <v>0.75590000000000002</v>
      </c>
      <c r="E5440" s="27">
        <v>0.15909999999999999</v>
      </c>
      <c r="F5440" s="27">
        <v>2.29E-2</v>
      </c>
      <c r="G5440" s="27">
        <v>7.3300000000000004E-2</v>
      </c>
      <c r="I5440" s="26">
        <v>11</v>
      </c>
      <c r="J5440" s="26">
        <v>17</v>
      </c>
      <c r="K5440" s="26">
        <v>879</v>
      </c>
    </row>
    <row r="5441" spans="1:11">
      <c r="A5441" t="s">
        <v>212</v>
      </c>
      <c r="B5441" t="s">
        <v>235</v>
      </c>
      <c r="C5441" t="s">
        <v>1232</v>
      </c>
      <c r="D5441" s="1">
        <v>0.38119999999999998</v>
      </c>
      <c r="E5441" s="1">
        <v>0.81859999999999999</v>
      </c>
      <c r="F5441" s="1">
        <v>0.78200000000000003</v>
      </c>
      <c r="G5441" s="1">
        <v>0.66859999999999997</v>
      </c>
      <c r="H5441" s="1">
        <v>0.75180000000000002</v>
      </c>
      <c r="I5441">
        <v>66</v>
      </c>
      <c r="J5441">
        <v>63</v>
      </c>
      <c r="K5441">
        <v>879</v>
      </c>
    </row>
    <row r="5442" spans="1:11">
      <c r="A5442" t="s">
        <v>212</v>
      </c>
      <c r="B5442" t="s">
        <v>235</v>
      </c>
      <c r="C5442" t="s">
        <v>1233</v>
      </c>
      <c r="D5442" s="1">
        <v>0.61880000000000002</v>
      </c>
      <c r="E5442" s="1">
        <v>0.18140000000000001</v>
      </c>
      <c r="F5442" s="1">
        <v>0.218</v>
      </c>
      <c r="G5442" s="1">
        <v>0.33139999999999997</v>
      </c>
      <c r="H5442" s="1">
        <v>0.2482</v>
      </c>
      <c r="I5442">
        <v>66</v>
      </c>
      <c r="J5442">
        <v>63</v>
      </c>
      <c r="K5442">
        <v>879</v>
      </c>
    </row>
  </sheetData>
  <autoFilter ref="A1:BC5442" xr:uid="{00000000-0001-0000-0100-000000000000}"/>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5"/>
  <sheetData/>
  <pageMargins left="0.75" right="0.75" top="1" bottom="1" header="0.5" footer="0.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93A2E158ED92647AF4EE09E30C26EE1" ma:contentTypeVersion="15" ma:contentTypeDescription="Crée un document." ma:contentTypeScope="" ma:versionID="8613280934e54dd97320f0fb3b0482c0">
  <xsd:schema xmlns:xsd="http://www.w3.org/2001/XMLSchema" xmlns:xs="http://www.w3.org/2001/XMLSchema" xmlns:p="http://schemas.microsoft.com/office/2006/metadata/properties" xmlns:ns2="c228d1bd-650e-48eb-9f39-f684bd7bd257" xmlns:ns3="fa0b5fe5-391f-41b6-811a-90e0518c7af2" targetNamespace="http://schemas.microsoft.com/office/2006/metadata/properties" ma:root="true" ma:fieldsID="b173159dc18dd73eb575c3732c5504c5" ns2:_="" ns3:_="">
    <xsd:import namespace="c228d1bd-650e-48eb-9f39-f684bd7bd257"/>
    <xsd:import namespace="fa0b5fe5-391f-41b6-811a-90e0518c7af2"/>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28d1bd-650e-48eb-9f39-f684bd7bd2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Balises d’images" ma:readOnly="false" ma:fieldId="{5cf76f15-5ced-4ddc-b409-7134ff3c332f}" ma:taxonomyMulti="true" ma:sspId="4d06f0b5-5743-41f2-90d3-b12c8ffc7f36"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a0b5fe5-391f-41b6-811a-90e0518c7af2"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19467c31-3563-4463-b194-9d16e3020301}" ma:internalName="TaxCatchAll" ma:showField="CatchAllData" ma:web="fa0b5fe5-391f-41b6-811a-90e0518c7af2">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228d1bd-650e-48eb-9f39-f684bd7bd257">
      <Terms xmlns="http://schemas.microsoft.com/office/infopath/2007/PartnerControls"/>
    </lcf76f155ced4ddcb4097134ff3c332f>
    <TaxCatchAll xmlns="fa0b5fe5-391f-41b6-811a-90e0518c7af2"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2143E9B-A7A3-45CE-8280-54F11CDE3889}"/>
</file>

<file path=customXml/itemProps2.xml><?xml version="1.0" encoding="utf-8"?>
<ds:datastoreItem xmlns:ds="http://schemas.openxmlformats.org/officeDocument/2006/customXml" ds:itemID="{6D894206-00F4-497B-BAC2-2B430F0C4C65}"/>
</file>

<file path=customXml/itemProps3.xml><?xml version="1.0" encoding="utf-8"?>
<ds:datastoreItem xmlns:ds="http://schemas.openxmlformats.org/officeDocument/2006/customXml" ds:itemID="{837EA5DF-EF58-4911-AA00-43D30DAA8A2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Mackenzie SEAMAN</cp:lastModifiedBy>
  <cp:revision/>
  <dcterms:created xsi:type="dcterms:W3CDTF">2024-09-13T11:16:59Z</dcterms:created>
  <dcterms:modified xsi:type="dcterms:W3CDTF">2024-09-16T15:32:57Z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0x010100193A2E158ED92647AF4EE09E30C26EE1</vt:lpwstr>
  </property>
  <property fmtid="{D5CDD505-2E9C-101B-9397-08002B2CF9AE}" pid="3" name="MediaServiceImageTags">
    <vt:lpwstr/>
  </property>
</Properties>
</file>