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365" tabRatio="622" activeTab="1"/>
  </bookViews>
  <sheets>
    <sheet name="Data" sheetId="1" r:id="rId1"/>
    <sheet name="Indicator List" sheetId="2" r:id="rId2"/>
    <sheet name="1" sheetId="31" r:id="rId3"/>
    <sheet name="2" sheetId="30" r:id="rId4"/>
    <sheet name="3" sheetId="32" r:id="rId5"/>
    <sheet name="4" sheetId="3" r:id="rId6"/>
    <sheet name="5" sheetId="4" r:id="rId7"/>
    <sheet name="6" sheetId="15" r:id="rId8"/>
    <sheet name="7" sheetId="18" r:id="rId9"/>
  </sheets>
  <calcPr calcId="145621"/>
</workbook>
</file>

<file path=xl/calcChain.xml><?xml version="1.0" encoding="utf-8"?>
<calcChain xmlns="http://schemas.openxmlformats.org/spreadsheetml/2006/main">
  <c r="E11" i="30" l="1"/>
  <c r="E10" i="30"/>
  <c r="E9" i="30"/>
  <c r="E8" i="30"/>
  <c r="E7" i="30"/>
  <c r="E6" i="30"/>
  <c r="C6" i="30"/>
  <c r="C11" i="30" l="1"/>
  <c r="C10" i="30"/>
  <c r="C9" i="30"/>
  <c r="C8" i="30"/>
  <c r="C7" i="30"/>
  <c r="C14" i="18" l="1"/>
  <c r="C15" i="18"/>
  <c r="C8" i="18"/>
  <c r="C8" i="31"/>
  <c r="C5" i="31"/>
  <c r="C6" i="31"/>
  <c r="C7" i="31" l="1"/>
  <c r="C6" i="32"/>
  <c r="C7" i="32"/>
  <c r="C8" i="32"/>
  <c r="C17" i="32" l="1"/>
  <c r="C16" i="32"/>
  <c r="C17" i="3" l="1"/>
  <c r="C16" i="3"/>
  <c r="C15" i="3"/>
  <c r="C14" i="3"/>
  <c r="C13" i="3"/>
  <c r="C12" i="3"/>
  <c r="C11" i="3"/>
  <c r="C10" i="3"/>
  <c r="C9" i="3"/>
  <c r="C8" i="3"/>
  <c r="C7" i="3"/>
  <c r="C6" i="3"/>
  <c r="C5" i="3"/>
  <c r="C14" i="32"/>
  <c r="C18" i="3" l="1"/>
  <c r="C16" i="18"/>
  <c r="C6" i="18"/>
  <c r="C15" i="32"/>
  <c r="C24" i="30"/>
  <c r="C23" i="30"/>
  <c r="C22" i="30"/>
  <c r="C5" i="32"/>
  <c r="C16" i="30"/>
  <c r="C13" i="4" l="1"/>
  <c r="C12" i="4"/>
  <c r="C7" i="4"/>
  <c r="C6" i="4"/>
  <c r="C6" i="15"/>
  <c r="C5" i="15"/>
  <c r="C31" i="18"/>
  <c r="C30" i="18"/>
  <c r="C25" i="18"/>
  <c r="C24" i="18"/>
  <c r="C20" i="18"/>
  <c r="C18" i="18"/>
  <c r="C17" i="18"/>
  <c r="C13" i="31"/>
  <c r="C5" i="18"/>
  <c r="C9" i="18"/>
  <c r="C7" i="18"/>
  <c r="C23" i="3"/>
  <c r="C22" i="3"/>
  <c r="C25" i="32"/>
  <c r="C24" i="32"/>
  <c r="C23" i="32"/>
  <c r="C19" i="32"/>
  <c r="C10" i="32"/>
  <c r="C26" i="30"/>
  <c r="C17" i="30"/>
  <c r="AK37" i="31"/>
  <c r="AK36" i="31"/>
  <c r="AK35" i="31"/>
  <c r="AI38" i="31"/>
  <c r="AI37" i="31"/>
  <c r="AI36" i="31"/>
  <c r="AI35" i="31"/>
  <c r="AG38" i="31"/>
  <c r="AG37" i="31"/>
  <c r="AG36" i="31"/>
  <c r="AG35" i="31"/>
  <c r="AE41" i="31"/>
  <c r="AE40" i="31"/>
  <c r="AE39" i="31"/>
  <c r="AE38" i="31"/>
  <c r="AE37" i="31"/>
  <c r="AE36" i="31"/>
  <c r="AE35" i="31"/>
  <c r="AC38" i="31"/>
  <c r="AC37" i="31"/>
  <c r="AC36" i="31"/>
  <c r="AC35" i="31"/>
  <c r="AA38" i="31"/>
  <c r="AA37" i="31"/>
  <c r="AA36" i="31"/>
  <c r="AA35" i="31"/>
  <c r="Y37" i="31"/>
  <c r="Y36" i="31"/>
  <c r="Y35" i="31"/>
  <c r="W39" i="31"/>
  <c r="W38" i="31"/>
  <c r="W37" i="31"/>
  <c r="W36" i="31"/>
  <c r="W35" i="31"/>
  <c r="U39" i="31"/>
  <c r="U38" i="31"/>
  <c r="U37" i="31"/>
  <c r="U36" i="31"/>
  <c r="U35" i="31"/>
  <c r="S37" i="31"/>
  <c r="S36" i="31"/>
  <c r="S35" i="31"/>
  <c r="Q38" i="31"/>
  <c r="Q37" i="31"/>
  <c r="Q36" i="31"/>
  <c r="Q35" i="31"/>
  <c r="O40" i="31"/>
  <c r="O39" i="31"/>
  <c r="O38" i="31"/>
  <c r="O37" i="31"/>
  <c r="O36" i="31"/>
  <c r="O35" i="31"/>
  <c r="M40" i="31"/>
  <c r="M39" i="31"/>
  <c r="M38" i="31"/>
  <c r="M37" i="31"/>
  <c r="M36" i="31"/>
  <c r="M35" i="31"/>
  <c r="K38" i="31"/>
  <c r="K37" i="31"/>
  <c r="K36" i="31"/>
  <c r="K35" i="31"/>
  <c r="I38" i="31"/>
  <c r="I37" i="31"/>
  <c r="I36" i="31"/>
  <c r="I35" i="31"/>
  <c r="G38" i="31"/>
  <c r="G37" i="31"/>
  <c r="G36" i="31"/>
  <c r="G35" i="31"/>
  <c r="E40" i="31"/>
  <c r="E39" i="31"/>
  <c r="E38" i="31"/>
  <c r="E37" i="31"/>
  <c r="E36" i="31"/>
  <c r="E35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4" i="31"/>
  <c r="C15" i="31"/>
  <c r="E12" i="30"/>
  <c r="S51" i="31" l="1"/>
  <c r="G51" i="31"/>
  <c r="I51" i="31"/>
  <c r="M51" i="31"/>
  <c r="Q51" i="31"/>
  <c r="W51" i="31"/>
  <c r="AA51" i="31"/>
  <c r="Y51" i="31"/>
  <c r="E51" i="31"/>
  <c r="O51" i="31"/>
  <c r="K51" i="31"/>
  <c r="C51" i="31"/>
  <c r="U51" i="31"/>
  <c r="AG51" i="31"/>
  <c r="AI51" i="31"/>
  <c r="AK51" i="31"/>
  <c r="AC51" i="31"/>
  <c r="AE51" i="31"/>
  <c r="C14" i="4"/>
  <c r="D12" i="4" s="1"/>
  <c r="C8" i="4"/>
  <c r="D6" i="4" s="1"/>
  <c r="C7" i="15"/>
  <c r="D5" i="15" s="1"/>
  <c r="C32" i="18"/>
  <c r="D30" i="18" s="1"/>
  <c r="C26" i="18"/>
  <c r="D24" i="18" s="1"/>
  <c r="C19" i="18"/>
  <c r="D17" i="18" s="1"/>
  <c r="C10" i="18"/>
  <c r="D7" i="18" s="1"/>
  <c r="C24" i="3"/>
  <c r="D22" i="3" s="1"/>
  <c r="C18" i="32"/>
  <c r="D17" i="32" s="1"/>
  <c r="C25" i="30"/>
  <c r="D23" i="30" s="1"/>
  <c r="C12" i="30"/>
  <c r="F9" i="30" s="1"/>
  <c r="C9" i="32"/>
  <c r="D5" i="32" s="1"/>
  <c r="C26" i="32"/>
  <c r="D23" i="32" s="1"/>
  <c r="C31" i="31"/>
  <c r="D26" i="31" s="1"/>
  <c r="C18" i="30"/>
  <c r="D16" i="30" s="1"/>
  <c r="F11" i="30" l="1"/>
  <c r="F10" i="30"/>
  <c r="F7" i="30"/>
  <c r="F8" i="30"/>
  <c r="F6" i="30"/>
  <c r="D7" i="30"/>
  <c r="D6" i="30"/>
  <c r="D8" i="30"/>
  <c r="D9" i="30"/>
  <c r="D11" i="30"/>
  <c r="D10" i="30"/>
  <c r="D16" i="3"/>
  <c r="D5" i="3"/>
  <c r="D13" i="4"/>
  <c r="D14" i="4" s="1"/>
  <c r="D7" i="4"/>
  <c r="D8" i="4" s="1"/>
  <c r="D6" i="15"/>
  <c r="D7" i="15" s="1"/>
  <c r="D31" i="18"/>
  <c r="D32" i="18" s="1"/>
  <c r="D25" i="18"/>
  <c r="D26" i="18" s="1"/>
  <c r="D16" i="18"/>
  <c r="D15" i="18"/>
  <c r="D18" i="18"/>
  <c r="D14" i="18"/>
  <c r="D9" i="18"/>
  <c r="D5" i="18"/>
  <c r="D6" i="18"/>
  <c r="D8" i="18"/>
  <c r="D23" i="3"/>
  <c r="D24" i="3" s="1"/>
  <c r="D7" i="3"/>
  <c r="D17" i="3"/>
  <c r="D9" i="3"/>
  <c r="D14" i="3"/>
  <c r="D13" i="3"/>
  <c r="D12" i="3"/>
  <c r="D15" i="3"/>
  <c r="D8" i="3"/>
  <c r="D10" i="3"/>
  <c r="D11" i="3"/>
  <c r="D6" i="3"/>
  <c r="D25" i="32"/>
  <c r="D15" i="32"/>
  <c r="D14" i="32"/>
  <c r="D16" i="32"/>
  <c r="D22" i="30"/>
  <c r="D24" i="30"/>
  <c r="D25" i="31"/>
  <c r="D24" i="31"/>
  <c r="D7" i="32"/>
  <c r="D24" i="32"/>
  <c r="D8" i="32"/>
  <c r="D6" i="32"/>
  <c r="D15" i="31"/>
  <c r="D14" i="31"/>
  <c r="D17" i="31"/>
  <c r="D18" i="31"/>
  <c r="D20" i="31"/>
  <c r="D23" i="31"/>
  <c r="D30" i="31"/>
  <c r="D28" i="31"/>
  <c r="D19" i="31"/>
  <c r="D27" i="31"/>
  <c r="D22" i="31"/>
  <c r="D16" i="31"/>
  <c r="D13" i="31"/>
  <c r="D21" i="31"/>
  <c r="D29" i="31"/>
  <c r="D17" i="30"/>
  <c r="D18" i="30" s="1"/>
  <c r="F12" i="30" l="1"/>
  <c r="D18" i="3"/>
  <c r="D19" i="18"/>
  <c r="D10" i="18"/>
  <c r="D26" i="32"/>
  <c r="D18" i="32"/>
  <c r="D9" i="32"/>
  <c r="D25" i="30"/>
  <c r="D12" i="30"/>
  <c r="D31" i="31"/>
  <c r="D6" i="31"/>
  <c r="D5" i="31"/>
  <c r="D7" i="31" l="1"/>
</calcChain>
</file>

<file path=xl/sharedStrings.xml><?xml version="1.0" encoding="utf-8"?>
<sst xmlns="http://schemas.openxmlformats.org/spreadsheetml/2006/main" count="432" uniqueCount="292">
  <si>
    <t xml:space="preserve">Indicator Name </t>
  </si>
  <si>
    <t>Total number of household members by age and gender</t>
  </si>
  <si>
    <t>% population, by vulnerable groups</t>
  </si>
  <si>
    <t xml:space="preserve"> Number/% of IDP households supported with non-food items meeting shelter standards defined by the cluster</t>
  </si>
  <si>
    <t>Number/% of IDP households not able to access distribution points</t>
  </si>
  <si>
    <t>Number/% of beneficaries reporting a threat during the distribution</t>
  </si>
  <si>
    <t>% of beneficiaries reporting access to and knowledge of a complaints mechanism</t>
  </si>
  <si>
    <t>SURVEY NAME : Distribution_Monitoring_NFI_&amp;_EmergencyV2 SUPERVISOR : JOHN KAPOI KIPTERER</t>
  </si>
  <si>
    <t>Filter Expression : None</t>
  </si>
  <si>
    <t xml:space="preserve"> ID</t>
  </si>
  <si>
    <t>CREATED BY</t>
  </si>
  <si>
    <t>SURVEY NAME</t>
  </si>
  <si>
    <t>SURVEY VERSION</t>
  </si>
  <si>
    <t>START DATE</t>
  </si>
  <si>
    <t>START TIME</t>
  </si>
  <si>
    <t>END DATE</t>
  </si>
  <si>
    <t>END TIME</t>
  </si>
  <si>
    <t>LATITUDE</t>
  </si>
  <si>
    <t>LONGITUDE</t>
  </si>
  <si>
    <t>ACCURACY</t>
  </si>
  <si>
    <t>ALTITUDE</t>
  </si>
  <si>
    <t>SUBMISSION DATE</t>
  </si>
  <si>
    <t>SUBMISSION TIME</t>
  </si>
  <si>
    <t>What is the survey about?</t>
  </si>
  <si>
    <t>In which region is this assessment being captured?</t>
  </si>
  <si>
    <t>DISTRICT</t>
  </si>
  <si>
    <t>Settlement</t>
  </si>
  <si>
    <t>Family members: male 0-4 years</t>
  </si>
  <si>
    <t>Family members: male 5-11 years</t>
  </si>
  <si>
    <t>Family members: male 12-17 years</t>
  </si>
  <si>
    <t>Family members: male 18-24 years</t>
  </si>
  <si>
    <t>Family members: male 25-59 years</t>
  </si>
  <si>
    <t>Family members: male 60 and more years</t>
  </si>
  <si>
    <t>Total male members of the family</t>
  </si>
  <si>
    <t>Family members: female 0-4 years</t>
  </si>
  <si>
    <t>Family members: female 5-11 years</t>
  </si>
  <si>
    <t>Family members: female 12-17 years</t>
  </si>
  <si>
    <t>Family members: female 18-24 years</t>
  </si>
  <si>
    <t>Family members: female 25-59 years</t>
  </si>
  <si>
    <t>Family members: female 60 and more years</t>
  </si>
  <si>
    <t>Total female members of the family</t>
  </si>
  <si>
    <t>Are there any of your family members that are not living with you currently but will join you in the next 6 months?</t>
  </si>
  <si>
    <t>How many?</t>
  </si>
  <si>
    <t>Is this a single-headed household?</t>
  </si>
  <si>
    <t>Name of head of household</t>
  </si>
  <si>
    <t>Phone number of head of household</t>
  </si>
  <si>
    <t>How many pregnant and/or lactating women are there in the household?</t>
  </si>
  <si>
    <t>How many people with PHYSICAL and/or MENTAL impairments are there in your household?</t>
  </si>
  <si>
    <t>What type of NFIs and/or emergency shelter items did you receive at the distribution today?</t>
  </si>
  <si>
    <t>If other, please specify</t>
  </si>
  <si>
    <t>Do the items meet your expectations?</t>
  </si>
  <si>
    <t>When were you notified about today’s distribution of non-food items?</t>
  </si>
  <si>
    <t>How long did you have to wait in line for today’s distribution (in minutes)?</t>
  </si>
  <si>
    <t>Do you know of any households that were not able to access the distribution point today?</t>
  </si>
  <si>
    <t>If Yes, where are these households located?</t>
  </si>
  <si>
    <t>Did you or any member of your household experience a threat or otherwise feel insecure either immediately before or during the distribution today?</t>
  </si>
  <si>
    <t>Do you know what a complaint mechanism is?</t>
  </si>
  <si>
    <t>Do you have access to a complaint mechanism for this distribution?</t>
  </si>
  <si>
    <t>ID</t>
  </si>
  <si>
    <t>Whats_survey_about</t>
  </si>
  <si>
    <t>REGION</t>
  </si>
  <si>
    <t>DISTRICT_Awdal</t>
  </si>
  <si>
    <t>settlement</t>
  </si>
  <si>
    <t>nb_male_people_family_to_4</t>
  </si>
  <si>
    <t>nb_male_people_family_to_11</t>
  </si>
  <si>
    <t>nb_male_people_family_to_17</t>
  </si>
  <si>
    <t>nb_male_people_family_to_24</t>
  </si>
  <si>
    <t>nb_male_people_family_to_59</t>
  </si>
  <si>
    <t>nb_male_people_family_more_60</t>
  </si>
  <si>
    <t>nb_male_people_family</t>
  </si>
  <si>
    <t>nb_female_people_family_to_4</t>
  </si>
  <si>
    <t>nb_female_people_family_to_11</t>
  </si>
  <si>
    <t>nb_female_people_family_to_17</t>
  </si>
  <si>
    <t>nb_female_people_family_to_24</t>
  </si>
  <si>
    <t>nb_female_people_family_to_59</t>
  </si>
  <si>
    <t>nb_female_people_family_more_60</t>
  </si>
  <si>
    <t>nb_female_people_family</t>
  </si>
  <si>
    <t>family_join_next_6mnths</t>
  </si>
  <si>
    <t>family_join_next_6mnths_hw_mny</t>
  </si>
  <si>
    <t>household_type</t>
  </si>
  <si>
    <t>name_hhh</t>
  </si>
  <si>
    <t>phone_hhh</t>
  </si>
  <si>
    <t>pregnant_nb</t>
  </si>
  <si>
    <t>physical_impairement_nb</t>
  </si>
  <si>
    <t>nb_type_item</t>
  </si>
  <si>
    <t>nb_type_itemother</t>
  </si>
  <si>
    <t>expectations</t>
  </si>
  <si>
    <t>notification</t>
  </si>
  <si>
    <t>wait_time</t>
  </si>
  <si>
    <t>hh_no_access</t>
  </si>
  <si>
    <t>hh_no_access_location</t>
  </si>
  <si>
    <t>threat</t>
  </si>
  <si>
    <t>complaint_mechanism</t>
  </si>
  <si>
    <t>complaint_mechanism_access</t>
  </si>
  <si>
    <t>Family memebers distribution by age.</t>
  </si>
  <si>
    <t>Age  distribution</t>
  </si>
  <si>
    <t>Male</t>
  </si>
  <si>
    <t>Female</t>
  </si>
  <si>
    <t xml:space="preserve">&gt; 60 </t>
  </si>
  <si>
    <t>Total</t>
  </si>
  <si>
    <t>Family join next 6mnths</t>
  </si>
  <si>
    <t>Frequencies</t>
  </si>
  <si>
    <t>% Frequency</t>
  </si>
  <si>
    <t>Yes</t>
  </si>
  <si>
    <t>No</t>
  </si>
  <si>
    <t>Frequency</t>
  </si>
  <si>
    <t>1 - 2 members</t>
  </si>
  <si>
    <t>&gt;5 members</t>
  </si>
  <si>
    <t>Average</t>
  </si>
  <si>
    <t xml:space="preserve">    % population by  region/settlemnt of stay</t>
  </si>
  <si>
    <t>Region</t>
  </si>
  <si>
    <t xml:space="preserve"> % Frequency</t>
  </si>
  <si>
    <t>Awdal</t>
  </si>
  <si>
    <t>Bakool</t>
  </si>
  <si>
    <t>Banaadir</t>
  </si>
  <si>
    <t>Bari</t>
  </si>
  <si>
    <t>Bay</t>
  </si>
  <si>
    <t>Galguduud</t>
  </si>
  <si>
    <t>Gedo</t>
  </si>
  <si>
    <t>Hiiraan</t>
  </si>
  <si>
    <t>Middle Juba</t>
  </si>
  <si>
    <t>Lower Juba</t>
  </si>
  <si>
    <t>Mudug</t>
  </si>
  <si>
    <t>Nugaal</t>
  </si>
  <si>
    <t>Sanaag</t>
  </si>
  <si>
    <t>Middle Shabelle</t>
  </si>
  <si>
    <t>Lower Shabelle</t>
  </si>
  <si>
    <t>Sool</t>
  </si>
  <si>
    <t>Togdheer</t>
  </si>
  <si>
    <t>Woqooyi Galbeed</t>
  </si>
  <si>
    <t>District of Origin</t>
  </si>
  <si>
    <t>Banairad</t>
  </si>
  <si>
    <t>Galgaduud</t>
  </si>
  <si>
    <t>Hiran</t>
  </si>
  <si>
    <t>Abdiaziz</t>
  </si>
  <si>
    <t>Bender-Bayla</t>
  </si>
  <si>
    <t>Xuddur</t>
  </si>
  <si>
    <t>Baki</t>
  </si>
  <si>
    <t>Baidoa</t>
  </si>
  <si>
    <t>Caabudwaq</t>
  </si>
  <si>
    <t>Baardheere</t>
  </si>
  <si>
    <t>Beledweyne</t>
  </si>
  <si>
    <t>Buaale</t>
  </si>
  <si>
    <t>Afmadow</t>
  </si>
  <si>
    <t>Gaalkacyo</t>
  </si>
  <si>
    <t>Burtinle</t>
  </si>
  <si>
    <t>Ceel-Afweyn</t>
  </si>
  <si>
    <t>Aadan_Yabaal</t>
  </si>
  <si>
    <t>Afgoi</t>
  </si>
  <si>
    <t>Caynaba</t>
  </si>
  <si>
    <t>Burao</t>
  </si>
  <si>
    <t>Hargeisat</t>
  </si>
  <si>
    <t>Bondhere</t>
  </si>
  <si>
    <t>Bosaso</t>
  </si>
  <si>
    <t>Rabdhuure</t>
  </si>
  <si>
    <t>Borama</t>
  </si>
  <si>
    <t>Buurhakaba</t>
  </si>
  <si>
    <t>Cadaado</t>
  </si>
  <si>
    <t>Beled_Hawo</t>
  </si>
  <si>
    <t>Buuloburde</t>
  </si>
  <si>
    <t>Jilib</t>
  </si>
  <si>
    <t>Xagar</t>
  </si>
  <si>
    <t>Galdogob</t>
  </si>
  <si>
    <t>Garoowe</t>
  </si>
  <si>
    <t>Ceerigaabo</t>
  </si>
  <si>
    <t>Balcad</t>
  </si>
  <si>
    <t>Baraawe</t>
  </si>
  <si>
    <t>Laascaanood</t>
  </si>
  <si>
    <t>Buuhoodle</t>
  </si>
  <si>
    <t>Gabiley</t>
  </si>
  <si>
    <t>Daynile</t>
  </si>
  <si>
    <t>Caluula</t>
  </si>
  <si>
    <t>Tiyeegloow</t>
  </si>
  <si>
    <t>Lughaya</t>
  </si>
  <si>
    <t>Diinsoor</t>
  </si>
  <si>
    <t>Ceelbuur</t>
  </si>
  <si>
    <t>Ceelwaaq</t>
  </si>
  <si>
    <t>Jalalaqsi</t>
  </si>
  <si>
    <t>Sakow</t>
  </si>
  <si>
    <t>Badhaadhe</t>
  </si>
  <si>
    <t>Harardheere</t>
  </si>
  <si>
    <t>Eyl</t>
  </si>
  <si>
    <t>Dhahar</t>
  </si>
  <si>
    <t>Cadale</t>
  </si>
  <si>
    <t>Kurtunwarey</t>
  </si>
  <si>
    <t>Taleex</t>
  </si>
  <si>
    <t>Oodwayne</t>
  </si>
  <si>
    <t>Berbera</t>
  </si>
  <si>
    <t>Dharkenley</t>
  </si>
  <si>
    <t>Iskushuban</t>
  </si>
  <si>
    <t>Waajid</t>
  </si>
  <si>
    <t>Saylac</t>
  </si>
  <si>
    <t>Qasahdhere</t>
  </si>
  <si>
    <t>Ceeldheer</t>
  </si>
  <si>
    <t>Doolow</t>
  </si>
  <si>
    <t>Mahas</t>
  </si>
  <si>
    <t>Jamaame</t>
  </si>
  <si>
    <t>Hobyo</t>
  </si>
  <si>
    <t>Laasqoray</t>
  </si>
  <si>
    <t>Jowhar</t>
  </si>
  <si>
    <t>Marka</t>
  </si>
  <si>
    <t>Xudun</t>
  </si>
  <si>
    <t>Sheikh</t>
  </si>
  <si>
    <t>Hamar-Jajab</t>
  </si>
  <si>
    <t>Qandala</t>
  </si>
  <si>
    <t>Dhusamareb</t>
  </si>
  <si>
    <t>Garbahaarreey</t>
  </si>
  <si>
    <t>Kismaayo</t>
  </si>
  <si>
    <t>Jariiban</t>
  </si>
  <si>
    <t>Qoriyoleey</t>
  </si>
  <si>
    <t>Hamar-Weyne</t>
  </si>
  <si>
    <t>Qardho</t>
  </si>
  <si>
    <t>Galhareri</t>
  </si>
  <si>
    <t>Luuq</t>
  </si>
  <si>
    <t>Sablaale</t>
  </si>
  <si>
    <t>Hodan</t>
  </si>
  <si>
    <t>Walaweyn</t>
  </si>
  <si>
    <t>Howl-Wadag</t>
  </si>
  <si>
    <t>Huriwaa</t>
  </si>
  <si>
    <t>Kaaraan</t>
  </si>
  <si>
    <t>Shibis</t>
  </si>
  <si>
    <t>Shangaani</t>
  </si>
  <si>
    <t>Waabari</t>
  </si>
  <si>
    <t>Wadajir</t>
  </si>
  <si>
    <t>Wardhiigley</t>
  </si>
  <si>
    <t>Yaaqshiid</t>
  </si>
  <si>
    <t>Pregnant &amp;lactating women</t>
  </si>
  <si>
    <t>0 women</t>
  </si>
  <si>
    <t>1-2 women</t>
  </si>
  <si>
    <t>Total physical&amp;mental disable</t>
  </si>
  <si>
    <t>0 people</t>
  </si>
  <si>
    <t>1-2 people</t>
  </si>
  <si>
    <t>Household type</t>
  </si>
  <si>
    <t>Single female</t>
  </si>
  <si>
    <t>Single male</t>
  </si>
  <si>
    <t>Not single headed</t>
  </si>
  <si>
    <t xml:space="preserve"> % population by  region/settlemnt of stay</t>
  </si>
  <si>
    <t>Type of NFI/emergency shelter items received</t>
  </si>
  <si>
    <t>Sheets</t>
  </si>
  <si>
    <t>Soap</t>
  </si>
  <si>
    <t>Hygeine Kit</t>
  </si>
  <si>
    <t>Plastic Sheets</t>
  </si>
  <si>
    <t>Blanket</t>
  </si>
  <si>
    <t>Mat</t>
  </si>
  <si>
    <t>Pots</t>
  </si>
  <si>
    <t>Knives</t>
  </si>
  <si>
    <t>Shelter Kit</t>
  </si>
  <si>
    <t>Voucher</t>
  </si>
  <si>
    <t>Cash</t>
  </si>
  <si>
    <t>Other</t>
  </si>
  <si>
    <t>24hours</t>
  </si>
  <si>
    <t>Notification duration</t>
  </si>
  <si>
    <t xml:space="preserve">3-7 days </t>
  </si>
  <si>
    <t xml:space="preserve">7-14 days </t>
  </si>
  <si>
    <t xml:space="preserve">&gt; 14 days </t>
  </si>
  <si>
    <t>Time waited on line</t>
  </si>
  <si>
    <t>Within_the_settlement</t>
  </si>
  <si>
    <t>Outside_the_settlement</t>
  </si>
  <si>
    <t>Household located</t>
  </si>
  <si>
    <t>Household experience threat</t>
  </si>
  <si>
    <t>Knowledge of complain mechanism</t>
  </si>
  <si>
    <t>Access to complain mechanism</t>
  </si>
  <si>
    <t>Jerry Can</t>
  </si>
  <si>
    <t xml:space="preserve">Items meet expectations </t>
  </si>
  <si>
    <t>NFI distribution</t>
  </si>
  <si>
    <t>Emergency Shelter distribution</t>
  </si>
  <si>
    <t>Survey about</t>
  </si>
  <si>
    <t xml:space="preserve">&lt; 5 </t>
  </si>
  <si>
    <t xml:space="preserve"> 5-11</t>
  </si>
  <si>
    <t xml:space="preserve"> 12-17</t>
  </si>
  <si>
    <t xml:space="preserve"> 18 - 24 </t>
  </si>
  <si>
    <t xml:space="preserve"> 25 - 59  </t>
  </si>
  <si>
    <t>3 -5 memebers</t>
  </si>
  <si>
    <t xml:space="preserve"> 1-3 days </t>
  </si>
  <si>
    <t>HH not able to access distribution point</t>
  </si>
  <si>
    <t>Total number of responses</t>
  </si>
  <si>
    <t>Total number of respondents</t>
  </si>
  <si>
    <t>3-4 people</t>
  </si>
  <si>
    <t>&gt;4 people</t>
  </si>
  <si>
    <t>3-4 women</t>
  </si>
  <si>
    <t>&gt;4 women</t>
  </si>
  <si>
    <t>No. of members joining in 6months</t>
  </si>
  <si>
    <t>Average number of family members joining</t>
  </si>
  <si>
    <t>Is this a single headed household? Specify gender</t>
  </si>
  <si>
    <t>Total number of responses (not total number of respondents)</t>
  </si>
  <si>
    <t>0-30.</t>
  </si>
  <si>
    <t>&gt; 121</t>
  </si>
  <si>
    <t>Indicator Number</t>
  </si>
  <si>
    <t xml:space="preserve">30-60 </t>
  </si>
  <si>
    <t xml:space="preserve">60-90 </t>
  </si>
  <si>
    <t xml:space="preserve">90-120 </t>
  </si>
  <si>
    <t xml:space="preserve">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</si>
</sst>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4" xfId="0" applyBorder="1"/>
    <xf numFmtId="0" fontId="0" fillId="0" borderId="0" xfId="0" applyBorder="1"/>
    <xf numFmtId="9" fontId="0" fillId="0" borderId="0" xfId="1" applyFont="1" applyBorder="1"/>
    <xf numFmtId="9" fontId="0" fillId="0" borderId="5" xfId="1" applyFont="1" applyBorder="1"/>
    <xf numFmtId="0" fontId="0" fillId="0" borderId="6" xfId="0" applyBorder="1"/>
    <xf numFmtId="0" fontId="0" fillId="0" borderId="7" xfId="0" applyBorder="1"/>
    <xf numFmtId="9" fontId="0" fillId="0" borderId="7" xfId="1" applyFont="1" applyBorder="1"/>
    <xf numFmtId="9" fontId="0" fillId="0" borderId="8" xfId="1" applyFont="1" applyBorder="1"/>
    <xf numFmtId="0" fontId="0" fillId="0" borderId="6" xfId="0" applyFill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9" fontId="0" fillId="0" borderId="3" xfId="1" applyFont="1" applyBorder="1"/>
    <xf numFmtId="0" fontId="0" fillId="0" borderId="0" xfId="0" applyFill="1" applyBorder="1"/>
    <xf numFmtId="0" fontId="0" fillId="0" borderId="1" xfId="0" applyFill="1" applyBorder="1"/>
    <xf numFmtId="0" fontId="0" fillId="0" borderId="3" xfId="0" applyBorder="1"/>
    <xf numFmtId="0" fontId="0" fillId="0" borderId="0" xfId="0" applyAlignment="1"/>
    <xf numFmtId="0" fontId="0" fillId="0" borderId="4" xfId="0" applyFont="1" applyBorder="1" applyAlignment="1">
      <alignment horizontal="left"/>
    </xf>
    <xf numFmtId="0" fontId="0" fillId="0" borderId="0" xfId="0" applyNumberFormat="1" applyFont="1" applyBorder="1"/>
    <xf numFmtId="9" fontId="0" fillId="0" borderId="5" xfId="1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0" fillId="0" borderId="7" xfId="0" applyNumberFormat="1" applyFont="1" applyBorder="1"/>
    <xf numFmtId="9" fontId="0" fillId="0" borderId="8" xfId="1" applyFont="1" applyBorder="1" applyAlignment="1">
      <alignment horizontal="right"/>
    </xf>
    <xf numFmtId="0" fontId="0" fillId="0" borderId="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9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4" fillId="0" borderId="6" xfId="0" applyFont="1" applyFill="1" applyBorder="1"/>
    <xf numFmtId="0" fontId="0" fillId="0" borderId="7" xfId="0" applyFont="1" applyBorder="1" applyAlignment="1">
      <alignment horizontal="left"/>
    </xf>
    <xf numFmtId="0" fontId="0" fillId="0" borderId="8" xfId="0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9" fontId="0" fillId="0" borderId="3" xfId="0" applyNumberFormat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0" fillId="0" borderId="4" xfId="0" applyBorder="1" applyAlignment="1"/>
    <xf numFmtId="0" fontId="0" fillId="0" borderId="6" xfId="0" applyBorder="1" applyAlignment="1"/>
    <xf numFmtId="0" fontId="0" fillId="0" borderId="6" xfId="0" applyFill="1" applyBorder="1" applyAlignment="1"/>
    <xf numFmtId="0" fontId="0" fillId="0" borderId="0" xfId="0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0" xfId="0" applyBorder="1"/>
    <xf numFmtId="9" fontId="0" fillId="0" borderId="11" xfId="1" applyFont="1" applyBorder="1"/>
    <xf numFmtId="9" fontId="0" fillId="0" borderId="8" xfId="0" applyNumberFormat="1" applyBorder="1"/>
    <xf numFmtId="9" fontId="0" fillId="0" borderId="0" xfId="0" applyNumberFormat="1" applyBorder="1"/>
    <xf numFmtId="0" fontId="0" fillId="0" borderId="0" xfId="0" applyFont="1" applyFill="1" applyBorder="1" applyAlignment="1"/>
    <xf numFmtId="16" fontId="0" fillId="0" borderId="4" xfId="0" applyNumberFormat="1" applyBorder="1"/>
    <xf numFmtId="2" fontId="0" fillId="0" borderId="2" xfId="0" applyNumberFormat="1" applyBorder="1"/>
    <xf numFmtId="0" fontId="0" fillId="0" borderId="0" xfId="0" applyFont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6" xfId="0" applyFont="1" applyBorder="1" applyAlignment="1"/>
    <xf numFmtId="0" fontId="0" fillId="0" borderId="8" xfId="0" applyFont="1" applyBorder="1"/>
    <xf numFmtId="0" fontId="0" fillId="0" borderId="0" xfId="0" applyFont="1" applyAlignment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/>
    <xf numFmtId="0" fontId="0" fillId="3" borderId="0" xfId="0" applyFill="1"/>
    <xf numFmtId="0" fontId="2" fillId="0" borderId="0" xfId="0" applyFont="1" applyAlignment="1">
      <alignment vertical="center" wrapText="1"/>
    </xf>
    <xf numFmtId="0" fontId="6" fillId="2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 Region</a:t>
            </a:r>
            <a:r>
              <a:rPr lang="en-US" sz="1300" baseline="0"/>
              <a:t> of Assessment</a:t>
            </a:r>
            <a:endParaRPr lang="en-US" sz="13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'1'!$D$12</c:f>
              <c:strCache>
                <c:ptCount val="1"/>
                <c:pt idx="0">
                  <c:v> % Frequency</c:v>
                </c:pt>
              </c:strCache>
            </c:strRef>
          </c:tx>
          <c:invertIfNegative val="0"/>
          <c:cat>
            <c:strRef>
              <c:f>'1'!$B$13:$B$30</c:f>
              <c:strCache>
                <c:ptCount val="18"/>
                <c:pt idx="0">
                  <c:v>Awdal</c:v>
                </c:pt>
                <c:pt idx="1">
                  <c:v>Bakool</c:v>
                </c:pt>
                <c:pt idx="2">
                  <c:v>Banaadir</c:v>
                </c:pt>
                <c:pt idx="3">
                  <c:v>Bari</c:v>
                </c:pt>
                <c:pt idx="4">
                  <c:v>Bay</c:v>
                </c:pt>
                <c:pt idx="5">
                  <c:v>Galguduud</c:v>
                </c:pt>
                <c:pt idx="6">
                  <c:v>Gedo</c:v>
                </c:pt>
                <c:pt idx="7">
                  <c:v>Hiiraan</c:v>
                </c:pt>
                <c:pt idx="8">
                  <c:v>Middle Juba</c:v>
                </c:pt>
                <c:pt idx="9">
                  <c:v>Lower Juba</c:v>
                </c:pt>
                <c:pt idx="10">
                  <c:v>Mudug</c:v>
                </c:pt>
                <c:pt idx="11">
                  <c:v>Nugaal</c:v>
                </c:pt>
                <c:pt idx="12">
                  <c:v>Sanaag</c:v>
                </c:pt>
                <c:pt idx="13">
                  <c:v>Middle Shabelle</c:v>
                </c:pt>
                <c:pt idx="14">
                  <c:v>Lower Shabelle</c:v>
                </c:pt>
                <c:pt idx="15">
                  <c:v>Sool</c:v>
                </c:pt>
                <c:pt idx="16">
                  <c:v>Togdheer</c:v>
                </c:pt>
                <c:pt idx="17">
                  <c:v>Woqooyi Galbeed</c:v>
                </c:pt>
              </c:strCache>
            </c:strRef>
          </c:cat>
          <c:val>
            <c:numRef>
              <c:f>'1'!$D$13:$D$30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34432"/>
        <c:axId val="83644416"/>
      </c:barChart>
      <c:catAx>
        <c:axId val="8363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83644416"/>
        <c:crosses val="autoZero"/>
        <c:auto val="1"/>
        <c:lblAlgn val="ctr"/>
        <c:lblOffset val="100"/>
        <c:noMultiLvlLbl val="0"/>
      </c:catAx>
      <c:valAx>
        <c:axId val="83644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Notification</a:t>
            </a:r>
            <a:r>
              <a:rPr lang="en-US" sz="1300" baseline="0"/>
              <a:t> duration</a:t>
            </a:r>
            <a:endParaRPr lang="en-US" sz="1300"/>
          </a:p>
        </c:rich>
      </c:tx>
      <c:layout>
        <c:manualLayout>
          <c:xMode val="edge"/>
          <c:yMode val="edge"/>
          <c:x val="0.27932593331493943"/>
          <c:y val="3.22255688320388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83495695113583"/>
          <c:y val="0.22620382799158584"/>
          <c:w val="0.84163224879908882"/>
          <c:h val="0.571970225604356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'7'!$D$4</c:f>
              <c:strCache>
                <c:ptCount val="1"/>
                <c:pt idx="0">
                  <c:v>% Frequency</c:v>
                </c:pt>
              </c:strCache>
            </c:strRef>
          </c:tx>
          <c:invertIfNegative val="0"/>
          <c:cat>
            <c:strRef>
              <c:f>'7'!$B$5:$B$9</c:f>
              <c:strCache>
                <c:ptCount val="5"/>
                <c:pt idx="0">
                  <c:v>24hours</c:v>
                </c:pt>
                <c:pt idx="1">
                  <c:v> 1-3 days </c:v>
                </c:pt>
                <c:pt idx="2">
                  <c:v>3-7 days </c:v>
                </c:pt>
                <c:pt idx="3">
                  <c:v>7-14 days </c:v>
                </c:pt>
                <c:pt idx="4">
                  <c:v>&gt; 14 days </c:v>
                </c:pt>
              </c:strCache>
            </c:strRef>
          </c:cat>
          <c:val>
            <c:numRef>
              <c:f>'7'!$D$5:$D$9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96032"/>
        <c:axId val="91197824"/>
      </c:barChart>
      <c:catAx>
        <c:axId val="9119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1197824"/>
        <c:crosses val="autoZero"/>
        <c:auto val="1"/>
        <c:lblAlgn val="ctr"/>
        <c:lblOffset val="100"/>
        <c:noMultiLvlLbl val="0"/>
      </c:catAx>
      <c:valAx>
        <c:axId val="91197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19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Age</a:t>
            </a:r>
            <a:r>
              <a:rPr lang="en-US" sz="1300" baseline="0"/>
              <a:t> distribution</a:t>
            </a:r>
            <a:endParaRPr lang="en-US" sz="1300"/>
          </a:p>
        </c:rich>
      </c:tx>
      <c:layout>
        <c:manualLayout>
          <c:xMode val="edge"/>
          <c:yMode val="edge"/>
          <c:x val="0.32673889883594404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4798491286548"/>
          <c:y val="0.14890205096044409"/>
          <c:w val="0.60424989512701588"/>
          <c:h val="0.720999698046593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'2'!$D$5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'2'!$B$6:$B$11</c:f>
              <c:strCache>
                <c:ptCount val="6"/>
                <c:pt idx="0">
                  <c:v>&lt; 5 </c:v>
                </c:pt>
                <c:pt idx="1">
                  <c:v> 5-11</c:v>
                </c:pt>
                <c:pt idx="2">
                  <c:v> 12-17</c:v>
                </c:pt>
                <c:pt idx="3">
                  <c:v> 18 - 24 </c:v>
                </c:pt>
                <c:pt idx="4">
                  <c:v> 25 - 59  </c:v>
                </c:pt>
                <c:pt idx="5">
                  <c:v>&gt; 60 </c:v>
                </c:pt>
              </c:strCache>
            </c:strRef>
          </c:cat>
          <c:val>
            <c:numRef>
              <c:f>'2'!$D$6:$D$11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1"/>
          <c:tx>
            <c:strRef>
              <c:f>'2'!$F$5</c:f>
              <c:strCache>
                <c:ptCount val="1"/>
                <c:pt idx="0">
                  <c:v> Female</c:v>
                </c:pt>
              </c:strCache>
            </c:strRef>
          </c:tx>
          <c:invertIfNegative val="0"/>
          <c:cat>
            <c:strRef>
              <c:f>'2'!$B$6:$B$11</c:f>
              <c:strCache>
                <c:ptCount val="6"/>
                <c:pt idx="0">
                  <c:v>&lt; 5 </c:v>
                </c:pt>
                <c:pt idx="1">
                  <c:v> 5-11</c:v>
                </c:pt>
                <c:pt idx="2">
                  <c:v> 12-17</c:v>
                </c:pt>
                <c:pt idx="3">
                  <c:v> 18 - 24 </c:v>
                </c:pt>
                <c:pt idx="4">
                  <c:v> 25 - 59  </c:v>
                </c:pt>
                <c:pt idx="5">
                  <c:v>&gt; 60 </c:v>
                </c:pt>
              </c:strCache>
            </c:strRef>
          </c:cat>
          <c:val>
            <c:numRef>
              <c:f>'2'!$F$6:$F$11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9"/>
        <c:axId val="83673856"/>
        <c:axId val="83675392"/>
      </c:barChart>
      <c:catAx>
        <c:axId val="83673856"/>
        <c:scaling>
          <c:orientation val="minMax"/>
        </c:scaling>
        <c:delete val="0"/>
        <c:axPos val="l"/>
        <c:majorTickMark val="out"/>
        <c:minorTickMark val="none"/>
        <c:tickLblPos val="low"/>
        <c:crossAx val="83675392"/>
        <c:crosses val="autoZero"/>
        <c:auto val="1"/>
        <c:lblAlgn val="ctr"/>
        <c:lblOffset val="100"/>
        <c:noMultiLvlLbl val="0"/>
      </c:catAx>
      <c:valAx>
        <c:axId val="836753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8367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64763542734664"/>
          <c:y val="0.38059786774440801"/>
          <c:w val="0.16200906120801836"/>
          <c:h val="0.213367709567277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Pregnant</a:t>
            </a:r>
            <a:r>
              <a:rPr lang="en-US" sz="1300" baseline="0"/>
              <a:t> /Lactating women</a:t>
            </a:r>
            <a:endParaRPr lang="en-US" sz="13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'3'!$D$4</c:f>
              <c:strCache>
                <c:ptCount val="1"/>
                <c:pt idx="0">
                  <c:v>% Frequency</c:v>
                </c:pt>
              </c:strCache>
            </c:strRef>
          </c:tx>
          <c:invertIfNegative val="0"/>
          <c:cat>
            <c:strRef>
              <c:f>'3'!$B$5:$B$8</c:f>
              <c:strCache>
                <c:ptCount val="4"/>
                <c:pt idx="0">
                  <c:v>0 women</c:v>
                </c:pt>
                <c:pt idx="1">
                  <c:v>1-2 women</c:v>
                </c:pt>
                <c:pt idx="2">
                  <c:v>3-4 women</c:v>
                </c:pt>
                <c:pt idx="3">
                  <c:v>&gt;4 women</c:v>
                </c:pt>
              </c:strCache>
            </c:strRef>
          </c:cat>
          <c:val>
            <c:numRef>
              <c:f>'3'!$D$5:$D$8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56224"/>
        <c:axId val="89186688"/>
      </c:barChart>
      <c:catAx>
        <c:axId val="8915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9186688"/>
        <c:crosses val="autoZero"/>
        <c:auto val="1"/>
        <c:lblAlgn val="ctr"/>
        <c:lblOffset val="100"/>
        <c:noMultiLvlLbl val="0"/>
      </c:catAx>
      <c:valAx>
        <c:axId val="89186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15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Physical</a:t>
            </a:r>
            <a:r>
              <a:rPr lang="en-US" sz="1300" baseline="0"/>
              <a:t> and Mental Disability</a:t>
            </a:r>
            <a:endParaRPr lang="en-US" sz="1300"/>
          </a:p>
        </c:rich>
      </c:tx>
      <c:layout>
        <c:manualLayout>
          <c:xMode val="edge"/>
          <c:yMode val="edge"/>
          <c:x val="0.18486018856581474"/>
          <c:y val="2.54777070063694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'3'!$D$13</c:f>
              <c:strCache>
                <c:ptCount val="1"/>
                <c:pt idx="0">
                  <c:v>% Frequency</c:v>
                </c:pt>
              </c:strCache>
            </c:strRef>
          </c:tx>
          <c:invertIfNegative val="0"/>
          <c:cat>
            <c:strRef>
              <c:f>'3'!$B$14:$B$17</c:f>
              <c:strCache>
                <c:ptCount val="4"/>
                <c:pt idx="0">
                  <c:v>0 people</c:v>
                </c:pt>
                <c:pt idx="1">
                  <c:v>1-2 people</c:v>
                </c:pt>
                <c:pt idx="2">
                  <c:v>3-4 people</c:v>
                </c:pt>
                <c:pt idx="3">
                  <c:v>&gt;4 people</c:v>
                </c:pt>
              </c:strCache>
            </c:strRef>
          </c:cat>
          <c:val>
            <c:numRef>
              <c:f>'3'!$D$14:$D$17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5312"/>
        <c:axId val="89486848"/>
      </c:barChart>
      <c:catAx>
        <c:axId val="8948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89486848"/>
        <c:crosses val="autoZero"/>
        <c:auto val="1"/>
        <c:lblAlgn val="ctr"/>
        <c:lblOffset val="100"/>
        <c:noMultiLvlLbl val="0"/>
      </c:catAx>
      <c:valAx>
        <c:axId val="89486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4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Household</a:t>
            </a:r>
            <a:r>
              <a:rPr lang="en-US" sz="1300" baseline="0"/>
              <a:t> head</a:t>
            </a:r>
            <a:endParaRPr lang="en-US" sz="1300"/>
          </a:p>
        </c:rich>
      </c:tx>
      <c:layout>
        <c:manualLayout>
          <c:xMode val="edge"/>
          <c:yMode val="edge"/>
          <c:x val="0.27656218779104219"/>
          <c:y val="3.13633437329767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510879688426"/>
          <c:y val="0.25166695829687957"/>
          <c:w val="0.38720413174159679"/>
          <c:h val="0.66685156022163894"/>
        </c:manualLayout>
      </c:layout>
      <c:pieChart>
        <c:varyColors val="1"/>
        <c:ser>
          <c:idx val="0"/>
          <c:order val="0"/>
          <c:tx>
            <c:strRef>
              <c:f>'3'!$D$22</c:f>
              <c:strCache>
                <c:ptCount val="1"/>
                <c:pt idx="0">
                  <c:v>% Frequency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'3'!$B$23:$B$25</c:f>
              <c:strCache>
                <c:ptCount val="3"/>
                <c:pt idx="0">
                  <c:v>Single female</c:v>
                </c:pt>
                <c:pt idx="1">
                  <c:v>Single male</c:v>
                </c:pt>
                <c:pt idx="2">
                  <c:v>Not single headed</c:v>
                </c:pt>
              </c:strCache>
            </c:strRef>
          </c:cat>
          <c:val>
            <c:numRef>
              <c:f>'3'!$D$23:$D$25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555431377529411"/>
          <c:y val="0.28046777486147562"/>
          <c:w val="0.34167674202015069"/>
          <c:h val="0.6209680932740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Access to complain mechanism</a:t>
            </a:r>
          </a:p>
        </c:rich>
      </c:tx>
      <c:layout>
        <c:manualLayout>
          <c:xMode val="edge"/>
          <c:yMode val="edge"/>
          <c:x val="0.11022107482466331"/>
          <c:y val="4.50704358642374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61114818274834"/>
          <c:y val="0.27023511744042511"/>
          <c:w val="0.46621433337781931"/>
          <c:h val="0.68469444669533741"/>
        </c:manualLayout>
      </c:layout>
      <c:pieChart>
        <c:varyColors val="1"/>
        <c:ser>
          <c:idx val="0"/>
          <c:order val="0"/>
          <c:tx>
            <c:strRef>
              <c:f>'5'!$D$11</c:f>
              <c:strCache>
                <c:ptCount val="1"/>
                <c:pt idx="0">
                  <c:v>% Frequency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'5'!$B$12:$B$13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'5'!$D$12:$D$13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612625116775657"/>
          <c:y val="0.36782798945044232"/>
          <c:w val="0.13440247837872724"/>
          <c:h val="0.271668262664822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Knowledge of complain mechanism</a:t>
            </a:r>
          </a:p>
        </c:rich>
      </c:tx>
      <c:layout>
        <c:manualLayout>
          <c:xMode val="edge"/>
          <c:yMode val="edge"/>
          <c:x val="0.11407677968991828"/>
          <c:y val="3.9493166802425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37295786013487"/>
          <c:y val="0.25029740247986243"/>
          <c:w val="0.3813948908462797"/>
          <c:h val="0.72211639062358579"/>
        </c:manualLayout>
      </c:layout>
      <c:pieChart>
        <c:varyColors val="1"/>
        <c:ser>
          <c:idx val="0"/>
          <c:order val="0"/>
          <c:tx>
            <c:strRef>
              <c:f>'5'!$D$5</c:f>
              <c:strCache>
                <c:ptCount val="1"/>
                <c:pt idx="0">
                  <c:v>% Frequency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'5'!$B$6:$B$7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'5'!$D$6:$D$7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027792089943626"/>
          <c:y val="0.39134262063395919"/>
          <c:w val="0.17725924828752748"/>
          <c:h val="0.368938690356013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Household experience threat</a:t>
            </a:r>
          </a:p>
        </c:rich>
      </c:tx>
      <c:layout>
        <c:manualLayout>
          <c:xMode val="edge"/>
          <c:yMode val="edge"/>
          <c:x val="0.12487691670120182"/>
          <c:y val="1.52817528050138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28593039702891"/>
          <c:y val="0.21018367461956605"/>
          <c:w val="0.43181374662461142"/>
          <c:h val="0.7118258086107172"/>
        </c:manualLayout>
      </c:layout>
      <c:pieChart>
        <c:varyColors val="1"/>
        <c:ser>
          <c:idx val="0"/>
          <c:order val="0"/>
          <c:tx>
            <c:strRef>
              <c:f>'6'!$D$4</c:f>
              <c:strCache>
                <c:ptCount val="1"/>
                <c:pt idx="0">
                  <c:v>% Frequency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'6'!$B$5:$B$6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'6'!$D$5:$D$6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538768749007244"/>
          <c:y val="0.3625003927655332"/>
          <c:w val="0.15271687580839136"/>
          <c:h val="0.31775654322440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en-US" sz="1300"/>
              <a:t>Time</a:t>
            </a:r>
            <a:r>
              <a:rPr lang="en-US" sz="1300" baseline="0"/>
              <a:t> waited in line</a:t>
            </a:r>
            <a:endParaRPr lang="en-US" sz="1300"/>
          </a:p>
        </c:rich>
      </c:tx>
      <c:layout>
        <c:manualLayout>
          <c:xMode val="edge"/>
          <c:yMode val="edge"/>
          <c:x val="0.29763506865641176"/>
          <c:y val="3.613372551228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63038040610457"/>
          <c:y val="0.21483100087017512"/>
          <c:w val="0.84659416267483534"/>
          <c:h val="0.57680548930101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'7'!$D$13</c:f>
              <c:strCache>
                <c:ptCount val="1"/>
                <c:pt idx="0">
                  <c:v>% Frequency</c:v>
                </c:pt>
              </c:strCache>
            </c:strRef>
          </c:tx>
          <c:invertIfNegative val="0"/>
          <c:cat>
            <c:strRef>
              <c:f>'7'!$B$14:$B$18</c:f>
              <c:strCache>
                <c:ptCount val="5"/>
                <c:pt idx="0">
                  <c:v>0-30.</c:v>
                </c:pt>
                <c:pt idx="1">
                  <c:v>30-60 </c:v>
                </c:pt>
                <c:pt idx="2">
                  <c:v>60-90 </c:v>
                </c:pt>
                <c:pt idx="3">
                  <c:v>90-120 </c:v>
                </c:pt>
                <c:pt idx="4">
                  <c:v>&gt; 121</c:v>
                </c:pt>
              </c:strCache>
            </c:strRef>
          </c:cat>
          <c:val>
            <c:numRef>
              <c:f>'7'!$D$14:$D$18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45344"/>
        <c:axId val="91147264"/>
      </c:barChart>
      <c:catAx>
        <c:axId val="9114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(mins)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91147264"/>
        <c:crosses val="autoZero"/>
        <c:auto val="1"/>
        <c:lblAlgn val="ctr"/>
        <c:lblOffset val="100"/>
        <c:noMultiLvlLbl val="0"/>
      </c:catAx>
      <c:valAx>
        <c:axId val="911472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14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9</xdr:row>
      <xdr:rowOff>33336</xdr:rowOff>
    </xdr:from>
    <xdr:to>
      <xdr:col>13</xdr:col>
      <xdr:colOff>209550</xdr:colOff>
      <xdr:row>28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1</xdr:row>
      <xdr:rowOff>114300</xdr:rowOff>
    </xdr:from>
    <xdr:to>
      <xdr:col>14</xdr:col>
      <xdr:colOff>219075</xdr:colOff>
      <xdr:row>12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</xdr:row>
      <xdr:rowOff>19050</xdr:rowOff>
    </xdr:from>
    <xdr:to>
      <xdr:col>9</xdr:col>
      <xdr:colOff>285750</xdr:colOff>
      <xdr:row>10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12</xdr:row>
      <xdr:rowOff>9525</xdr:rowOff>
    </xdr:from>
    <xdr:to>
      <xdr:col>9</xdr:col>
      <xdr:colOff>447675</xdr:colOff>
      <xdr:row>19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133351</xdr:colOff>
      <xdr:row>21</xdr:row>
      <xdr:rowOff>0</xdr:rowOff>
    </xdr:from>
    <xdr:to>
      <xdr:col>9</xdr:col>
      <xdr:colOff>38101</xdr:colOff>
      <xdr:row>28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10</xdr:row>
      <xdr:rowOff>19049</xdr:rowOff>
    </xdr:from>
    <xdr:to>
      <xdr:col>8</xdr:col>
      <xdr:colOff>600075</xdr:colOff>
      <xdr:row>18</xdr:row>
      <xdr:rowOff>185736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104774</xdr:colOff>
      <xdr:row>1</xdr:row>
      <xdr:rowOff>152399</xdr:rowOff>
    </xdr:from>
    <xdr:to>
      <xdr:col>8</xdr:col>
      <xdr:colOff>581025</xdr:colOff>
      <xdr:row>9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176212</xdr:rowOff>
    </xdr:from>
    <xdr:to>
      <xdr:col>8</xdr:col>
      <xdr:colOff>428625</xdr:colOff>
      <xdr:row>11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12</xdr:row>
      <xdr:rowOff>0</xdr:rowOff>
    </xdr:from>
    <xdr:to>
      <xdr:col>9</xdr:col>
      <xdr:colOff>581025</xdr:colOff>
      <xdr:row>21</xdr:row>
      <xdr:rowOff>42861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2</xdr:row>
      <xdr:rowOff>157162</xdr:rowOff>
    </xdr:from>
    <xdr:to>
      <xdr:col>10</xdr:col>
      <xdr:colOff>9525</xdr:colOff>
      <xdr:row>11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"/>
  <sheetViews>
    <sheetView workbookViewId="0"/>
  </sheetViews>
  <sheetFormatPr defaultRowHeight="15" x14ac:dyDescent="0.25"/>
  <cols>
    <col min="26" max="26" width="23" customWidth="1"/>
    <col min="32" max="56" width="17.28515625" customWidth="1"/>
  </cols>
  <sheetData>
    <row r="1" spans="1:49" x14ac:dyDescent="0.25">
      <c r="A1" t="s">
        <v>7</v>
      </c>
    </row>
    <row r="2" spans="1:49" x14ac:dyDescent="0.25">
      <c r="A2" t="s">
        <v>8</v>
      </c>
    </row>
    <row r="3" spans="1:49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  <c r="AO3" t="s">
        <v>49</v>
      </c>
      <c r="AP3" t="s">
        <v>50</v>
      </c>
      <c r="AQ3" t="s">
        <v>51</v>
      </c>
      <c r="AR3" t="s">
        <v>52</v>
      </c>
      <c r="AS3" t="s">
        <v>53</v>
      </c>
      <c r="AT3" t="s">
        <v>54</v>
      </c>
      <c r="AU3" t="s">
        <v>55</v>
      </c>
      <c r="AV3" t="s">
        <v>56</v>
      </c>
      <c r="AW3" t="s">
        <v>57</v>
      </c>
    </row>
    <row r="4" spans="1:49" x14ac:dyDescent="0.25">
      <c r="A4" t="s">
        <v>58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20</v>
      </c>
      <c r="M4" t="s">
        <v>21</v>
      </c>
      <c r="N4" t="s">
        <v>22</v>
      </c>
      <c r="O4" t="s">
        <v>59</v>
      </c>
      <c r="P4" t="s">
        <v>60</v>
      </c>
      <c r="Q4" t="s">
        <v>61</v>
      </c>
      <c r="R4" t="s">
        <v>62</v>
      </c>
      <c r="S4" t="s">
        <v>63</v>
      </c>
      <c r="T4" t="s">
        <v>64</v>
      </c>
      <c r="U4" t="s">
        <v>65</v>
      </c>
      <c r="V4" t="s">
        <v>66</v>
      </c>
      <c r="W4" t="s">
        <v>67</v>
      </c>
      <c r="X4" t="s">
        <v>68</v>
      </c>
      <c r="Y4" t="s">
        <v>69</v>
      </c>
      <c r="Z4" t="s">
        <v>70</v>
      </c>
      <c r="AA4" t="s">
        <v>71</v>
      </c>
      <c r="AB4" t="s">
        <v>72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82</v>
      </c>
      <c r="AM4" t="s">
        <v>83</v>
      </c>
      <c r="AN4" t="s">
        <v>84</v>
      </c>
      <c r="AO4" t="s">
        <v>85</v>
      </c>
      <c r="AP4" t="s">
        <v>86</v>
      </c>
      <c r="AQ4" t="s">
        <v>87</v>
      </c>
      <c r="AR4" t="s">
        <v>88</v>
      </c>
      <c r="AS4" t="s">
        <v>89</v>
      </c>
      <c r="AT4" t="s">
        <v>90</v>
      </c>
      <c r="AU4" t="s">
        <v>91</v>
      </c>
      <c r="AV4" t="s">
        <v>92</v>
      </c>
      <c r="AW4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RowHeight="15" x14ac:dyDescent="0.25"/>
  <cols>
    <col min="1" max="1" width="9.7109375" customWidth="1"/>
    <col min="2" max="2" width="12" customWidth="1"/>
  </cols>
  <sheetData>
    <row r="1" spans="1:2" s="1" customFormat="1" ht="27.75" customHeight="1" x14ac:dyDescent="0.25">
      <c r="A1" s="68" t="s">
        <v>287</v>
      </c>
      <c r="B1" s="1" t="s">
        <v>0</v>
      </c>
    </row>
    <row r="2" spans="1:2" s="67" customFormat="1" x14ac:dyDescent="0.25">
      <c r="A2" s="67">
        <v>1</v>
      </c>
      <c r="B2" s="67" t="s">
        <v>236</v>
      </c>
    </row>
    <row r="3" spans="1:2" s="67" customFormat="1" x14ac:dyDescent="0.25">
      <c r="A3" s="67">
        <v>2</v>
      </c>
      <c r="B3" s="67" t="s">
        <v>1</v>
      </c>
    </row>
    <row r="4" spans="1:2" s="67" customFormat="1" x14ac:dyDescent="0.25">
      <c r="A4" s="67">
        <v>3</v>
      </c>
      <c r="B4" s="67" t="s">
        <v>2</v>
      </c>
    </row>
    <row r="5" spans="1:2" s="67" customFormat="1" x14ac:dyDescent="0.25">
      <c r="A5" s="67">
        <v>4</v>
      </c>
      <c r="B5" s="67" t="s">
        <v>3</v>
      </c>
    </row>
    <row r="6" spans="1:2" s="67" customFormat="1" x14ac:dyDescent="0.25">
      <c r="A6" s="67">
        <v>5</v>
      </c>
      <c r="B6" s="67" t="s">
        <v>6</v>
      </c>
    </row>
    <row r="7" spans="1:2" s="67" customFormat="1" x14ac:dyDescent="0.25">
      <c r="A7" s="67">
        <v>6</v>
      </c>
      <c r="B7" s="67" t="s">
        <v>5</v>
      </c>
    </row>
    <row r="8" spans="1:2" s="67" customFormat="1" x14ac:dyDescent="0.25">
      <c r="A8" s="67">
        <v>7</v>
      </c>
      <c r="B8" s="67" t="s">
        <v>4</v>
      </c>
    </row>
  </sheetData>
  <sortState ref="B2:C39">
    <sortCondition ref="B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workbookViewId="0"/>
  </sheetViews>
  <sheetFormatPr defaultRowHeight="15" x14ac:dyDescent="0.25"/>
  <cols>
    <col min="1" max="1" width="9.140625" style="56"/>
    <col min="2" max="2" width="29.5703125" style="56" customWidth="1"/>
    <col min="3" max="3" width="17.28515625" style="56" customWidth="1"/>
    <col min="4" max="4" width="15.85546875" style="56" customWidth="1"/>
    <col min="5" max="5" width="12.140625" style="56" customWidth="1"/>
    <col min="6" max="6" width="9.140625" style="56"/>
    <col min="7" max="7" width="11.5703125" style="56" customWidth="1"/>
    <col min="8" max="8" width="9.140625" style="56"/>
    <col min="9" max="9" width="12.140625" style="56" customWidth="1"/>
    <col min="10" max="10" width="9.140625" style="56"/>
    <col min="11" max="11" width="11.140625" style="56" customWidth="1"/>
    <col min="12" max="12" width="11.7109375" style="56" customWidth="1"/>
    <col min="13" max="13" width="12.42578125" style="56" customWidth="1"/>
    <col min="14" max="14" width="9.140625" style="56"/>
    <col min="15" max="15" width="11.42578125" style="56" customWidth="1"/>
    <col min="16" max="16" width="9.140625" style="56"/>
    <col min="17" max="17" width="11.7109375" style="56" customWidth="1"/>
    <col min="18" max="18" width="11.5703125" style="56" customWidth="1"/>
    <col min="19" max="19" width="11.140625" style="56" customWidth="1"/>
    <col min="20" max="20" width="12.140625" style="56" customWidth="1"/>
    <col min="21" max="21" width="12.85546875" style="56" customWidth="1"/>
    <col min="22" max="22" width="11.85546875" style="56" customWidth="1"/>
    <col min="23" max="23" width="12.28515625" style="56" customWidth="1"/>
    <col min="24" max="24" width="12.7109375" style="56" customWidth="1"/>
    <col min="25" max="25" width="12.28515625" style="56" customWidth="1"/>
    <col min="26" max="26" width="9.140625" style="56"/>
    <col min="27" max="27" width="12.42578125" style="56" customWidth="1"/>
    <col min="28" max="28" width="16.5703125" style="56" customWidth="1"/>
    <col min="29" max="29" width="14" style="56" customWidth="1"/>
    <col min="30" max="30" width="14.85546875" style="56" customWidth="1"/>
    <col min="31" max="31" width="11.42578125" style="56" customWidth="1"/>
    <col min="32" max="32" width="9.140625" style="56"/>
    <col min="33" max="33" width="11.42578125" style="56" customWidth="1"/>
    <col min="34" max="35" width="9.140625" style="56"/>
    <col min="36" max="36" width="16.42578125" style="56" customWidth="1"/>
    <col min="37" max="16384" width="9.140625" style="56"/>
  </cols>
  <sheetData>
    <row r="1" spans="1:14" s="69" customFormat="1" ht="17.25" customHeight="1" x14ac:dyDescent="0.25">
      <c r="A1" s="69">
        <v>1</v>
      </c>
      <c r="B1" s="69" t="s">
        <v>109</v>
      </c>
    </row>
    <row r="3" spans="1:14" x14ac:dyDescent="0.25">
      <c r="B3" s="56" t="s">
        <v>23</v>
      </c>
    </row>
    <row r="4" spans="1:14" x14ac:dyDescent="0.25">
      <c r="B4" s="2" t="s">
        <v>266</v>
      </c>
      <c r="C4" s="3" t="s">
        <v>105</v>
      </c>
      <c r="D4" s="4" t="s">
        <v>111</v>
      </c>
    </row>
    <row r="5" spans="1:14" x14ac:dyDescent="0.25">
      <c r="B5" s="57" t="s">
        <v>264</v>
      </c>
      <c r="C5" s="58">
        <f>COUNTIF(Data!O:O,"*NFI*")</f>
        <v>0</v>
      </c>
      <c r="D5" s="8" t="e">
        <f>C5/C7</f>
        <v>#DIV/0!</v>
      </c>
    </row>
    <row r="6" spans="1:14" x14ac:dyDescent="0.25">
      <c r="B6" s="59" t="s">
        <v>265</v>
      </c>
      <c r="C6" s="60">
        <f>COUNTIF(Data!O:O,"*Emergency*")</f>
        <v>0</v>
      </c>
      <c r="D6" s="12" t="e">
        <f>C6/C7</f>
        <v>#DIV/0!</v>
      </c>
    </row>
    <row r="7" spans="1:14" x14ac:dyDescent="0.25">
      <c r="B7" s="59" t="s">
        <v>275</v>
      </c>
      <c r="C7" s="60">
        <f>SUM(C5:C6)</f>
        <v>0</v>
      </c>
      <c r="D7" s="12" t="e">
        <f>SUM(D5:D6)</f>
        <v>#DIV/0!</v>
      </c>
    </row>
    <row r="8" spans="1:14" x14ac:dyDescent="0.25">
      <c r="B8" s="59" t="s">
        <v>276</v>
      </c>
      <c r="C8" s="61">
        <f>COUNTIF(Data!O:O, "*NFI*") + COUNTIF(Data!O:O, "*Emergency*") - COUNTIFS(Data!O:O, "*NFI*", Data!O:O, "*Emergency*")</f>
        <v>0</v>
      </c>
      <c r="D8" s="62"/>
    </row>
    <row r="9" spans="1:14" x14ac:dyDescent="0.25">
      <c r="B9" s="53"/>
      <c r="E9" s="63"/>
      <c r="G9" s="58"/>
      <c r="H9" s="58"/>
      <c r="I9" s="58"/>
      <c r="J9" s="58"/>
      <c r="K9" s="58"/>
      <c r="L9" s="58"/>
      <c r="M9" s="58"/>
      <c r="N9" s="58"/>
    </row>
    <row r="10" spans="1:14" x14ac:dyDescent="0.25">
      <c r="B10" s="56" t="s">
        <v>24</v>
      </c>
      <c r="F10" s="58"/>
      <c r="G10" s="58"/>
      <c r="H10" s="58"/>
      <c r="I10" s="58"/>
      <c r="J10" s="58"/>
      <c r="K10" s="58"/>
      <c r="L10" s="58"/>
    </row>
    <row r="11" spans="1:14" x14ac:dyDescent="0.25">
      <c r="B11" s="64"/>
      <c r="C11" s="58"/>
      <c r="D11" s="7"/>
      <c r="F11" s="58"/>
      <c r="G11" s="58"/>
      <c r="H11" s="58"/>
      <c r="I11" s="58"/>
      <c r="J11" s="58"/>
      <c r="K11" s="58"/>
      <c r="L11" s="58"/>
    </row>
    <row r="12" spans="1:14" x14ac:dyDescent="0.25">
      <c r="B12" s="2" t="s">
        <v>110</v>
      </c>
      <c r="C12" s="3" t="s">
        <v>105</v>
      </c>
      <c r="D12" s="4" t="s">
        <v>111</v>
      </c>
      <c r="F12" s="58"/>
      <c r="G12" s="58"/>
      <c r="H12" s="58"/>
      <c r="I12" s="58"/>
      <c r="J12" s="58"/>
      <c r="K12" s="58"/>
      <c r="L12" s="58"/>
    </row>
    <row r="13" spans="1:14" x14ac:dyDescent="0.25">
      <c r="B13" s="22" t="s">
        <v>112</v>
      </c>
      <c r="C13" s="23">
        <f>COUNTIF(Data!P:P,"Awdal")</f>
        <v>0</v>
      </c>
      <c r="D13" s="24" t="e">
        <f>C13/C31</f>
        <v>#DIV/0!</v>
      </c>
      <c r="F13" s="58"/>
      <c r="G13" s="58"/>
      <c r="H13" s="58"/>
      <c r="I13" s="58"/>
      <c r="J13" s="58"/>
      <c r="K13" s="58"/>
      <c r="L13" s="58"/>
    </row>
    <row r="14" spans="1:14" x14ac:dyDescent="0.25">
      <c r="B14" s="22" t="s">
        <v>113</v>
      </c>
      <c r="C14" s="23">
        <f>COUNTIF(Data!P:P,"Bakool")</f>
        <v>0</v>
      </c>
      <c r="D14" s="24" t="e">
        <f>C14/C31</f>
        <v>#DIV/0!</v>
      </c>
      <c r="F14" s="58"/>
      <c r="G14" s="58"/>
      <c r="H14" s="58"/>
      <c r="I14" s="58"/>
      <c r="J14" s="58"/>
      <c r="K14" s="58"/>
      <c r="L14" s="58"/>
    </row>
    <row r="15" spans="1:14" x14ac:dyDescent="0.25">
      <c r="B15" s="22" t="s">
        <v>114</v>
      </c>
      <c r="C15" s="23">
        <f>COUNTIF(Data!P:P,"Banaadir")</f>
        <v>0</v>
      </c>
      <c r="D15" s="24" t="e">
        <f>C15/C31</f>
        <v>#DIV/0!</v>
      </c>
      <c r="F15" s="58"/>
      <c r="G15" s="58"/>
      <c r="H15" s="58"/>
      <c r="I15" s="58"/>
      <c r="J15" s="58"/>
      <c r="K15" s="58"/>
      <c r="L15" s="58"/>
    </row>
    <row r="16" spans="1:14" x14ac:dyDescent="0.25">
      <c r="B16" s="22" t="s">
        <v>115</v>
      </c>
      <c r="C16" s="23">
        <f>COUNTIF(Data!P:P,"Bari")</f>
        <v>0</v>
      </c>
      <c r="D16" s="24" t="e">
        <f>C16/C31</f>
        <v>#DIV/0!</v>
      </c>
      <c r="F16" s="58"/>
      <c r="G16" s="58"/>
      <c r="H16" s="58"/>
      <c r="I16" s="58"/>
      <c r="J16" s="58"/>
      <c r="K16" s="58"/>
      <c r="L16" s="58"/>
    </row>
    <row r="17" spans="2:14" x14ac:dyDescent="0.25">
      <c r="B17" s="22" t="s">
        <v>116</v>
      </c>
      <c r="C17" s="23">
        <f>COUNTIF(Data!P:P,"BaY")</f>
        <v>0</v>
      </c>
      <c r="D17" s="24" t="e">
        <f>C17/C31</f>
        <v>#DIV/0!</v>
      </c>
      <c r="F17" s="58"/>
      <c r="G17" s="58"/>
      <c r="H17" s="58"/>
      <c r="I17" s="58"/>
      <c r="J17" s="58"/>
      <c r="K17" s="58"/>
      <c r="L17" s="58"/>
    </row>
    <row r="18" spans="2:14" x14ac:dyDescent="0.25">
      <c r="B18" s="22" t="s">
        <v>117</v>
      </c>
      <c r="C18" s="23">
        <f>COUNTIF(Data!P:P,"Galguduud")</f>
        <v>0</v>
      </c>
      <c r="D18" s="24" t="e">
        <f>C18/C31</f>
        <v>#DIV/0!</v>
      </c>
      <c r="F18" s="58"/>
      <c r="G18" s="58"/>
      <c r="H18" s="58"/>
      <c r="I18" s="58"/>
      <c r="J18" s="58"/>
      <c r="K18" s="58"/>
      <c r="L18" s="58"/>
    </row>
    <row r="19" spans="2:14" x14ac:dyDescent="0.25">
      <c r="B19" s="22" t="s">
        <v>118</v>
      </c>
      <c r="C19" s="23">
        <f>COUNTIF(Data!P:P,"Gedo")</f>
        <v>0</v>
      </c>
      <c r="D19" s="24" t="e">
        <f>C19/C31</f>
        <v>#DIV/0!</v>
      </c>
      <c r="F19" s="58"/>
      <c r="G19" s="58"/>
      <c r="H19" s="58"/>
      <c r="I19" s="58"/>
      <c r="J19" s="58"/>
      <c r="K19" s="58"/>
      <c r="L19" s="58"/>
    </row>
    <row r="20" spans="2:14" x14ac:dyDescent="0.25">
      <c r="B20" s="22" t="s">
        <v>119</v>
      </c>
      <c r="C20" s="23">
        <f>COUNTIF(Data!P:P,"Hiiraan")</f>
        <v>0</v>
      </c>
      <c r="D20" s="24" t="e">
        <f>C20/C31</f>
        <v>#DIV/0!</v>
      </c>
      <c r="F20" s="58"/>
      <c r="G20" s="58"/>
      <c r="H20" s="58"/>
      <c r="I20" s="58"/>
      <c r="J20" s="58"/>
      <c r="K20" s="58"/>
      <c r="L20" s="58"/>
    </row>
    <row r="21" spans="2:14" x14ac:dyDescent="0.25">
      <c r="B21" s="22" t="s">
        <v>120</v>
      </c>
      <c r="C21" s="23">
        <f>COUNTIF(Data!P:P,"Middle Juba")</f>
        <v>0</v>
      </c>
      <c r="D21" s="24" t="e">
        <f>C21/C31</f>
        <v>#DIV/0!</v>
      </c>
      <c r="F21" s="58"/>
      <c r="G21" s="58"/>
      <c r="H21" s="58"/>
      <c r="I21" s="58"/>
      <c r="J21" s="58"/>
      <c r="K21" s="58"/>
      <c r="L21" s="58"/>
    </row>
    <row r="22" spans="2:14" x14ac:dyDescent="0.25">
      <c r="B22" s="22" t="s">
        <v>121</v>
      </c>
      <c r="C22" s="23">
        <f>COUNTIF(Data!P:P,"Lower Juba")</f>
        <v>0</v>
      </c>
      <c r="D22" s="24" t="e">
        <f>C22/C31</f>
        <v>#DIV/0!</v>
      </c>
      <c r="F22" s="58"/>
      <c r="G22" s="58"/>
      <c r="H22" s="58"/>
      <c r="I22" s="58"/>
      <c r="J22" s="58"/>
      <c r="K22" s="58"/>
      <c r="L22" s="58"/>
    </row>
    <row r="23" spans="2:14" x14ac:dyDescent="0.25">
      <c r="B23" s="22" t="s">
        <v>122</v>
      </c>
      <c r="C23" s="23">
        <f>COUNTIF(Data!P:P,"Mudug")</f>
        <v>0</v>
      </c>
      <c r="D23" s="24" t="e">
        <f>C23/C31</f>
        <v>#DIV/0!</v>
      </c>
      <c r="F23" s="58"/>
      <c r="G23" s="58"/>
      <c r="H23" s="58"/>
      <c r="I23" s="58"/>
      <c r="J23" s="58"/>
      <c r="K23" s="58"/>
      <c r="L23" s="58"/>
    </row>
    <row r="24" spans="2:14" x14ac:dyDescent="0.25">
      <c r="B24" s="22" t="s">
        <v>123</v>
      </c>
      <c r="C24" s="23">
        <f>COUNTIF(Data!P:P,"Nugaal")</f>
        <v>0</v>
      </c>
      <c r="D24" s="24" t="e">
        <f>C24/C31</f>
        <v>#DIV/0!</v>
      </c>
      <c r="F24" s="58"/>
      <c r="G24" s="58"/>
      <c r="H24" s="58"/>
      <c r="I24" s="58"/>
      <c r="J24" s="58"/>
      <c r="K24" s="58"/>
      <c r="L24" s="58"/>
    </row>
    <row r="25" spans="2:14" x14ac:dyDescent="0.25">
      <c r="B25" s="22" t="s">
        <v>124</v>
      </c>
      <c r="C25" s="23">
        <f>COUNTIF(Data!P:P,"Sanaag")</f>
        <v>0</v>
      </c>
      <c r="D25" s="24" t="e">
        <f>C25/C31</f>
        <v>#DIV/0!</v>
      </c>
      <c r="F25" s="58"/>
      <c r="G25" s="58"/>
      <c r="H25" s="58"/>
      <c r="I25" s="58"/>
      <c r="J25" s="58"/>
      <c r="K25" s="58"/>
      <c r="L25" s="58"/>
    </row>
    <row r="26" spans="2:14" x14ac:dyDescent="0.25">
      <c r="B26" s="22" t="s">
        <v>125</v>
      </c>
      <c r="C26" s="23">
        <f>COUNTIF(Data!P:P,"Middle Shabelle")</f>
        <v>0</v>
      </c>
      <c r="D26" s="24" t="e">
        <f>C26/C31</f>
        <v>#DIV/0!</v>
      </c>
      <c r="F26" s="58"/>
      <c r="G26" s="58"/>
      <c r="H26" s="58"/>
      <c r="I26" s="58"/>
      <c r="J26" s="58"/>
      <c r="K26" s="58"/>
      <c r="L26" s="58"/>
    </row>
    <row r="27" spans="2:14" x14ac:dyDescent="0.25">
      <c r="B27" s="22" t="s">
        <v>126</v>
      </c>
      <c r="C27" s="23">
        <f>COUNTIF(Data!P:P,"Lower Shabelle")</f>
        <v>0</v>
      </c>
      <c r="D27" s="24" t="e">
        <f>C27/C31</f>
        <v>#DIV/0!</v>
      </c>
      <c r="F27" s="58"/>
      <c r="G27" s="58"/>
      <c r="H27" s="58"/>
      <c r="I27" s="58"/>
      <c r="J27" s="58"/>
      <c r="K27" s="58"/>
      <c r="L27" s="58"/>
    </row>
    <row r="28" spans="2:14" x14ac:dyDescent="0.25">
      <c r="B28" s="22" t="s">
        <v>127</v>
      </c>
      <c r="C28" s="23">
        <f>COUNTIF(Data!P:P,"Sool")</f>
        <v>0</v>
      </c>
      <c r="D28" s="24" t="e">
        <f>C28/C31</f>
        <v>#DIV/0!</v>
      </c>
      <c r="F28" s="58"/>
      <c r="G28" s="58"/>
      <c r="H28" s="58"/>
      <c r="I28" s="58"/>
      <c r="J28" s="58"/>
      <c r="K28" s="58"/>
      <c r="L28" s="58"/>
    </row>
    <row r="29" spans="2:14" x14ac:dyDescent="0.25">
      <c r="B29" s="22" t="s">
        <v>128</v>
      </c>
      <c r="C29" s="23">
        <f>COUNTIF(Data!P:P,"Togdheer")</f>
        <v>0</v>
      </c>
      <c r="D29" s="24" t="e">
        <f>C29/C31</f>
        <v>#DIV/0!</v>
      </c>
      <c r="G29" s="58"/>
      <c r="H29" s="58"/>
      <c r="I29" s="58"/>
      <c r="J29" s="58"/>
      <c r="K29" s="58"/>
      <c r="L29" s="58"/>
      <c r="M29" s="58"/>
      <c r="N29" s="58"/>
    </row>
    <row r="30" spans="2:14" x14ac:dyDescent="0.25">
      <c r="B30" s="25" t="s">
        <v>129</v>
      </c>
      <c r="C30" s="26">
        <f>COUNTIF(Data!P:P,"Middle Shabelle")</f>
        <v>0</v>
      </c>
      <c r="D30" s="27" t="e">
        <f>C30/C31</f>
        <v>#DIV/0!</v>
      </c>
      <c r="G30" s="58"/>
      <c r="H30" s="58"/>
      <c r="I30" s="58"/>
      <c r="J30" s="58"/>
      <c r="K30" s="58"/>
      <c r="L30" s="58"/>
      <c r="M30" s="58"/>
      <c r="N30" s="58"/>
    </row>
    <row r="31" spans="2:14" x14ac:dyDescent="0.25">
      <c r="B31" s="28" t="s">
        <v>99</v>
      </c>
      <c r="C31" s="60">
        <f>SUM(C13:C30)</f>
        <v>0</v>
      </c>
      <c r="D31" s="27" t="e">
        <f>SUM(D13:D30)</f>
        <v>#DIV/0!</v>
      </c>
      <c r="E31" s="63"/>
      <c r="G31" s="58"/>
      <c r="H31" s="58"/>
      <c r="I31" s="58"/>
      <c r="J31" s="58"/>
      <c r="K31" s="58"/>
      <c r="L31" s="58"/>
      <c r="M31" s="58"/>
      <c r="N31" s="58"/>
    </row>
    <row r="32" spans="2:14" x14ac:dyDescent="0.25">
      <c r="B32" s="29"/>
      <c r="C32" s="58"/>
      <c r="D32" s="30"/>
      <c r="E32" s="63"/>
      <c r="G32" s="58"/>
      <c r="H32" s="58"/>
      <c r="I32" s="58"/>
      <c r="J32" s="58"/>
      <c r="K32" s="58"/>
      <c r="L32" s="58"/>
      <c r="M32" s="58"/>
      <c r="N32" s="58"/>
    </row>
    <row r="33" spans="2:37" x14ac:dyDescent="0.25">
      <c r="B33" s="65" t="s">
        <v>130</v>
      </c>
      <c r="C33" s="58"/>
      <c r="D33" s="30"/>
      <c r="E33" s="63"/>
      <c r="G33" s="58"/>
      <c r="H33" s="58"/>
      <c r="I33" s="58"/>
      <c r="J33" s="58"/>
      <c r="K33" s="58"/>
      <c r="L33" s="58"/>
      <c r="M33" s="58"/>
      <c r="N33" s="58"/>
    </row>
    <row r="34" spans="2:37" x14ac:dyDescent="0.25">
      <c r="B34" s="2" t="s">
        <v>131</v>
      </c>
      <c r="C34" s="3" t="s">
        <v>105</v>
      </c>
      <c r="D34" s="3" t="s">
        <v>115</v>
      </c>
      <c r="E34" s="3" t="s">
        <v>105</v>
      </c>
      <c r="F34" s="3" t="s">
        <v>113</v>
      </c>
      <c r="G34" s="3" t="s">
        <v>105</v>
      </c>
      <c r="H34" s="3" t="s">
        <v>112</v>
      </c>
      <c r="I34" s="3" t="s">
        <v>105</v>
      </c>
      <c r="J34" s="3" t="s">
        <v>116</v>
      </c>
      <c r="K34" s="3" t="s">
        <v>105</v>
      </c>
      <c r="L34" s="3" t="s">
        <v>132</v>
      </c>
      <c r="M34" s="3" t="s">
        <v>105</v>
      </c>
      <c r="N34" s="3" t="s">
        <v>118</v>
      </c>
      <c r="O34" s="3" t="s">
        <v>105</v>
      </c>
      <c r="P34" s="3" t="s">
        <v>133</v>
      </c>
      <c r="Q34" s="3" t="s">
        <v>105</v>
      </c>
      <c r="R34" s="3" t="s">
        <v>120</v>
      </c>
      <c r="S34" s="3" t="s">
        <v>105</v>
      </c>
      <c r="T34" s="3" t="s">
        <v>121</v>
      </c>
      <c r="U34" s="3" t="s">
        <v>105</v>
      </c>
      <c r="V34" s="3" t="s">
        <v>122</v>
      </c>
      <c r="W34" s="3" t="s">
        <v>105</v>
      </c>
      <c r="X34" s="3" t="s">
        <v>123</v>
      </c>
      <c r="Y34" s="3" t="s">
        <v>105</v>
      </c>
      <c r="Z34" s="3" t="s">
        <v>124</v>
      </c>
      <c r="AA34" s="3" t="s">
        <v>105</v>
      </c>
      <c r="AB34" s="3" t="s">
        <v>125</v>
      </c>
      <c r="AC34" s="3" t="s">
        <v>105</v>
      </c>
      <c r="AD34" s="3" t="s">
        <v>126</v>
      </c>
      <c r="AE34" s="3" t="s">
        <v>105</v>
      </c>
      <c r="AF34" s="3" t="s">
        <v>127</v>
      </c>
      <c r="AG34" s="3" t="s">
        <v>105</v>
      </c>
      <c r="AH34" s="3" t="s">
        <v>128</v>
      </c>
      <c r="AI34" s="3" t="s">
        <v>105</v>
      </c>
      <c r="AJ34" s="3" t="s">
        <v>129</v>
      </c>
      <c r="AK34" s="4" t="s">
        <v>105</v>
      </c>
    </row>
    <row r="35" spans="2:37" x14ac:dyDescent="0.25">
      <c r="B35" s="22" t="s">
        <v>134</v>
      </c>
      <c r="C35" s="31">
        <f>COUNTIF(Data!Q:Q,"Abdiaziz")</f>
        <v>0</v>
      </c>
      <c r="D35" s="31" t="s">
        <v>135</v>
      </c>
      <c r="E35" s="31">
        <f>COUNTIF(Data!Q:Q,"Bender-Bayla")</f>
        <v>0</v>
      </c>
      <c r="F35" s="31" t="s">
        <v>136</v>
      </c>
      <c r="G35" s="31">
        <f>COUNTIF(Data!Q:Q,"Bender-Bayla")</f>
        <v>0</v>
      </c>
      <c r="H35" s="31" t="s">
        <v>137</v>
      </c>
      <c r="I35" s="31">
        <f>COUNTIF(Data!Q:Q,"Baki")</f>
        <v>0</v>
      </c>
      <c r="J35" s="31" t="s">
        <v>138</v>
      </c>
      <c r="K35" s="31">
        <f>COUNTIF(Data!Q:Q,"Baidoa")</f>
        <v>0</v>
      </c>
      <c r="L35" s="31" t="s">
        <v>139</v>
      </c>
      <c r="M35" s="31">
        <f>COUNTIF(Data!Q:Q,"Caabudwag")</f>
        <v>0</v>
      </c>
      <c r="N35" s="31" t="s">
        <v>140</v>
      </c>
      <c r="O35" s="31">
        <f>COUNTIF(Data!Q:Q,"Baardheere")</f>
        <v>0</v>
      </c>
      <c r="P35" s="31" t="s">
        <v>141</v>
      </c>
      <c r="Q35" s="31">
        <f>COUNTIF(Data!Q:Q,"Beledweyne")</f>
        <v>0</v>
      </c>
      <c r="R35" s="31" t="s">
        <v>142</v>
      </c>
      <c r="S35" s="31">
        <f>COUNTIF(Data!Q:Q,"Buaale")</f>
        <v>0</v>
      </c>
      <c r="T35" s="31" t="s">
        <v>143</v>
      </c>
      <c r="U35" s="31">
        <f>COUNTIF(Data!Q:Q,"Afmadow")</f>
        <v>0</v>
      </c>
      <c r="V35" s="31" t="s">
        <v>144</v>
      </c>
      <c r="W35" s="31">
        <f>COUNTIF(Data!Q:Q,"Gaalkacyo")</f>
        <v>0</v>
      </c>
      <c r="X35" s="31" t="s">
        <v>145</v>
      </c>
      <c r="Y35" s="31">
        <f>COUNTIF(Data!Q:Q,"Burtinle")</f>
        <v>0</v>
      </c>
      <c r="Z35" s="31" t="s">
        <v>146</v>
      </c>
      <c r="AA35" s="31">
        <f>COUNTIF(Data!Q:Q,Ceel-Afweyn)</f>
        <v>0</v>
      </c>
      <c r="AB35" s="31" t="s">
        <v>147</v>
      </c>
      <c r="AC35" s="31">
        <f>COUNTIF(Data!Q:Q,"Yabaal")</f>
        <v>0</v>
      </c>
      <c r="AD35" s="31" t="s">
        <v>148</v>
      </c>
      <c r="AE35" s="31">
        <f>COUNTIF(Data!Q:Q,"Afgoi")</f>
        <v>0</v>
      </c>
      <c r="AF35" s="31" t="s">
        <v>149</v>
      </c>
      <c r="AG35" s="31">
        <f>COUNTIF(Data!Q:Q,"Caynaba")</f>
        <v>0</v>
      </c>
      <c r="AH35" s="31" t="s">
        <v>150</v>
      </c>
      <c r="AI35" s="31">
        <f>COUNTIF(Data!Q:Q,"Burao")</f>
        <v>0</v>
      </c>
      <c r="AJ35" s="31" t="s">
        <v>151</v>
      </c>
      <c r="AK35" s="32">
        <f>COUNTIF(Data!Q:Q,"Hargeisat")</f>
        <v>0</v>
      </c>
    </row>
    <row r="36" spans="2:37" x14ac:dyDescent="0.25">
      <c r="B36" s="22" t="s">
        <v>152</v>
      </c>
      <c r="C36" s="31">
        <f>COUNTIF(Data!Q:Q,"Bondhere")</f>
        <v>0</v>
      </c>
      <c r="D36" s="31" t="s">
        <v>153</v>
      </c>
      <c r="E36" s="31">
        <f>COUNTIF(Data!Q:Q,"Bosaso")</f>
        <v>0</v>
      </c>
      <c r="F36" s="31" t="s">
        <v>154</v>
      </c>
      <c r="G36" s="31">
        <f>COUNTIF(Data!Q:Q,"Rabdhuure")</f>
        <v>0</v>
      </c>
      <c r="H36" s="31" t="s">
        <v>155</v>
      </c>
      <c r="I36" s="31">
        <f>COUNTIF(Data!Q:Q,"Borama")</f>
        <v>0</v>
      </c>
      <c r="J36" s="31" t="s">
        <v>156</v>
      </c>
      <c r="K36" s="31">
        <f>COUNTIF(Data!Q:QO,"Buurhakaba")</f>
        <v>0</v>
      </c>
      <c r="L36" s="31" t="s">
        <v>157</v>
      </c>
      <c r="M36" s="31">
        <f>COUNTIF(Data!Q:Q,"Cadaado")</f>
        <v>0</v>
      </c>
      <c r="N36" s="31" t="s">
        <v>158</v>
      </c>
      <c r="O36" s="31">
        <f>COUNTIF(Data!Q:Q,"Beled_Hawo")</f>
        <v>0</v>
      </c>
      <c r="P36" s="31" t="s">
        <v>159</v>
      </c>
      <c r="Q36" s="31">
        <f>COUNTIF(Data!Q:Q,"Buuloburde")</f>
        <v>0</v>
      </c>
      <c r="R36" s="31" t="s">
        <v>160</v>
      </c>
      <c r="S36" s="31">
        <f>COUNTIF(Data!Q:Q,"Jilib")</f>
        <v>0</v>
      </c>
      <c r="T36" s="31" t="s">
        <v>161</v>
      </c>
      <c r="U36" s="31">
        <f>COUNTIF(Data!Q:Q,"Xagar")</f>
        <v>0</v>
      </c>
      <c r="V36" s="31" t="s">
        <v>162</v>
      </c>
      <c r="W36" s="31">
        <f>COUNTIF(Data!Q:Q,"Galdogob")</f>
        <v>0</v>
      </c>
      <c r="X36" s="31" t="s">
        <v>163</v>
      </c>
      <c r="Y36" s="31">
        <f>COUNTIF(Data!Q:Q,"Garoowe")</f>
        <v>0</v>
      </c>
      <c r="Z36" s="31" t="s">
        <v>164</v>
      </c>
      <c r="AA36" s="31">
        <f>COUNTIF(Data!Q:Q,"Ceerigaabo")</f>
        <v>0</v>
      </c>
      <c r="AB36" s="31" t="s">
        <v>165</v>
      </c>
      <c r="AC36" s="31">
        <f>COUNTIF(Data!Q:Q,"Balcad")</f>
        <v>0</v>
      </c>
      <c r="AD36" s="31" t="s">
        <v>166</v>
      </c>
      <c r="AE36" s="31">
        <f>COUNTIF(Data!Q:Q,"Baraawe")</f>
        <v>0</v>
      </c>
      <c r="AF36" s="31" t="s">
        <v>167</v>
      </c>
      <c r="AG36" s="31">
        <f>COUNTIF(Data!Q:Q,"Laascaanood")</f>
        <v>0</v>
      </c>
      <c r="AH36" s="31" t="s">
        <v>168</v>
      </c>
      <c r="AI36" s="31">
        <f>COUNTIF(Data!Q:Q,"Buuhoodle")</f>
        <v>0</v>
      </c>
      <c r="AJ36" s="31" t="s">
        <v>169</v>
      </c>
      <c r="AK36" s="32">
        <f>COUNTIF(Data!Q:Q,"Gabiley")</f>
        <v>0</v>
      </c>
    </row>
    <row r="37" spans="2:37" x14ac:dyDescent="0.25">
      <c r="B37" s="22" t="s">
        <v>170</v>
      </c>
      <c r="C37" s="31">
        <f>COUNTIF(Data!Q:Q,"Daynile")</f>
        <v>0</v>
      </c>
      <c r="D37" s="31" t="s">
        <v>171</v>
      </c>
      <c r="E37" s="31">
        <f>COUNTIF(Data!Q:Q,"Caluula")</f>
        <v>0</v>
      </c>
      <c r="F37" s="31" t="s">
        <v>172</v>
      </c>
      <c r="G37" s="31">
        <f>COUNTIF(Data!Q:Q,"Tiyeeglow")</f>
        <v>0</v>
      </c>
      <c r="H37" s="31" t="s">
        <v>173</v>
      </c>
      <c r="I37" s="31">
        <f>COUNTIF(Data!Q:Q,"Lughaya")</f>
        <v>0</v>
      </c>
      <c r="J37" s="31" t="s">
        <v>174</v>
      </c>
      <c r="K37" s="31">
        <f>COUNTIF(Data!Q:Q,"Diinsoor")</f>
        <v>0</v>
      </c>
      <c r="L37" s="31" t="s">
        <v>175</v>
      </c>
      <c r="M37" s="31">
        <f>COUNTIF(Data!Q:Q,"Ceelbuur")</f>
        <v>0</v>
      </c>
      <c r="N37" s="31" t="s">
        <v>176</v>
      </c>
      <c r="O37" s="31">
        <f>COUNTIF(Data!Q:Q,"Ceelwaaq")</f>
        <v>0</v>
      </c>
      <c r="P37" s="31" t="s">
        <v>177</v>
      </c>
      <c r="Q37" s="31">
        <f>COUNTIF(Data!Q:Q,"Jalalaqsi")</f>
        <v>0</v>
      </c>
      <c r="R37" s="31" t="s">
        <v>178</v>
      </c>
      <c r="S37" s="31">
        <f>COUNTIF(Data!Q:Q,"Sakow")</f>
        <v>0</v>
      </c>
      <c r="T37" s="31" t="s">
        <v>179</v>
      </c>
      <c r="U37" s="31">
        <f>COUNTIF(Data!Q:Q,"Badhaadhe")</f>
        <v>0</v>
      </c>
      <c r="V37" s="31" t="s">
        <v>180</v>
      </c>
      <c r="W37" s="31">
        <f>COUNTIF(Data!Q:Q,"Harardheere")</f>
        <v>0</v>
      </c>
      <c r="X37" s="31" t="s">
        <v>181</v>
      </c>
      <c r="Y37" s="31">
        <f>COUNTIF(Data!Q:Q,"Eyl")</f>
        <v>0</v>
      </c>
      <c r="Z37" s="31" t="s">
        <v>182</v>
      </c>
      <c r="AA37" s="31">
        <f>COUNTIF(Data!Q:Q,"Dhahar")</f>
        <v>0</v>
      </c>
      <c r="AB37" s="31" t="s">
        <v>183</v>
      </c>
      <c r="AC37" s="31">
        <f>COUNTIF(Data!Q:Q,"Cadale")</f>
        <v>0</v>
      </c>
      <c r="AD37" s="31" t="s">
        <v>184</v>
      </c>
      <c r="AE37" s="31">
        <f>COUNTIF(Data!Q:Q,"Kurtunwarey")</f>
        <v>0</v>
      </c>
      <c r="AF37" s="31" t="s">
        <v>185</v>
      </c>
      <c r="AG37" s="31">
        <f>COUNTIF(Data!Q:Q,"Taleex")</f>
        <v>0</v>
      </c>
      <c r="AH37" s="31" t="s">
        <v>186</v>
      </c>
      <c r="AI37" s="31">
        <f>COUNTIF(Data!Q:Q,"Oodwayne")</f>
        <v>0</v>
      </c>
      <c r="AJ37" s="31" t="s">
        <v>187</v>
      </c>
      <c r="AK37" s="32">
        <f>COUNTIF(Data!Q:Q,"Berbera")</f>
        <v>0</v>
      </c>
    </row>
    <row r="38" spans="2:37" x14ac:dyDescent="0.25">
      <c r="B38" s="22" t="s">
        <v>188</v>
      </c>
      <c r="C38" s="31">
        <f>COUNTIF(Data!Q:Q,"Dharkenley")</f>
        <v>0</v>
      </c>
      <c r="D38" s="31" t="s">
        <v>189</v>
      </c>
      <c r="E38" s="31">
        <f>COUNTIF(Data!Q:Q,"Iskushuban")</f>
        <v>0</v>
      </c>
      <c r="F38" s="31" t="s">
        <v>190</v>
      </c>
      <c r="G38" s="31">
        <f>COUNTIF(Data!Q:Q,"Waajid")</f>
        <v>0</v>
      </c>
      <c r="H38" s="31" t="s">
        <v>191</v>
      </c>
      <c r="I38" s="31">
        <f>COUNTIF(Data!Q:Q,"Saylac")</f>
        <v>0</v>
      </c>
      <c r="J38" s="31" t="s">
        <v>192</v>
      </c>
      <c r="K38" s="31">
        <f>COUNTIF(Data!Q:Q,"Qasahdhere")</f>
        <v>0</v>
      </c>
      <c r="L38" s="31" t="s">
        <v>193</v>
      </c>
      <c r="M38" s="31">
        <f>COUNTIF(Data!Q:Q,"Ceeldheer")</f>
        <v>0</v>
      </c>
      <c r="N38" s="31" t="s">
        <v>194</v>
      </c>
      <c r="O38" s="31">
        <f>COUNTIF(Data!Q:Q,"Doolow")</f>
        <v>0</v>
      </c>
      <c r="P38" s="31" t="s">
        <v>195</v>
      </c>
      <c r="Q38" s="31">
        <f>COUNTIF(Data!Q:Q,"Mahas")</f>
        <v>0</v>
      </c>
      <c r="R38" s="31"/>
      <c r="S38" s="31"/>
      <c r="T38" s="31" t="s">
        <v>196</v>
      </c>
      <c r="U38" s="31">
        <f>COUNTIF(Data!Q:Q,"Jamaame")</f>
        <v>0</v>
      </c>
      <c r="V38" s="31" t="s">
        <v>197</v>
      </c>
      <c r="W38" s="31">
        <f>COUNTIF(Data!Q:Q,"Hobyo")</f>
        <v>0</v>
      </c>
      <c r="X38" s="31"/>
      <c r="Y38" s="31"/>
      <c r="Z38" s="31" t="s">
        <v>198</v>
      </c>
      <c r="AA38" s="31">
        <f>COUNTIF(Data!Q:Q,"Laasqoray")</f>
        <v>0</v>
      </c>
      <c r="AB38" s="31" t="s">
        <v>199</v>
      </c>
      <c r="AC38" s="31">
        <f>COUNTIF(Data!Q:Q,"Jowhar")</f>
        <v>0</v>
      </c>
      <c r="AD38" s="31" t="s">
        <v>200</v>
      </c>
      <c r="AE38" s="31">
        <f>COUNTIF(Data!Q:Q,"Marka")</f>
        <v>0</v>
      </c>
      <c r="AF38" s="31" t="s">
        <v>201</v>
      </c>
      <c r="AG38" s="31">
        <f>COUNTIF(Data!Q:Q,"Xudun")</f>
        <v>0</v>
      </c>
      <c r="AH38" s="31" t="s">
        <v>202</v>
      </c>
      <c r="AI38" s="31">
        <f>COUNTIF(Data!Q:Q,"Sheikh")</f>
        <v>0</v>
      </c>
      <c r="AJ38" s="31"/>
      <c r="AK38" s="32"/>
    </row>
    <row r="39" spans="2:37" x14ac:dyDescent="0.25">
      <c r="B39" s="22" t="s">
        <v>203</v>
      </c>
      <c r="C39" s="31">
        <f>COUNTIF(Data!Q:Q,"Hamar-Jajab")</f>
        <v>0</v>
      </c>
      <c r="D39" s="31" t="s">
        <v>204</v>
      </c>
      <c r="E39" s="31">
        <f>COUNTIF(Data!Q:Q,"Qandala")</f>
        <v>0</v>
      </c>
      <c r="F39" s="31"/>
      <c r="G39" s="31"/>
      <c r="H39" s="31"/>
      <c r="I39" s="31"/>
      <c r="J39" s="31"/>
      <c r="K39" s="31"/>
      <c r="L39" s="31" t="s">
        <v>205</v>
      </c>
      <c r="M39" s="31">
        <f>COUNTIF(Data!Q:Q,"Dhusamareb")</f>
        <v>0</v>
      </c>
      <c r="N39" s="31" t="s">
        <v>206</v>
      </c>
      <c r="O39" s="31">
        <f>COUNTIF(Data!Q:Q,"Garbahaarreey")</f>
        <v>0</v>
      </c>
      <c r="P39" s="31"/>
      <c r="Q39" s="31"/>
      <c r="R39" s="31"/>
      <c r="S39" s="31"/>
      <c r="T39" s="31" t="s">
        <v>207</v>
      </c>
      <c r="U39" s="31">
        <f>COUNTIF(Data!Q:Q,"Kismaayo")</f>
        <v>0</v>
      </c>
      <c r="V39" s="31" t="s">
        <v>208</v>
      </c>
      <c r="W39" s="31">
        <f>COUNTIF(Data!Q:Q,"Jariiban")</f>
        <v>0</v>
      </c>
      <c r="X39" s="31"/>
      <c r="Y39" s="31"/>
      <c r="Z39" s="31"/>
      <c r="AA39" s="31"/>
      <c r="AB39" s="31"/>
      <c r="AC39" s="31"/>
      <c r="AD39" s="31" t="s">
        <v>209</v>
      </c>
      <c r="AE39" s="31">
        <f>COUNTIF(Data!Q:Q,"Qoriyoleey")</f>
        <v>0</v>
      </c>
      <c r="AF39" s="31"/>
      <c r="AG39" s="31"/>
      <c r="AH39" s="31"/>
      <c r="AI39" s="31"/>
      <c r="AJ39" s="31"/>
      <c r="AK39" s="32"/>
    </row>
    <row r="40" spans="2:37" x14ac:dyDescent="0.25">
      <c r="B40" s="22" t="s">
        <v>210</v>
      </c>
      <c r="C40" s="31">
        <f>COUNTIF(Data!Q:Q,"Hamar-Weyne")</f>
        <v>0</v>
      </c>
      <c r="D40" s="31" t="s">
        <v>211</v>
      </c>
      <c r="E40" s="31">
        <f>COUNTIF(Data!Q:Q,"Qardho")</f>
        <v>0</v>
      </c>
      <c r="F40" s="31"/>
      <c r="G40" s="31"/>
      <c r="H40" s="31"/>
      <c r="I40" s="31"/>
      <c r="J40" s="31"/>
      <c r="K40" s="31"/>
      <c r="L40" s="31" t="s">
        <v>212</v>
      </c>
      <c r="M40" s="31">
        <f>COUNTIF(Data!Q:Q,"Galhareri")</f>
        <v>0</v>
      </c>
      <c r="N40" s="31" t="s">
        <v>213</v>
      </c>
      <c r="O40" s="31">
        <f>COUNTIF(Data!Q:Q,"Luuq")</f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 t="s">
        <v>214</v>
      </c>
      <c r="AE40" s="31">
        <f>COUNTIF(Data!Q:Q,"Sablaale")</f>
        <v>0</v>
      </c>
      <c r="AF40" s="31"/>
      <c r="AG40" s="31"/>
      <c r="AH40" s="31"/>
      <c r="AI40" s="31"/>
      <c r="AJ40" s="31"/>
      <c r="AK40" s="32"/>
    </row>
    <row r="41" spans="2:37" x14ac:dyDescent="0.25">
      <c r="B41" s="22" t="s">
        <v>215</v>
      </c>
      <c r="C41" s="31">
        <f>COUNTIF(Data!Q:Q,"Hodan")</f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 t="s">
        <v>216</v>
      </c>
      <c r="AE41" s="31">
        <f>COUNTIF(Data!Q:Q,"Walaweyn")</f>
        <v>0</v>
      </c>
      <c r="AF41" s="31"/>
      <c r="AG41" s="31"/>
      <c r="AH41" s="31"/>
      <c r="AI41" s="31"/>
      <c r="AJ41" s="31"/>
      <c r="AK41" s="32"/>
    </row>
    <row r="42" spans="2:37" x14ac:dyDescent="0.25">
      <c r="B42" s="22" t="s">
        <v>217</v>
      </c>
      <c r="C42" s="31">
        <f>COUNTIF(Data!Q:Q,"Howl-Wadag")</f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2"/>
    </row>
    <row r="43" spans="2:37" x14ac:dyDescent="0.25">
      <c r="B43" s="22" t="s">
        <v>218</v>
      </c>
      <c r="C43" s="31">
        <f>COUNTIF(Data!Q:Q,"Huriwaa")</f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2"/>
    </row>
    <row r="44" spans="2:37" x14ac:dyDescent="0.25">
      <c r="B44" s="22" t="s">
        <v>219</v>
      </c>
      <c r="C44" s="31">
        <f>COUNTIF(Data!Q:Q,"Kaaraan")</f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/>
    </row>
    <row r="45" spans="2:37" x14ac:dyDescent="0.25">
      <c r="B45" s="22" t="s">
        <v>220</v>
      </c>
      <c r="C45" s="31">
        <f>COUNTIF(Data!Q:Q,"Shibis")</f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2"/>
    </row>
    <row r="46" spans="2:37" x14ac:dyDescent="0.25">
      <c r="B46" s="22" t="s">
        <v>221</v>
      </c>
      <c r="C46" s="31">
        <f>COUNTIF(Data!Q:Q,"Shangaani")</f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2"/>
    </row>
    <row r="47" spans="2:37" x14ac:dyDescent="0.25">
      <c r="B47" s="22" t="s">
        <v>222</v>
      </c>
      <c r="C47" s="31">
        <f>COUNTIF(Data!Q:Q,"Waabari")</f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2"/>
    </row>
    <row r="48" spans="2:37" x14ac:dyDescent="0.25">
      <c r="B48" s="22" t="s">
        <v>223</v>
      </c>
      <c r="C48" s="31">
        <f>COUNTIF(Data!Q:Q,"Wadajir")</f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2"/>
    </row>
    <row r="49" spans="2:37" x14ac:dyDescent="0.25">
      <c r="B49" s="22" t="s">
        <v>224</v>
      </c>
      <c r="C49" s="31">
        <f>COUNTIF(Data!Q:Q,"Wardhiigley")</f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2"/>
    </row>
    <row r="50" spans="2:37" x14ac:dyDescent="0.25">
      <c r="B50" s="33" t="s">
        <v>225</v>
      </c>
      <c r="C50" s="34">
        <f>COUNTIF(Data!Q:Q,"Yaaqshiid")</f>
        <v>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2"/>
    </row>
    <row r="51" spans="2:37" ht="16.5" customHeight="1" x14ac:dyDescent="0.25">
      <c r="B51" s="28" t="s">
        <v>99</v>
      </c>
      <c r="C51" s="34">
        <f>SUM(C35:C50)</f>
        <v>0</v>
      </c>
      <c r="D51" s="11" t="s">
        <v>99</v>
      </c>
      <c r="E51" s="66">
        <f>SUM(E35:E40)</f>
        <v>0</v>
      </c>
      <c r="F51" s="60" t="s">
        <v>99</v>
      </c>
      <c r="G51" s="60">
        <f>SUM(G35:G38)</f>
        <v>0</v>
      </c>
      <c r="H51" s="60" t="s">
        <v>99</v>
      </c>
      <c r="I51" s="60">
        <f>SUM(I35:I38)</f>
        <v>0</v>
      </c>
      <c r="J51" s="60" t="s">
        <v>99</v>
      </c>
      <c r="K51" s="60">
        <f>SUM(K35:K38)</f>
        <v>0</v>
      </c>
      <c r="L51" s="60" t="s">
        <v>99</v>
      </c>
      <c r="M51" s="60">
        <f>SUM(M35:M40)</f>
        <v>0</v>
      </c>
      <c r="N51" s="60" t="s">
        <v>99</v>
      </c>
      <c r="O51" s="60">
        <f>SUM(O35:O40)</f>
        <v>0</v>
      </c>
      <c r="P51" s="60" t="s">
        <v>99</v>
      </c>
      <c r="Q51" s="60">
        <f>SUM(Q35:Q38)</f>
        <v>0</v>
      </c>
      <c r="R51" s="60" t="s">
        <v>99</v>
      </c>
      <c r="S51" s="60">
        <f>SUM(S35:S37)</f>
        <v>0</v>
      </c>
      <c r="T51" s="60" t="s">
        <v>99</v>
      </c>
      <c r="U51" s="60">
        <f>SUM(U35:U39)</f>
        <v>0</v>
      </c>
      <c r="V51" s="60" t="s">
        <v>99</v>
      </c>
      <c r="W51" s="60">
        <f>SUM(W35:W39)</f>
        <v>0</v>
      </c>
      <c r="X51" s="60" t="s">
        <v>99</v>
      </c>
      <c r="Y51" s="60">
        <f>SUM(Y35:Y37)</f>
        <v>0</v>
      </c>
      <c r="Z51" s="60" t="s">
        <v>99</v>
      </c>
      <c r="AA51" s="60">
        <f>SUM(AA35:AA38)</f>
        <v>0</v>
      </c>
      <c r="AB51" s="60" t="s">
        <v>99</v>
      </c>
      <c r="AC51" s="60">
        <f>SUM(AC35:AC38)</f>
        <v>0</v>
      </c>
      <c r="AD51" s="60" t="s">
        <v>99</v>
      </c>
      <c r="AE51" s="60">
        <f>SUM(AE35:AE41)</f>
        <v>0</v>
      </c>
      <c r="AF51" s="60" t="s">
        <v>99</v>
      </c>
      <c r="AG51" s="60">
        <f>SUM(AG35:AG38)</f>
        <v>0</v>
      </c>
      <c r="AH51" s="60" t="s">
        <v>99</v>
      </c>
      <c r="AI51" s="60">
        <f>SUM(AI35:AI38)</f>
        <v>0</v>
      </c>
      <c r="AJ51" s="60" t="s">
        <v>99</v>
      </c>
      <c r="AK51" s="62">
        <f>SUM(AK35:AK37)</f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5" x14ac:dyDescent="0.25"/>
  <cols>
    <col min="2" max="2" width="18.28515625" customWidth="1"/>
    <col min="4" max="4" width="12.85546875" customWidth="1"/>
    <col min="6" max="6" width="11.85546875" customWidth="1"/>
    <col min="7" max="7" width="10.42578125" customWidth="1"/>
  </cols>
  <sheetData>
    <row r="1" spans="1:14" s="69" customFormat="1" ht="17.25" customHeight="1" x14ac:dyDescent="0.25">
      <c r="A1" s="69">
        <v>2</v>
      </c>
      <c r="B1" s="69" t="s">
        <v>1</v>
      </c>
    </row>
    <row r="4" spans="1:14" x14ac:dyDescent="0.25">
      <c r="B4" t="s">
        <v>94</v>
      </c>
    </row>
    <row r="5" spans="1:14" x14ac:dyDescent="0.25">
      <c r="B5" s="2" t="s">
        <v>95</v>
      </c>
      <c r="C5" s="3" t="s">
        <v>96</v>
      </c>
      <c r="D5" s="3" t="s">
        <v>96</v>
      </c>
      <c r="E5" s="3" t="s">
        <v>97</v>
      </c>
      <c r="F5" s="4" t="s">
        <v>291</v>
      </c>
    </row>
    <row r="6" spans="1:14" x14ac:dyDescent="0.25">
      <c r="B6" s="5" t="s">
        <v>267</v>
      </c>
      <c r="C6" s="49">
        <f>SUM(Data!S5:S9827)</f>
        <v>0</v>
      </c>
      <c r="D6" s="7" t="e">
        <f>C6/(C12+E12)</f>
        <v>#DIV/0!</v>
      </c>
      <c r="E6" s="6">
        <f>SUM(Data!Z5:Z9827)</f>
        <v>0</v>
      </c>
      <c r="F6" s="8" t="e">
        <f>-E6/(C12+E12)</f>
        <v>#DIV/0!</v>
      </c>
    </row>
    <row r="7" spans="1:14" x14ac:dyDescent="0.25">
      <c r="B7" s="54" t="s">
        <v>268</v>
      </c>
      <c r="C7" s="6">
        <f>SUM(Data!T5:T9827)</f>
        <v>0</v>
      </c>
      <c r="D7" s="7" t="e">
        <f>C7/(C12+E12)</f>
        <v>#DIV/0!</v>
      </c>
      <c r="E7" s="6">
        <f>SUM(Data!AA5:AA9827)</f>
        <v>0</v>
      </c>
      <c r="F7" s="8" t="e">
        <f>-E7/(C12+E12)</f>
        <v>#DIV/0!</v>
      </c>
    </row>
    <row r="8" spans="1:14" x14ac:dyDescent="0.25">
      <c r="B8" s="5" t="s">
        <v>269</v>
      </c>
      <c r="C8" s="6">
        <f>SUM(Data!U5:U9827)</f>
        <v>0</v>
      </c>
      <c r="D8" s="7" t="e">
        <f>C8/(C12+E12)</f>
        <v>#DIV/0!</v>
      </c>
      <c r="E8" s="6">
        <f>SUM(Data!AB5:AB9827)</f>
        <v>0</v>
      </c>
      <c r="F8" s="8" t="e">
        <f>-E8/(C12+E12)</f>
        <v>#DIV/0!</v>
      </c>
    </row>
    <row r="9" spans="1:14" x14ac:dyDescent="0.25">
      <c r="B9" s="5" t="s">
        <v>270</v>
      </c>
      <c r="C9" s="6">
        <f>SUM(Data!V5:V9827)</f>
        <v>0</v>
      </c>
      <c r="D9" s="7" t="e">
        <f>C9/(C12+E12)</f>
        <v>#DIV/0!</v>
      </c>
      <c r="E9" s="6">
        <f>SUM(Data!AC5:AC9827)</f>
        <v>0</v>
      </c>
      <c r="F9" s="8" t="e">
        <f>-E9/(C12+E12)</f>
        <v>#DIV/0!</v>
      </c>
    </row>
    <row r="10" spans="1:14" x14ac:dyDescent="0.25">
      <c r="B10" s="5" t="s">
        <v>271</v>
      </c>
      <c r="C10" s="6">
        <f>SUM(Data!W5:W9827)</f>
        <v>0</v>
      </c>
      <c r="D10" s="7" t="e">
        <f>C10/(C12+E12)</f>
        <v>#DIV/0!</v>
      </c>
      <c r="E10" s="6">
        <f>SUM(Data!AD5:AD9827)</f>
        <v>0</v>
      </c>
      <c r="F10" s="8" t="e">
        <f>-E10/(C12+E12)</f>
        <v>#DIV/0!</v>
      </c>
    </row>
    <row r="11" spans="1:14" x14ac:dyDescent="0.25">
      <c r="B11" s="9" t="s">
        <v>98</v>
      </c>
      <c r="C11" s="10">
        <f>SUM(Data!X5:X9827)</f>
        <v>0</v>
      </c>
      <c r="D11" s="11" t="e">
        <f>C11/(C12+E12)</f>
        <v>#DIV/0!</v>
      </c>
      <c r="E11" s="10">
        <f>SUM(Data!AE5:AE9827)</f>
        <v>0</v>
      </c>
      <c r="F11" s="12" t="e">
        <f>-E11/(C12+E12)</f>
        <v>#DIV/0!</v>
      </c>
    </row>
    <row r="12" spans="1:14" x14ac:dyDescent="0.25">
      <c r="B12" s="13" t="s">
        <v>99</v>
      </c>
      <c r="C12" s="10">
        <f>SUM( C6:C11)</f>
        <v>0</v>
      </c>
      <c r="D12" s="11" t="e">
        <f>SUM(D6:D11)</f>
        <v>#DIV/0!</v>
      </c>
      <c r="E12" s="10">
        <f>SUM(E6:E11)</f>
        <v>0</v>
      </c>
      <c r="F12" s="12" t="e">
        <f>SUM(F6:F11)</f>
        <v>#DIV/0!</v>
      </c>
    </row>
    <row r="14" spans="1:14" x14ac:dyDescent="0.25">
      <c r="A14" s="5"/>
      <c r="B14" s="6" t="s">
        <v>41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5"/>
      <c r="B15" s="2" t="s">
        <v>100</v>
      </c>
      <c r="C15" s="3" t="s">
        <v>101</v>
      </c>
      <c r="D15" s="4" t="s">
        <v>102</v>
      </c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6"/>
      <c r="B16" s="5" t="s">
        <v>103</v>
      </c>
      <c r="C16" s="6">
        <f>COUNTIF(Data!AG:AG,"Yes")</f>
        <v>0</v>
      </c>
      <c r="D16" s="8" t="e">
        <f>C16/C18</f>
        <v>#DIV/0!</v>
      </c>
      <c r="E16" s="6"/>
      <c r="F16" s="6"/>
      <c r="G16" s="14"/>
    </row>
    <row r="17" spans="1:7" x14ac:dyDescent="0.25">
      <c r="A17" s="6"/>
      <c r="B17" s="5" t="s">
        <v>104</v>
      </c>
      <c r="C17" s="6">
        <f>COUNTIF(Data!AG:AG,"No")</f>
        <v>0</v>
      </c>
      <c r="D17" s="8" t="e">
        <f>C17/C18</f>
        <v>#DIV/0!</v>
      </c>
      <c r="E17" s="6"/>
      <c r="F17" s="6"/>
      <c r="G17" s="14"/>
    </row>
    <row r="18" spans="1:7" x14ac:dyDescent="0.25">
      <c r="A18" s="6"/>
      <c r="B18" s="15" t="s">
        <v>99</v>
      </c>
      <c r="C18" s="16">
        <f>SUM(C16:C17)</f>
        <v>0</v>
      </c>
      <c r="D18" s="17" t="e">
        <f>SUM(D16:D17)</f>
        <v>#DIV/0!</v>
      </c>
      <c r="E18" s="6"/>
      <c r="F18" s="6"/>
      <c r="G18" s="14"/>
    </row>
    <row r="19" spans="1:7" x14ac:dyDescent="0.25">
      <c r="A19" s="6"/>
      <c r="B19" s="6"/>
      <c r="C19" s="6"/>
      <c r="D19" s="6"/>
      <c r="E19" s="6"/>
      <c r="F19" s="6"/>
      <c r="G19" s="14"/>
    </row>
    <row r="20" spans="1:7" x14ac:dyDescent="0.25">
      <c r="B20" s="18" t="s">
        <v>42</v>
      </c>
    </row>
    <row r="21" spans="1:7" x14ac:dyDescent="0.25">
      <c r="B21" s="2" t="s">
        <v>281</v>
      </c>
      <c r="C21" s="3" t="s">
        <v>105</v>
      </c>
      <c r="D21" s="4" t="s">
        <v>102</v>
      </c>
    </row>
    <row r="22" spans="1:7" x14ac:dyDescent="0.25">
      <c r="B22" s="5" t="s">
        <v>106</v>
      </c>
      <c r="C22" s="6">
        <f>COUNTIFS(Data!AH:AH,"&lt;=2")</f>
        <v>0</v>
      </c>
      <c r="D22" s="8" t="e">
        <f>C22/C25</f>
        <v>#DIV/0!</v>
      </c>
    </row>
    <row r="23" spans="1:7" x14ac:dyDescent="0.25">
      <c r="B23" s="5" t="s">
        <v>272</v>
      </c>
      <c r="C23" s="6">
        <f>COUNTIFS(Data!AH:AH,"&gt;2",Data!AH:AH,"&lt;=5")</f>
        <v>0</v>
      </c>
      <c r="D23" s="8" t="e">
        <f>C23/C25</f>
        <v>#DIV/0!</v>
      </c>
    </row>
    <row r="24" spans="1:7" x14ac:dyDescent="0.25">
      <c r="B24" s="5" t="s">
        <v>107</v>
      </c>
      <c r="C24" s="6">
        <f>COUNTIFS(Data!AH:AH,"&gt;5")</f>
        <v>0</v>
      </c>
      <c r="D24" s="8" t="e">
        <f>C24/C25</f>
        <v>#DIV/0!</v>
      </c>
    </row>
    <row r="25" spans="1:7" x14ac:dyDescent="0.25">
      <c r="B25" s="19" t="s">
        <v>99</v>
      </c>
      <c r="C25" s="16">
        <f>SUM(C22:C24)</f>
        <v>0</v>
      </c>
      <c r="D25" s="17" t="e">
        <f>SUM(D22:D24)</f>
        <v>#DIV/0!</v>
      </c>
    </row>
    <row r="26" spans="1:7" x14ac:dyDescent="0.25">
      <c r="B26" s="19" t="s">
        <v>282</v>
      </c>
      <c r="C26" s="16" t="e">
        <f>AVERAGE(Data!AH:AH)</f>
        <v>#DIV/0!</v>
      </c>
      <c r="D26" s="2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5" x14ac:dyDescent="0.25"/>
  <cols>
    <col min="2" max="2" width="18.140625" customWidth="1"/>
    <col min="3" max="3" width="9.7109375" customWidth="1"/>
    <col min="4" max="4" width="11.7109375" customWidth="1"/>
  </cols>
  <sheetData>
    <row r="1" spans="1:14" s="69" customFormat="1" ht="17.25" customHeight="1" x14ac:dyDescent="0.25">
      <c r="A1" s="69">
        <v>3</v>
      </c>
      <c r="B1" s="69" t="s">
        <v>2</v>
      </c>
    </row>
    <row r="3" spans="1:14" x14ac:dyDescent="0.25">
      <c r="B3" t="s">
        <v>46</v>
      </c>
    </row>
    <row r="4" spans="1:14" x14ac:dyDescent="0.25">
      <c r="B4" s="36" t="s">
        <v>226</v>
      </c>
      <c r="C4" s="37" t="s">
        <v>105</v>
      </c>
      <c r="D4" s="38" t="s">
        <v>102</v>
      </c>
    </row>
    <row r="5" spans="1:14" x14ac:dyDescent="0.25">
      <c r="B5" s="5" t="s">
        <v>227</v>
      </c>
      <c r="C5" s="6">
        <f>COUNTIF(Data!AL:AL,"0")</f>
        <v>0</v>
      </c>
      <c r="D5" s="8" t="e">
        <f>C5/C9</f>
        <v>#DIV/0!</v>
      </c>
    </row>
    <row r="6" spans="1:14" x14ac:dyDescent="0.25">
      <c r="B6" s="5" t="s">
        <v>228</v>
      </c>
      <c r="C6" s="6">
        <f>COUNTIFS(Data!AL:AL,"&gt;=1",Data!AL:AL,"&lt;=2")</f>
        <v>0</v>
      </c>
      <c r="D6" s="8" t="e">
        <f>C6/C9</f>
        <v>#DIV/0!</v>
      </c>
    </row>
    <row r="7" spans="1:14" x14ac:dyDescent="0.25">
      <c r="B7" s="5" t="s">
        <v>279</v>
      </c>
      <c r="C7" s="6">
        <f>COUNTIFS(Data!AL:AL,"&gt;=3",Data!AL:AL,"&lt;=4")</f>
        <v>0</v>
      </c>
      <c r="D7" s="8" t="e">
        <f>C7/C9</f>
        <v>#DIV/0!</v>
      </c>
    </row>
    <row r="8" spans="1:14" x14ac:dyDescent="0.25">
      <c r="B8" s="9" t="s">
        <v>280</v>
      </c>
      <c r="C8" s="10">
        <f>COUNTIFS(Data!AL:AL,"&gt;4")</f>
        <v>0</v>
      </c>
      <c r="D8" s="12" t="e">
        <f>C8/C9</f>
        <v>#DIV/0!</v>
      </c>
    </row>
    <row r="9" spans="1:14" x14ac:dyDescent="0.25">
      <c r="B9" s="13" t="s">
        <v>99</v>
      </c>
      <c r="C9" s="10">
        <f>SUM(C5:C8)</f>
        <v>0</v>
      </c>
      <c r="D9" s="12" t="e">
        <f>SUM(D5:D8)</f>
        <v>#DIV/0!</v>
      </c>
    </row>
    <row r="10" spans="1:14" x14ac:dyDescent="0.25">
      <c r="B10" s="19" t="s">
        <v>108</v>
      </c>
      <c r="C10" s="55" t="e">
        <f>AVERAGE(Data!AL:AL)</f>
        <v>#DIV/0!</v>
      </c>
      <c r="D10" s="39"/>
    </row>
    <row r="12" spans="1:14" x14ac:dyDescent="0.25">
      <c r="B12" t="s">
        <v>47</v>
      </c>
    </row>
    <row r="13" spans="1:14" x14ac:dyDescent="0.25">
      <c r="B13" s="36" t="s">
        <v>229</v>
      </c>
      <c r="C13" s="37" t="s">
        <v>105</v>
      </c>
      <c r="D13" s="38" t="s">
        <v>102</v>
      </c>
    </row>
    <row r="14" spans="1:14" x14ac:dyDescent="0.25">
      <c r="A14" s="7"/>
      <c r="B14" s="5" t="s">
        <v>230</v>
      </c>
      <c r="C14" s="6">
        <f>COUNTIF(Data!AM:AM,"0")</f>
        <v>0</v>
      </c>
      <c r="D14" s="8" t="e">
        <f>C14/C18</f>
        <v>#DIV/0!</v>
      </c>
    </row>
    <row r="15" spans="1:14" x14ac:dyDescent="0.25">
      <c r="B15" s="5" t="s">
        <v>231</v>
      </c>
      <c r="C15" s="6">
        <f>COUNTIFS(Data!AM:AM,"&gt;=1",Data!AM:AM,"&lt;=2")</f>
        <v>0</v>
      </c>
      <c r="D15" s="8" t="e">
        <f>C15/C18</f>
        <v>#DIV/0!</v>
      </c>
      <c r="E15" s="21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B16" s="5" t="s">
        <v>277</v>
      </c>
      <c r="C16" s="6">
        <f>COUNTIFS(Data!AM:AM,"&gt;=3",Data!AM:AM,"&lt;=5")</f>
        <v>0</v>
      </c>
      <c r="D16" s="8" t="e">
        <f>C16/C18</f>
        <v>#DIV/0!</v>
      </c>
      <c r="E16" s="21"/>
      <c r="G16" s="6"/>
      <c r="H16" s="6"/>
      <c r="I16" s="6"/>
      <c r="J16" s="6"/>
      <c r="K16" s="6"/>
      <c r="L16" s="6"/>
      <c r="M16" s="6"/>
      <c r="N16" s="6"/>
    </row>
    <row r="17" spans="2:14" x14ac:dyDescent="0.25">
      <c r="B17" s="9" t="s">
        <v>278</v>
      </c>
      <c r="C17" s="10">
        <f>COUNTIFS(Data!AM:AM,"&gt;5")</f>
        <v>0</v>
      </c>
      <c r="D17" s="12" t="e">
        <f>C17/C18</f>
        <v>#DIV/0!</v>
      </c>
      <c r="E17" s="21"/>
      <c r="G17" s="6"/>
      <c r="H17" s="6"/>
      <c r="I17" s="6"/>
      <c r="J17" s="6"/>
      <c r="K17" s="6"/>
      <c r="L17" s="6"/>
      <c r="M17" s="6"/>
      <c r="N17" s="6"/>
    </row>
    <row r="18" spans="2:14" x14ac:dyDescent="0.25">
      <c r="B18" s="13" t="s">
        <v>99</v>
      </c>
      <c r="C18" s="10">
        <f>SUM(C14:C17)</f>
        <v>0</v>
      </c>
      <c r="D18" s="12" t="e">
        <f>SUM(D14:D17)</f>
        <v>#DIV/0!</v>
      </c>
      <c r="E18" s="21"/>
      <c r="G18" s="6"/>
      <c r="H18" s="6"/>
      <c r="I18" s="6"/>
      <c r="J18" s="6"/>
      <c r="K18" s="6"/>
      <c r="L18" s="6"/>
      <c r="M18" s="6"/>
      <c r="N18" s="6"/>
    </row>
    <row r="19" spans="2:14" x14ac:dyDescent="0.25">
      <c r="B19" s="19" t="s">
        <v>108</v>
      </c>
      <c r="C19" s="55" t="e">
        <f>AVERAGE(Data!AM:AM)</f>
        <v>#DIV/0!</v>
      </c>
      <c r="D19" s="39"/>
      <c r="E19" s="21"/>
      <c r="G19" s="6"/>
      <c r="H19" s="6"/>
      <c r="I19" s="6"/>
      <c r="J19" s="6"/>
      <c r="K19" s="6"/>
      <c r="L19" s="6"/>
      <c r="M19" s="6"/>
      <c r="N19" s="6"/>
    </row>
    <row r="20" spans="2:14" x14ac:dyDescent="0.25">
      <c r="B20" s="18"/>
      <c r="C20" s="6"/>
      <c r="D20" s="7"/>
      <c r="E20" s="21"/>
      <c r="G20" s="6"/>
      <c r="H20" s="6"/>
      <c r="I20" s="6"/>
      <c r="J20" s="6"/>
      <c r="K20" s="6"/>
      <c r="L20" s="6"/>
      <c r="M20" s="6"/>
      <c r="N20" s="6"/>
    </row>
    <row r="21" spans="2:14" x14ac:dyDescent="0.25">
      <c r="B21" s="6" t="s">
        <v>283</v>
      </c>
      <c r="C21" s="6"/>
      <c r="D21" s="6"/>
    </row>
    <row r="22" spans="2:14" x14ac:dyDescent="0.25">
      <c r="B22" s="40" t="s">
        <v>232</v>
      </c>
      <c r="C22" s="41" t="s">
        <v>105</v>
      </c>
      <c r="D22" s="42" t="s">
        <v>102</v>
      </c>
    </row>
    <row r="23" spans="2:14" x14ac:dyDescent="0.25">
      <c r="B23" s="43" t="s">
        <v>233</v>
      </c>
      <c r="C23" s="6">
        <f>COUNTIF(Data!AI:AI,"yes_female")</f>
        <v>0</v>
      </c>
      <c r="D23" s="8" t="e">
        <f>C23/C26</f>
        <v>#DIV/0!</v>
      </c>
    </row>
    <row r="24" spans="2:14" x14ac:dyDescent="0.25">
      <c r="B24" s="43" t="s">
        <v>234</v>
      </c>
      <c r="C24" s="6">
        <f>COUNTIF(Data!AI:AI,"yes_male")</f>
        <v>0</v>
      </c>
      <c r="D24" s="8" t="e">
        <f>C24/C26</f>
        <v>#DIV/0!</v>
      </c>
    </row>
    <row r="25" spans="2:14" x14ac:dyDescent="0.25">
      <c r="B25" s="44" t="s">
        <v>235</v>
      </c>
      <c r="C25" s="10">
        <f>COUNTIF(Data!AI:AI,"no")</f>
        <v>0</v>
      </c>
      <c r="D25" s="12" t="e">
        <f>C25/C26</f>
        <v>#DIV/0!</v>
      </c>
    </row>
    <row r="26" spans="2:14" x14ac:dyDescent="0.25">
      <c r="B26" s="45" t="s">
        <v>99</v>
      </c>
      <c r="C26" s="10">
        <f>SUM(C23:C25)</f>
        <v>0</v>
      </c>
      <c r="D26" s="12" t="e">
        <f>SUM(D23:D25)</f>
        <v>#DIV/0!</v>
      </c>
    </row>
    <row r="27" spans="2:14" x14ac:dyDescent="0.25">
      <c r="B27" s="46"/>
      <c r="C27" s="6"/>
      <c r="D27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5" x14ac:dyDescent="0.25"/>
  <cols>
    <col min="1" max="1" width="7.42578125" customWidth="1"/>
    <col min="2" max="2" width="23.42578125" customWidth="1"/>
    <col min="3" max="3" width="15.28515625" customWidth="1"/>
    <col min="4" max="4" width="14" customWidth="1"/>
  </cols>
  <sheetData>
    <row r="1" spans="1:4" s="69" customFormat="1" ht="17.25" customHeight="1" x14ac:dyDescent="0.25">
      <c r="A1" s="69">
        <v>4</v>
      </c>
      <c r="B1" s="69" t="s">
        <v>3</v>
      </c>
    </row>
    <row r="3" spans="1:4" x14ac:dyDescent="0.25">
      <c r="B3" t="s">
        <v>48</v>
      </c>
    </row>
    <row r="4" spans="1:4" x14ac:dyDescent="0.25">
      <c r="B4" s="2" t="s">
        <v>237</v>
      </c>
      <c r="C4" s="47" t="s">
        <v>105</v>
      </c>
      <c r="D4" s="48" t="s">
        <v>102</v>
      </c>
    </row>
    <row r="5" spans="1:4" x14ac:dyDescent="0.25">
      <c r="B5" s="5" t="s">
        <v>238</v>
      </c>
      <c r="C5" s="6">
        <f>COUNTIFS(Data!AN:AN,"*Sheets*")</f>
        <v>0</v>
      </c>
      <c r="D5" s="8" t="e">
        <f>C5/C18</f>
        <v>#DIV/0!</v>
      </c>
    </row>
    <row r="6" spans="1:4" x14ac:dyDescent="0.25">
      <c r="B6" s="5" t="s">
        <v>239</v>
      </c>
      <c r="C6" s="6">
        <f>COUNTIFS(Data!AN:AN,"*Soap*")</f>
        <v>0</v>
      </c>
      <c r="D6" s="8" t="e">
        <f>C6/C18</f>
        <v>#DIV/0!</v>
      </c>
    </row>
    <row r="7" spans="1:4" x14ac:dyDescent="0.25">
      <c r="B7" s="5" t="s">
        <v>240</v>
      </c>
      <c r="C7" s="6">
        <f>COUNTIFS(Data!AN:AN,"*Hygeine_Kit*")</f>
        <v>0</v>
      </c>
      <c r="D7" s="8" t="e">
        <f>C7/C18</f>
        <v>#DIV/0!</v>
      </c>
    </row>
    <row r="8" spans="1:4" x14ac:dyDescent="0.25">
      <c r="B8" s="5" t="s">
        <v>241</v>
      </c>
      <c r="C8" s="6">
        <f>COUNTIFS(Data!AN:AN,"*Plastic_Sheets*")</f>
        <v>0</v>
      </c>
      <c r="D8" s="8" t="e">
        <f>C8/C18</f>
        <v>#DIV/0!</v>
      </c>
    </row>
    <row r="9" spans="1:4" x14ac:dyDescent="0.25">
      <c r="B9" s="5" t="s">
        <v>242</v>
      </c>
      <c r="C9" s="6">
        <f>COUNTIFS(Data!AN:AN,"*Blanket*")</f>
        <v>0</v>
      </c>
      <c r="D9" s="8" t="e">
        <f>C9/C18</f>
        <v>#DIV/0!</v>
      </c>
    </row>
    <row r="10" spans="1:4" x14ac:dyDescent="0.25">
      <c r="B10" s="5" t="s">
        <v>243</v>
      </c>
      <c r="C10" s="6">
        <f>COUNTIFS(Data!AN:AN,"*Mat*")</f>
        <v>0</v>
      </c>
      <c r="D10" s="8" t="e">
        <f>C10/C18</f>
        <v>#DIV/0!</v>
      </c>
    </row>
    <row r="11" spans="1:4" x14ac:dyDescent="0.25">
      <c r="B11" s="5" t="s">
        <v>262</v>
      </c>
      <c r="C11" s="6">
        <f>COUNTIFS(Data!AN:AN,"*Jerry_Can*")</f>
        <v>0</v>
      </c>
      <c r="D11" s="8" t="e">
        <f>C11/C18</f>
        <v>#DIV/0!</v>
      </c>
    </row>
    <row r="12" spans="1:4" x14ac:dyDescent="0.25">
      <c r="B12" s="5" t="s">
        <v>244</v>
      </c>
      <c r="C12" s="6">
        <f>COUNTIFS(Data!AN:AN,"*Pots*")</f>
        <v>0</v>
      </c>
      <c r="D12" s="8" t="e">
        <f>C12/C18</f>
        <v>#DIV/0!</v>
      </c>
    </row>
    <row r="13" spans="1:4" x14ac:dyDescent="0.25">
      <c r="B13" s="5" t="s">
        <v>245</v>
      </c>
      <c r="C13" s="6">
        <f>COUNTIFS(Data!AN:AN,"*Knives*")</f>
        <v>0</v>
      </c>
      <c r="D13" s="8" t="e">
        <f>C13/C18</f>
        <v>#DIV/0!</v>
      </c>
    </row>
    <row r="14" spans="1:4" x14ac:dyDescent="0.25">
      <c r="B14" s="5" t="s">
        <v>246</v>
      </c>
      <c r="C14" s="6">
        <f>COUNTIFS(Data!AN:AN,"*Shelter_Kit*")</f>
        <v>0</v>
      </c>
      <c r="D14" s="8" t="e">
        <f>C14/C18</f>
        <v>#DIV/0!</v>
      </c>
    </row>
    <row r="15" spans="1:4" x14ac:dyDescent="0.25">
      <c r="B15" s="5" t="s">
        <v>247</v>
      </c>
      <c r="C15" s="6">
        <f>COUNTIFS(Data!AN:AN,"*Voucher*")</f>
        <v>0</v>
      </c>
      <c r="D15" s="8" t="e">
        <f>C15/C18</f>
        <v>#DIV/0!</v>
      </c>
    </row>
    <row r="16" spans="1:4" x14ac:dyDescent="0.25">
      <c r="B16" s="5" t="s">
        <v>248</v>
      </c>
      <c r="C16" s="6">
        <f>COUNTIFS(Data!AN:AN,"*Cash*")</f>
        <v>0</v>
      </c>
      <c r="D16" s="8" t="e">
        <f>C16/C18</f>
        <v>#DIV/0!</v>
      </c>
    </row>
    <row r="17" spans="2:4" x14ac:dyDescent="0.25">
      <c r="B17" s="9" t="s">
        <v>249</v>
      </c>
      <c r="C17" s="10">
        <f>COUNTIFS(Data!AN:AN,"*Other*")</f>
        <v>0</v>
      </c>
      <c r="D17" s="12" t="e">
        <f>C17/C18</f>
        <v>#DIV/0!</v>
      </c>
    </row>
    <row r="18" spans="2:4" x14ac:dyDescent="0.25">
      <c r="B18" s="9" t="s">
        <v>284</v>
      </c>
      <c r="C18" s="10">
        <f>SUM(C5:C17)</f>
        <v>0</v>
      </c>
      <c r="D18" s="35" t="e">
        <f>SUM(D5:D17)</f>
        <v>#DIV/0!</v>
      </c>
    </row>
    <row r="20" spans="2:4" x14ac:dyDescent="0.25">
      <c r="B20" t="s">
        <v>50</v>
      </c>
    </row>
    <row r="21" spans="2:4" x14ac:dyDescent="0.25">
      <c r="B21" s="2" t="s">
        <v>263</v>
      </c>
      <c r="C21" s="3" t="s">
        <v>101</v>
      </c>
      <c r="D21" s="4" t="s">
        <v>102</v>
      </c>
    </row>
    <row r="22" spans="2:4" x14ac:dyDescent="0.25">
      <c r="B22" s="5" t="s">
        <v>103</v>
      </c>
      <c r="C22" s="6">
        <f>COUNTIF(Data!AP:AP,"Yes")</f>
        <v>0</v>
      </c>
      <c r="D22" s="8" t="e">
        <f>C22/C24</f>
        <v>#DIV/0!</v>
      </c>
    </row>
    <row r="23" spans="2:4" x14ac:dyDescent="0.25">
      <c r="B23" s="5" t="s">
        <v>104</v>
      </c>
      <c r="C23" s="6">
        <f>COUNTIF(Data!AP:AP,"No")</f>
        <v>0</v>
      </c>
      <c r="D23" s="8" t="e">
        <f>C23/C24</f>
        <v>#DIV/0!</v>
      </c>
    </row>
    <row r="24" spans="2:4" x14ac:dyDescent="0.25">
      <c r="B24" s="15" t="s">
        <v>99</v>
      </c>
      <c r="C24" s="16">
        <f>SUM(C22:C23)</f>
        <v>0</v>
      </c>
      <c r="D24" s="17" t="e">
        <f>SUM(D22:D23)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5" x14ac:dyDescent="0.25"/>
  <cols>
    <col min="2" max="2" width="27" customWidth="1"/>
    <col min="3" max="3" width="12.85546875" customWidth="1"/>
    <col min="4" max="4" width="13.7109375" customWidth="1"/>
  </cols>
  <sheetData>
    <row r="1" spans="1:4" s="69" customFormat="1" ht="17.25" customHeight="1" x14ac:dyDescent="0.25">
      <c r="A1" s="69">
        <v>5</v>
      </c>
      <c r="B1" s="69" t="s">
        <v>6</v>
      </c>
    </row>
    <row r="4" spans="1:4" x14ac:dyDescent="0.25">
      <c r="B4" t="s">
        <v>56</v>
      </c>
    </row>
    <row r="5" spans="1:4" x14ac:dyDescent="0.25">
      <c r="B5" s="2" t="s">
        <v>260</v>
      </c>
      <c r="C5" s="3" t="s">
        <v>101</v>
      </c>
      <c r="D5" s="4" t="s">
        <v>102</v>
      </c>
    </row>
    <row r="6" spans="1:4" x14ac:dyDescent="0.25">
      <c r="B6" s="5" t="s">
        <v>103</v>
      </c>
      <c r="C6" s="6">
        <f>COUNTIF(Data!AV:AV,"Yes")</f>
        <v>0</v>
      </c>
      <c r="D6" s="8" t="e">
        <f>C6/C8</f>
        <v>#DIV/0!</v>
      </c>
    </row>
    <row r="7" spans="1:4" x14ac:dyDescent="0.25">
      <c r="B7" s="5" t="s">
        <v>104</v>
      </c>
      <c r="C7" s="6">
        <f>COUNTIF(Data!AV:AV,"No")</f>
        <v>0</v>
      </c>
      <c r="D7" s="8" t="e">
        <f>C7/C8</f>
        <v>#DIV/0!</v>
      </c>
    </row>
    <row r="8" spans="1:4" x14ac:dyDescent="0.25">
      <c r="B8" s="15" t="s">
        <v>99</v>
      </c>
      <c r="C8" s="16">
        <f>SUM(C6:C7)</f>
        <v>0</v>
      </c>
      <c r="D8" s="17" t="e">
        <f>SUM(D6:D7)</f>
        <v>#DIV/0!</v>
      </c>
    </row>
    <row r="10" spans="1:4" x14ac:dyDescent="0.25">
      <c r="B10" t="s">
        <v>57</v>
      </c>
    </row>
    <row r="11" spans="1:4" x14ac:dyDescent="0.25">
      <c r="B11" s="2" t="s">
        <v>261</v>
      </c>
      <c r="C11" s="3" t="s">
        <v>101</v>
      </c>
      <c r="D11" s="4" t="s">
        <v>102</v>
      </c>
    </row>
    <row r="12" spans="1:4" x14ac:dyDescent="0.25">
      <c r="B12" s="5" t="s">
        <v>103</v>
      </c>
      <c r="C12" s="6">
        <f>COUNTIF(Data!AW:AW,"Yes")</f>
        <v>0</v>
      </c>
      <c r="D12" s="8" t="e">
        <f>C12/C14</f>
        <v>#DIV/0!</v>
      </c>
    </row>
    <row r="13" spans="1:4" x14ac:dyDescent="0.25">
      <c r="B13" s="5" t="s">
        <v>104</v>
      </c>
      <c r="C13" s="6">
        <f>COUNTIF(Data!AW:AW,"No")</f>
        <v>0</v>
      </c>
      <c r="D13" s="8" t="e">
        <f>C13/C14</f>
        <v>#DIV/0!</v>
      </c>
    </row>
    <row r="14" spans="1:4" x14ac:dyDescent="0.25">
      <c r="B14" s="15" t="s">
        <v>99</v>
      </c>
      <c r="C14" s="16">
        <f>SUM(C12:C13)</f>
        <v>0</v>
      </c>
      <c r="D14" s="17" t="e">
        <f>SUM(D12:D13)</f>
        <v>#DIV/0!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2" max="2" width="17.5703125" customWidth="1"/>
    <col min="3" max="3" width="15.28515625" customWidth="1"/>
    <col min="4" max="4" width="13.7109375" customWidth="1"/>
  </cols>
  <sheetData>
    <row r="1" spans="1:4" s="69" customFormat="1" ht="17.25" customHeight="1" x14ac:dyDescent="0.25">
      <c r="A1" s="69">
        <v>6</v>
      </c>
      <c r="B1" s="69" t="s">
        <v>5</v>
      </c>
    </row>
    <row r="3" spans="1:4" x14ac:dyDescent="0.25">
      <c r="B3" t="s">
        <v>55</v>
      </c>
    </row>
    <row r="4" spans="1:4" x14ac:dyDescent="0.25">
      <c r="B4" s="2" t="s">
        <v>259</v>
      </c>
      <c r="C4" s="47" t="s">
        <v>101</v>
      </c>
      <c r="D4" s="48" t="s">
        <v>102</v>
      </c>
    </row>
    <row r="5" spans="1:4" x14ac:dyDescent="0.25">
      <c r="B5" s="5" t="s">
        <v>103</v>
      </c>
      <c r="C5" s="6">
        <f>COUNTIF(Data!AU:AU,"Yes")</f>
        <v>0</v>
      </c>
      <c r="D5" s="8" t="e">
        <f>C5/C7</f>
        <v>#DIV/0!</v>
      </c>
    </row>
    <row r="6" spans="1:4" x14ac:dyDescent="0.25">
      <c r="B6" s="5" t="s">
        <v>104</v>
      </c>
      <c r="C6" s="6">
        <f>COUNTIF(Data!AU:AU,"No")</f>
        <v>0</v>
      </c>
      <c r="D6" s="8" t="e">
        <f>C6/C7</f>
        <v>#DIV/0!</v>
      </c>
    </row>
    <row r="7" spans="1:4" x14ac:dyDescent="0.25">
      <c r="B7" s="15" t="s">
        <v>99</v>
      </c>
      <c r="C7" s="16">
        <f>SUM(C5:C6)</f>
        <v>0</v>
      </c>
      <c r="D7" s="17" t="e">
        <f>SUM(D5:D6)</f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5" x14ac:dyDescent="0.25"/>
  <cols>
    <col min="2" max="2" width="24.5703125" customWidth="1"/>
    <col min="3" max="4" width="13.7109375" customWidth="1"/>
  </cols>
  <sheetData>
    <row r="1" spans="1:4" s="69" customFormat="1" ht="17.25" customHeight="1" x14ac:dyDescent="0.25">
      <c r="A1" s="69">
        <v>7</v>
      </c>
      <c r="B1" s="69" t="s">
        <v>4</v>
      </c>
    </row>
    <row r="3" spans="1:4" x14ac:dyDescent="0.25">
      <c r="B3" t="s">
        <v>51</v>
      </c>
    </row>
    <row r="4" spans="1:4" x14ac:dyDescent="0.25">
      <c r="B4" s="2" t="s">
        <v>251</v>
      </c>
      <c r="C4" s="3" t="s">
        <v>101</v>
      </c>
      <c r="D4" s="4" t="s">
        <v>102</v>
      </c>
    </row>
    <row r="5" spans="1:4" x14ac:dyDescent="0.25">
      <c r="B5" s="5" t="s">
        <v>250</v>
      </c>
      <c r="C5" s="49">
        <f>COUNTIFS(Data!AQ:AQ,"24hours")</f>
        <v>0</v>
      </c>
      <c r="D5" s="50" t="e">
        <f>C5/C10</f>
        <v>#DIV/0!</v>
      </c>
    </row>
    <row r="6" spans="1:4" x14ac:dyDescent="0.25">
      <c r="B6" s="5" t="s">
        <v>273</v>
      </c>
      <c r="C6" s="6">
        <f>COUNTIFS(Data!AQ:AQ,"1_3_days")</f>
        <v>0</v>
      </c>
      <c r="D6" s="8" t="e">
        <f>C6/C10</f>
        <v>#DIV/0!</v>
      </c>
    </row>
    <row r="7" spans="1:4" x14ac:dyDescent="0.25">
      <c r="B7" s="5" t="s">
        <v>252</v>
      </c>
      <c r="C7" s="6">
        <f>COUNTIFS(Data!AQ:AQ,"3_7_days")</f>
        <v>0</v>
      </c>
      <c r="D7" s="8" t="e">
        <f>C7/C10</f>
        <v>#DIV/0!</v>
      </c>
    </row>
    <row r="8" spans="1:4" x14ac:dyDescent="0.25">
      <c r="B8" s="5" t="s">
        <v>253</v>
      </c>
      <c r="C8" s="6">
        <f>COUNTIFS(Data!AQ:AQ,"7_14_days")</f>
        <v>0</v>
      </c>
      <c r="D8" s="8" t="e">
        <f>C8/C10</f>
        <v>#DIV/0!</v>
      </c>
    </row>
    <row r="9" spans="1:4" x14ac:dyDescent="0.25">
      <c r="B9" s="9" t="s">
        <v>254</v>
      </c>
      <c r="C9" s="10">
        <f>COUNTIFS(Data!AQ:AQ,"greater_than_14_days")</f>
        <v>0</v>
      </c>
      <c r="D9" s="12" t="e">
        <f>C9/C10</f>
        <v>#DIV/0!</v>
      </c>
    </row>
    <row r="10" spans="1:4" x14ac:dyDescent="0.25">
      <c r="B10" s="9" t="s">
        <v>99</v>
      </c>
      <c r="C10" s="10">
        <f>SUM(C5:C9)</f>
        <v>0</v>
      </c>
      <c r="D10" s="51" t="e">
        <f>SUM(D5:D9)</f>
        <v>#DIV/0!</v>
      </c>
    </row>
    <row r="11" spans="1:4" x14ac:dyDescent="0.25">
      <c r="B11" s="6"/>
      <c r="C11" s="6"/>
      <c r="D11" s="6"/>
    </row>
    <row r="12" spans="1:4" x14ac:dyDescent="0.25">
      <c r="B12" t="s">
        <v>52</v>
      </c>
    </row>
    <row r="13" spans="1:4" x14ac:dyDescent="0.25">
      <c r="B13" s="2" t="s">
        <v>255</v>
      </c>
      <c r="C13" s="3" t="s">
        <v>101</v>
      </c>
      <c r="D13" s="4" t="s">
        <v>102</v>
      </c>
    </row>
    <row r="14" spans="1:4" x14ac:dyDescent="0.25">
      <c r="B14" s="5" t="s">
        <v>285</v>
      </c>
      <c r="C14" s="49">
        <f>COUNTIF(Data!AR:AR,"&lt;=30")</f>
        <v>0</v>
      </c>
      <c r="D14" s="50" t="e">
        <f>C14/C19</f>
        <v>#DIV/0!</v>
      </c>
    </row>
    <row r="15" spans="1:4" x14ac:dyDescent="0.25">
      <c r="B15" s="5" t="s">
        <v>288</v>
      </c>
      <c r="C15" s="6">
        <f>COUNTIFS(Data!AR:AR,"&gt;30",Data!AR:AR,"&lt;=60")</f>
        <v>0</v>
      </c>
      <c r="D15" s="8" t="e">
        <f>C15/C19</f>
        <v>#DIV/0!</v>
      </c>
    </row>
    <row r="16" spans="1:4" x14ac:dyDescent="0.25">
      <c r="B16" s="5" t="s">
        <v>289</v>
      </c>
      <c r="C16" s="6">
        <f>COUNTIFS(Data!AR:AR,"&gt;60",Data!AR:AR,"&lt;=90")</f>
        <v>0</v>
      </c>
      <c r="D16" s="8" t="e">
        <f>C16/C19</f>
        <v>#DIV/0!</v>
      </c>
    </row>
    <row r="17" spans="2:4" x14ac:dyDescent="0.25">
      <c r="B17" s="5" t="s">
        <v>290</v>
      </c>
      <c r="C17" s="6">
        <f>COUNTIFS(Data!AR:AR,"&gt;90",Data!AR:AR,"&lt;=120")</f>
        <v>0</v>
      </c>
      <c r="D17" s="8" t="e">
        <f>C17/C19</f>
        <v>#DIV/0!</v>
      </c>
    </row>
    <row r="18" spans="2:4" x14ac:dyDescent="0.25">
      <c r="B18" s="9" t="s">
        <v>286</v>
      </c>
      <c r="C18" s="10">
        <f>COUNTIFS(Data!AR:AR,"&gt;120")</f>
        <v>0</v>
      </c>
      <c r="D18" s="12" t="e">
        <f>C18/C19</f>
        <v>#DIV/0!</v>
      </c>
    </row>
    <row r="19" spans="2:4" x14ac:dyDescent="0.25">
      <c r="B19" s="9" t="s">
        <v>99</v>
      </c>
      <c r="C19" s="10">
        <f>SUM(C14:C18)</f>
        <v>0</v>
      </c>
      <c r="D19" s="51" t="e">
        <f>SUM(D14:D18)</f>
        <v>#DIV/0!</v>
      </c>
    </row>
    <row r="20" spans="2:4" x14ac:dyDescent="0.25">
      <c r="B20" s="19" t="s">
        <v>108</v>
      </c>
      <c r="C20" s="16" t="e">
        <f>AVERAGE(Data!AR:AR)</f>
        <v>#DIV/0!</v>
      </c>
      <c r="D20" s="39"/>
    </row>
    <row r="21" spans="2:4" x14ac:dyDescent="0.25">
      <c r="B21" s="18"/>
      <c r="C21" s="6"/>
      <c r="D21" s="52"/>
    </row>
    <row r="22" spans="2:4" x14ac:dyDescent="0.25">
      <c r="B22" t="s">
        <v>53</v>
      </c>
    </row>
    <row r="23" spans="2:4" x14ac:dyDescent="0.25">
      <c r="B23" s="2" t="s">
        <v>274</v>
      </c>
      <c r="C23" s="3" t="s">
        <v>101</v>
      </c>
      <c r="D23" s="4" t="s">
        <v>102</v>
      </c>
    </row>
    <row r="24" spans="2:4" x14ac:dyDescent="0.25">
      <c r="B24" s="5" t="s">
        <v>103</v>
      </c>
      <c r="C24" s="6">
        <f>COUNTIF(Data!AS:AS,"Yes")</f>
        <v>0</v>
      </c>
      <c r="D24" s="8" t="e">
        <f>C24/C26</f>
        <v>#DIV/0!</v>
      </c>
    </row>
    <row r="25" spans="2:4" x14ac:dyDescent="0.25">
      <c r="B25" s="5" t="s">
        <v>104</v>
      </c>
      <c r="C25" s="6">
        <f>COUNTIF(Data!AS:AS,"No")</f>
        <v>0</v>
      </c>
      <c r="D25" s="8" t="e">
        <f>C25/C26</f>
        <v>#DIV/0!</v>
      </c>
    </row>
    <row r="26" spans="2:4" x14ac:dyDescent="0.25">
      <c r="B26" s="15" t="s">
        <v>99</v>
      </c>
      <c r="C26" s="16">
        <f>SUM(C24:C25)</f>
        <v>0</v>
      </c>
      <c r="D26" s="17" t="e">
        <f>SUM(D24:D25)</f>
        <v>#DIV/0!</v>
      </c>
    </row>
    <row r="27" spans="2:4" x14ac:dyDescent="0.25">
      <c r="B27" s="6"/>
      <c r="C27" s="6"/>
      <c r="D27" s="7"/>
    </row>
    <row r="28" spans="2:4" x14ac:dyDescent="0.25">
      <c r="B28" t="s">
        <v>54</v>
      </c>
    </row>
    <row r="29" spans="2:4" x14ac:dyDescent="0.25">
      <c r="B29" s="2" t="s">
        <v>258</v>
      </c>
      <c r="C29" s="3" t="s">
        <v>101</v>
      </c>
      <c r="D29" s="4" t="s">
        <v>102</v>
      </c>
    </row>
    <row r="30" spans="2:4" x14ac:dyDescent="0.25">
      <c r="B30" s="5" t="s">
        <v>256</v>
      </c>
      <c r="C30" s="6">
        <f>COUNTIF(Data!AT:AT,"Within_the_settlement")</f>
        <v>0</v>
      </c>
      <c r="D30" s="8" t="e">
        <f>C30/C32</f>
        <v>#DIV/0!</v>
      </c>
    </row>
    <row r="31" spans="2:4" x14ac:dyDescent="0.25">
      <c r="B31" s="5" t="s">
        <v>257</v>
      </c>
      <c r="C31" s="6">
        <f>COUNTIF(Data!AT:AT,"Outside_the_settlement")</f>
        <v>0</v>
      </c>
      <c r="D31" s="8" t="e">
        <f>C31/C32</f>
        <v>#DIV/0!</v>
      </c>
    </row>
    <row r="32" spans="2:4" x14ac:dyDescent="0.25">
      <c r="B32" s="15" t="s">
        <v>99</v>
      </c>
      <c r="C32" s="16">
        <f>SUM(C30:C31)</f>
        <v>0</v>
      </c>
      <c r="D32" s="17" t="e">
        <f>SUM(D30:D31)</f>
        <v>#DIV/0!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Indicator List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Melissa Meinhart</cp:lastModifiedBy>
  <dcterms:created xsi:type="dcterms:W3CDTF">2015-08-24T07:51:16Z</dcterms:created>
  <dcterms:modified xsi:type="dcterms:W3CDTF">2015-09-23T10:56:18Z</dcterms:modified>
</cp:coreProperties>
</file>