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cted.sharepoint.com/sites/IMPACTUKR/Documents partages/ISU/HNMU/UKR2403_MSNA/02_Data/03_Data_Analysis/01_Frequency_Tables/MSNA_F2F_CATI_output/For_publication/"/>
    </mc:Choice>
  </mc:AlternateContent>
  <xr:revisionPtr revIDLastSave="366" documentId="13_ncr:1_{64B7B7B6-2546-4831-BB8F-76D384EBD7D4}" xr6:coauthVersionLast="47" xr6:coauthVersionMax="47" xr10:uidLastSave="{4A07EB4A-D228-42D0-8453-9EA3328BD7E8}"/>
  <bookViews>
    <workbookView xWindow="-110" yWindow="-110" windowWidth="19420" windowHeight="11620" firstSheet="1" activeTab="2" xr2:uid="{00000000-000D-0000-FFFF-FFFF00000000}"/>
  </bookViews>
  <sheets>
    <sheet name="READ_ME" sheetId="4" r:id="rId1"/>
    <sheet name="Table_of_Content" sheetId="1" r:id="rId2"/>
    <sheet name="Data" sheetId="2" r:id="rId3"/>
  </sheets>
  <definedNames>
    <definedName name="Slicer_Indicator">#N/A</definedName>
    <definedName name="Slicer_Secto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2" i="1" l="1"/>
  <c r="E941" i="1"/>
  <c r="E940" i="1"/>
  <c r="E939" i="1"/>
  <c r="E938" i="1"/>
  <c r="E937" i="1"/>
  <c r="E936" i="1"/>
  <c r="E935" i="1"/>
  <c r="E934" i="1"/>
  <c r="E933" i="1"/>
  <c r="E932" i="1"/>
  <c r="E931" i="1"/>
  <c r="E425" i="1"/>
  <c r="E424" i="1"/>
  <c r="E423" i="1"/>
  <c r="E422" i="1"/>
  <c r="E421" i="1"/>
  <c r="E420" i="1"/>
  <c r="E388" i="1"/>
  <c r="E387" i="1"/>
  <c r="E386" i="1"/>
  <c r="E385" i="1"/>
  <c r="E384" i="1"/>
  <c r="E383" i="1"/>
  <c r="E358" i="1"/>
  <c r="E357" i="1"/>
  <c r="E356" i="1"/>
  <c r="E355" i="1"/>
  <c r="E354" i="1"/>
  <c r="E353" i="1"/>
  <c r="E340" i="1"/>
  <c r="E339" i="1"/>
  <c r="E338" i="1"/>
  <c r="E337" i="1"/>
  <c r="E336" i="1"/>
  <c r="E335" i="1"/>
  <c r="E833" i="1"/>
  <c r="E831" i="1"/>
  <c r="E829" i="1"/>
  <c r="E827" i="1"/>
  <c r="E825" i="1"/>
  <c r="E823" i="1"/>
  <c r="E821" i="1"/>
  <c r="E819"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2" i="1"/>
  <c r="E830" i="1"/>
  <c r="E828" i="1"/>
  <c r="E826" i="1"/>
  <c r="E824" i="1"/>
  <c r="E822" i="1"/>
  <c r="E820"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2" i="1"/>
  <c r="E381" i="1"/>
  <c r="E380" i="1"/>
  <c r="E379" i="1"/>
  <c r="E378" i="1"/>
  <c r="E377" i="1"/>
  <c r="E376" i="1"/>
  <c r="E375" i="1"/>
  <c r="E374" i="1"/>
  <c r="E373" i="1"/>
  <c r="E372" i="1"/>
  <c r="E371" i="1"/>
  <c r="E370" i="1"/>
  <c r="E369" i="1"/>
  <c r="E368" i="1"/>
  <c r="E367" i="1"/>
  <c r="E366" i="1"/>
  <c r="E365" i="1"/>
  <c r="E364" i="1"/>
  <c r="E363" i="1"/>
  <c r="E362" i="1"/>
  <c r="E361" i="1"/>
  <c r="E360" i="1"/>
  <c r="E359" i="1"/>
  <c r="E352" i="1"/>
  <c r="E351" i="1"/>
  <c r="E350" i="1"/>
  <c r="E349" i="1"/>
  <c r="E348" i="1"/>
  <c r="E347" i="1"/>
  <c r="E346" i="1"/>
  <c r="E345" i="1"/>
  <c r="E344" i="1"/>
  <c r="E343" i="1"/>
  <c r="E342" i="1"/>
  <c r="E341"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alcChain>
</file>

<file path=xl/sharedStrings.xml><?xml version="1.0" encoding="utf-8"?>
<sst xmlns="http://schemas.openxmlformats.org/spreadsheetml/2006/main" count="26220" uniqueCount="1999">
  <si>
    <t>REACH Ukraine | Multisectoral Needs Assessment (MSNA) 2024 | National Frequency Tables</t>
  </si>
  <si>
    <t>Items</t>
  </si>
  <si>
    <t>Description</t>
  </si>
  <si>
    <t xml:space="preserve">Background &amp; Rationale </t>
  </si>
  <si>
    <t>More than two years since the escalation of the war in Ukraine in February 2022, the humanitarian crisis continues to impact the population in the country, leaving 14.7 million people in need of humanitarian assistance in 2024. 
As of February 2024, the International Organization for Migration (IOM) estimated that 3.41 million people were internally displaced within Ukraine – a notable decrease from the previous year’s estimation (5.4 million). However, of those that were still displaced at the end of 2023, 70% reported having been displaced for at least one year. Thus, while people were decreasingly becoming newly displaced, millions of individuals' displacement was continuing for one year or more. Further, large numbers of people have returned to their communities of origin since the early months of the war, as well. The estimated population of returnees (4.5 million) is now higher than those currently displaced within Ukraine. This return has been accompanied by difficulties finding a suitable job (predominantly in rural areas) and lack of availability of basic services due to consequences of the conflict, alongside other impacts. 
The impacts of the escalation of the war for the entire population, regardless of displacement status, are particularly intense in areas close to the frontline and border of the Russian Federation. Active hostilities continue in Northern, Eastern and Southern Ukraine, with continuous reports of civilian casualties and damage to civilian infrastructure. There were more than 47,000 incidents involving armed clashes, airstrikes, and other attacks across Ukraine in 2023, an increase of more than 12,000 compared to 2022.  Intensified strikes since the start of 2024 have damaged houses and critical civilian infrastructure, leading to major disruptions of essential services, such as electricity and heating, and reduced access to health and education. The conflict has specifically led to deterioration in the socioeconomic situation of the Ukrainian population. Damage to and destruction of productive assets, as well as the bombings of Ukrainian ports and grain infrastructure points by the Russian Federation, have severely jeopardized the socioeconomic stability of Ukraine, particularly in the agriculture sector. Alongside protection, livelihood challenges were one of the key drivers of severe or higher multi-sectoral needs in Ukraine, reported by 56% of households nationwide in the 2023 MSNA. In this context, previously vulnerable groups living in Ukraine have also been facing exacerbated difficulties accessing basic services, including healthcare, primary education and social protection, as well.
Household-level vulnerabilities vary according to sector, according to key demographic and vulnerability factors, and across geographic area. In light of the ongoing hostilities, the dynamic situation and intensifying impacts in frontline regions, and increasing evidence that the needs are ongoing and diverging according to specific population groups, the multi-sectoral needs analysis (MSNA) will contribute to continued efforts to gather accurate information for the ongoing humanitarian response in the Ukraine. The MSNA intends to enhance the understanding of the current humanitarian situation in Ukraine to inform strategic decision-making, including funding allocations, and ongoing or planned humanitarian interventions. REACH, in partnership with World Food Programme (WFP) and Kyiv International Institute of Sociology (KIIS), conducted the 2024 MSNA building upon the 2023 and 2022 Ukraine MSNA, in collaboration with the HCT, Inter-Cluster Coordination Group (ICCG) and United Nations Office for the Coordination of Humanitarian Affairs (OCHA).
The MSNA intends to enhance the understanding of the current humanitarian situation in Ukraine to inform strategic decision-making, including funding allocations, and ongoing or planned humanitarian interventions. The MSNA serves as a baseline upon which humanitarian aid providers in Ukraine can better understand: 1) the humanitarian situation in Ukraine and the multi-sectoral needs of the people in Ukraine, 2) how to address these needs and thus improve the humanitarian response, and 3) where further inquiry is required. In terms of direct applications of the MSNA, the findings of the MSNA will directly feed into the People-in-Need (PiN) and severity calculations and inform strategic planning for the 2025 HNRP. Through its contribution to the HNRP, the MSNA will provide a shared understanding of the crisis and inform joint strategic response prioritization and planning in Ukraine. The MSNA also aims to better clarify how household-level needs vary according to geographic area, across key demographics (e.g. gender, disability) and displacement status (e.g. returnee households, IDP households, and non-displaced households). Understanding how needs vary across such groups will improve humanitarian aid providers’ ability to specify and target their aid.</t>
  </si>
  <si>
    <t>Methodology</t>
  </si>
  <si>
    <t xml:space="preserve">This assessment employed a quantitative data collection methodology, including face-to-face (F2F) and computer-assisted telephone interview (CATI) surveys conducted at the household level. F2F household surveys were conducted in secure areas that could be directly accessed by enumerators, while CATI surveys were conducted in areas where F2F data collection was not feasible.
REACH developed a sampling strategy to allow for disaggregation by geographic areas and population groups, balanced against time, access, and resource constraints. REACH’s sampling approach was guided by the aim of conducting more targeted data collection in areas along the front line and Russian border, where results from the 2023 MSNA suggested more localised needs profiles of respondents. Therefore, The sampling approach comprises two complimentary sampling methods, with a precision of 95% confidence level and 8% margin of error across all strata. The first approach is representative at the raion level and was collected in the 10 oblasts situated along the frontline (as of June 2024) and border. The second approach is representative at the oblast level and was collected using F2F surveys in 13 oblasts in the West, Center, and Zhytomyrska oblast. For the first approach, the MSNA deployed the two modalities described above, namely CATI and F2F surveys, while the second approach deployed only F2F surveys. 
The data is representative of rural and urban households at the oblast level for Kyivska, Chernihivska, Sumska, Kharkivska, Dnipropetrovska, Mykolaivska, and Odeska Oblasts. Beyond those oblasts, the data is representative of urban and rural households at the macroregional level. </t>
  </si>
  <si>
    <t>Product Navigation and Disaggregations</t>
  </si>
  <si>
    <r>
      <t xml:space="preserve">This REACH product presents frequency tables of </t>
    </r>
    <r>
      <rPr>
        <b/>
        <sz val="10"/>
        <rFont val="Arial Narrow"/>
        <family val="2"/>
      </rPr>
      <t>2024 MSNA indicators at the national level</t>
    </r>
    <r>
      <rPr>
        <sz val="10"/>
        <rFont val="Arial Narrow"/>
        <family val="2"/>
      </rPr>
      <t xml:space="preserve">. </t>
    </r>
    <r>
      <rPr>
        <b/>
        <sz val="10"/>
        <rFont val="Arial Narrow"/>
        <family val="2"/>
      </rPr>
      <t>The frequency tables are grouped by Sector and Indicator,</t>
    </r>
    <r>
      <rPr>
        <sz val="10"/>
        <rFont val="Arial Narrow"/>
        <family val="2"/>
      </rPr>
      <t xml:space="preserve"> and can be navigated using the relevant link in the "Table of Content" tab. Frequency tables disaggregations include the following:
•	</t>
    </r>
    <r>
      <rPr>
        <b/>
        <sz val="10"/>
        <rFont val="Arial Narrow"/>
        <family val="2"/>
      </rPr>
      <t xml:space="preserve">By rural/urban: </t>
    </r>
    <r>
      <rPr>
        <sz val="10"/>
        <rFont val="Arial Narrow"/>
        <family val="2"/>
      </rPr>
      <t xml:space="preserve">Rural HHs, Urban HHs
•	</t>
    </r>
    <r>
      <rPr>
        <b/>
        <sz val="10"/>
        <rFont val="Arial Narrow"/>
        <family val="2"/>
      </rPr>
      <t xml:space="preserve">By displacement status: </t>
    </r>
    <r>
      <rPr>
        <sz val="10"/>
        <rFont val="Arial Narrow"/>
        <family val="2"/>
      </rPr>
      <t>Non-displaced HHs, IDP HHs, Intra-IDP HHs, Returnee HHs
•</t>
    </r>
    <r>
      <rPr>
        <b/>
        <sz val="10"/>
        <rFont val="Arial Narrow"/>
        <family val="2"/>
      </rPr>
      <t xml:space="preserve">	By 30-km proximity to the Frontline / Russian border:</t>
    </r>
    <r>
      <rPr>
        <sz val="10"/>
        <rFont val="Arial Narrow"/>
        <family val="2"/>
      </rPr>
      <t xml:space="preserve"> HHs living in settlements away from the frontline or Russian border, HHs living in settlements close to the frontline or Russian border
•	</t>
    </r>
    <r>
      <rPr>
        <b/>
        <sz val="10"/>
        <rFont val="Arial Narrow"/>
        <family val="2"/>
      </rPr>
      <t xml:space="preserve">By WGSS disability: </t>
    </r>
    <r>
      <rPr>
        <sz val="10"/>
        <rFont val="Arial Narrow"/>
        <family val="2"/>
      </rPr>
      <t xml:space="preserve">HHs with a member with a disability (Washington Group Severity Score 3 or 4), HHs without a member with a disability
•	</t>
    </r>
    <r>
      <rPr>
        <b/>
        <sz val="10"/>
        <rFont val="Arial Narrow"/>
        <family val="2"/>
      </rPr>
      <t xml:space="preserve">By HH size: </t>
    </r>
    <r>
      <rPr>
        <sz val="10"/>
        <rFont val="Arial Narrow"/>
        <family val="2"/>
      </rPr>
      <t xml:space="preserve">Single HH member, HHs with 2-4 members, HHs with 5+ members
•	</t>
    </r>
    <r>
      <rPr>
        <b/>
        <sz val="10"/>
        <rFont val="Arial Narrow"/>
        <family val="2"/>
      </rPr>
      <t>By single/joint-headed HHs:</t>
    </r>
    <r>
      <rPr>
        <sz val="10"/>
        <rFont val="Arial Narrow"/>
        <family val="2"/>
      </rPr>
      <t xml:space="preserve"> Joint-headed households, Single-headed female households, Single-headed male households
•	</t>
    </r>
    <r>
      <rPr>
        <b/>
        <sz val="10"/>
        <rFont val="Arial Narrow"/>
        <family val="2"/>
      </rPr>
      <t xml:space="preserve">By gender of respondent: </t>
    </r>
    <r>
      <rPr>
        <sz val="10"/>
        <rFont val="Arial Narrow"/>
        <family val="2"/>
      </rPr>
      <t>Men-respondent, Women-respondent
•</t>
    </r>
    <r>
      <rPr>
        <b/>
        <sz val="10"/>
        <rFont val="Arial Narrow"/>
        <family val="2"/>
      </rPr>
      <t xml:space="preserve">	By age of respondents: </t>
    </r>
    <r>
      <rPr>
        <sz val="10"/>
        <rFont val="Arial Narrow"/>
        <family val="2"/>
      </rPr>
      <t xml:space="preserve">18-29 y.o. respondents, 30-44 y.o. respondents, 45-59 y.o. respondents, 60+ y.o. respondents.
•	</t>
    </r>
    <r>
      <rPr>
        <b/>
        <sz val="10"/>
        <rFont val="Arial Narrow"/>
        <family val="2"/>
      </rPr>
      <t xml:space="preserve">By presence of children: </t>
    </r>
    <r>
      <rPr>
        <sz val="10"/>
        <rFont val="Arial Narrow"/>
        <family val="2"/>
      </rPr>
      <t xml:space="preserve">HHs with children (HH member &lt;18 years old), HHs without children
•	</t>
    </r>
    <r>
      <rPr>
        <b/>
        <sz val="10"/>
        <rFont val="Arial Narrow"/>
        <family val="2"/>
      </rPr>
      <t>By employment status:</t>
    </r>
    <r>
      <rPr>
        <sz val="10"/>
        <rFont val="Arial Narrow"/>
        <family val="2"/>
      </rPr>
      <t xml:space="preserve"> HHs without any working-age members, HHs with both employed and unemployed working-age members, HHs with only employed working-age members, HHs with only unemployed working-age members
•	</t>
    </r>
    <r>
      <rPr>
        <b/>
        <sz val="10"/>
        <rFont val="Arial Narrow"/>
        <family val="2"/>
      </rPr>
      <t xml:space="preserve">By income per capita: </t>
    </r>
    <r>
      <rPr>
        <sz val="10"/>
        <rFont val="Arial Narrow"/>
        <family val="2"/>
      </rPr>
      <t xml:space="preserve">HHs with 0-25% income, HHs with 25-50% income, HHs with 50-75% income, HHs with 75-100% income
•	</t>
    </r>
    <r>
      <rPr>
        <b/>
        <sz val="10"/>
        <rFont val="Arial Narrow"/>
        <family val="2"/>
      </rPr>
      <t>By age of HH members:</t>
    </r>
    <r>
      <rPr>
        <sz val="10"/>
        <rFont val="Arial Narrow"/>
        <family val="2"/>
      </rPr>
      <t xml:space="preserve"> Mixed HHs (both 60+ and under), Non-elderly HHs, Elderly HHs.
</t>
    </r>
  </si>
  <si>
    <t>Contacts (Name &amp; email address)</t>
  </si>
  <si>
    <t>Cailean Mallon cailean.mallon@impact-initiatives.org</t>
  </si>
  <si>
    <t>Mackenzie Seaman mackenzie.seaman@impact-initiatives.org </t>
  </si>
  <si>
    <t>Sheets</t>
  </si>
  <si>
    <t>Sheet 1 - READ_ME</t>
  </si>
  <si>
    <t>Project description</t>
  </si>
  <si>
    <t>Sheet 2 - Table of content</t>
  </si>
  <si>
    <t xml:space="preserve">The Table of Contents displays the links to relevant Frequency Tables. To filter the tables of interest, select the (i) sector, and (ii) indicator of interest, using the slicers above the table. Click the links in the "Link to Frequency Table" column to access the data. </t>
  </si>
  <si>
    <t>Sheet 3 - Data</t>
  </si>
  <si>
    <t>The Data sheet contains the Frequency Tables.</t>
  </si>
  <si>
    <t xml:space="preserve">REACH Ukraine | Multisectoral Needs Assessment (MSNA) 2024 | Table of Content for National Frequency Tables </t>
  </si>
  <si>
    <t>TO FILTER RELEVANT FREQUENCY TABLES:</t>
  </si>
  <si>
    <r>
      <t xml:space="preserve">STEP 1: SELECT THE </t>
    </r>
    <r>
      <rPr>
        <b/>
        <sz val="14"/>
        <color rgb="FFFF0000"/>
        <rFont val="Calibri"/>
        <family val="2"/>
        <scheme val="minor"/>
      </rPr>
      <t>SECTOR</t>
    </r>
  </si>
  <si>
    <r>
      <t xml:space="preserve">STEP 2: SELECT THE </t>
    </r>
    <r>
      <rPr>
        <b/>
        <sz val="14"/>
        <color rgb="FFFF0000"/>
        <rFont val="Calibri"/>
        <family val="2"/>
        <scheme val="minor"/>
      </rPr>
      <t>INDICATOR OF INTEREST</t>
    </r>
  </si>
  <si>
    <r>
      <rPr>
        <u/>
        <sz val="12"/>
        <color theme="1"/>
        <rFont val="Calibri"/>
        <family val="2"/>
        <scheme val="minor"/>
      </rPr>
      <t>Applicable</t>
    </r>
    <r>
      <rPr>
        <sz val="12"/>
        <color theme="1"/>
        <rFont val="Calibri"/>
        <family val="2"/>
        <scheme val="minor"/>
      </rPr>
      <t xml:space="preserve"> indicators by sector will appear in red in the slicer </t>
    </r>
  </si>
  <si>
    <t>Sector</t>
  </si>
  <si>
    <t>Indicator</t>
  </si>
  <si>
    <t>Table ID</t>
  </si>
  <si>
    <t>Link to Frequency Table</t>
  </si>
  <si>
    <t>Demographics</t>
  </si>
  <si>
    <t xml:space="preserve">Age of Respondents </t>
  </si>
  <si>
    <t xml:space="preserve">Percentage of Respondents Reportedly being Head of the Household (HoH) </t>
  </si>
  <si>
    <t>Household Size</t>
  </si>
  <si>
    <t>Age of Household members</t>
  </si>
  <si>
    <t>Percentage of household members by gender</t>
  </si>
  <si>
    <t>Percentage of Heads of Households, by highest level of education achieved</t>
  </si>
  <si>
    <t>Percentage of household members, by empoyment status</t>
  </si>
  <si>
    <t>Percentage of household members who have been looking for a job</t>
  </si>
  <si>
    <t>Percentage of household members who have been looking for a job, by barriers encountered</t>
  </si>
  <si>
    <t>Health</t>
  </si>
  <si>
    <t>Percentage of Medical Facility where a newborn was born, by type</t>
  </si>
  <si>
    <t>Percentage of HHs members who reported having a medical problem in the last 3 months and needed to access health care</t>
  </si>
  <si>
    <t>Percentage of HHs members reporting being able to obtain healthcare</t>
  </si>
  <si>
    <t>Percentage of Household members with healthcare needs, by type of need</t>
  </si>
  <si>
    <t>Distance (minutes) to the nearest medical facility</t>
  </si>
  <si>
    <t>Percentage of HHs who sought any medicine in the last 3 months</t>
  </si>
  <si>
    <t>Percentage of Households that were able to obtain the medicine sought in the last 3 months</t>
  </si>
  <si>
    <t>Percentage of households unable to access medicines, by type of medicine sought</t>
  </si>
  <si>
    <t>Percentage of households unable to obtain medicine from Affordable Medicine Program</t>
  </si>
  <si>
    <t>Percentage of Households by reported reasons for not being able to obtain medicine from Affordable Medicine Program</t>
  </si>
  <si>
    <t>Percentage of Households reporting barriers while accessing healthcare/medication, by barrier</t>
  </si>
  <si>
    <t>Percentage of Households where women (12-49 y.o.) know where to get information sexual and reproductive health services</t>
  </si>
  <si>
    <t>Health - MHPSS</t>
  </si>
  <si>
    <t>Percentage of Households experiencing notable stress in the last 6 months</t>
  </si>
  <si>
    <t>Percentage of Households experiencing depressed mood in the last 6 months</t>
  </si>
  <si>
    <t>Percentage of Households experiencing at least 2 weeks of anxiety in the last 6 months</t>
  </si>
  <si>
    <t>Percentage of Households with at least 1 member with registered disability status, by disability group</t>
  </si>
  <si>
    <t>Percentage of Households with at least 1 member who has difficulties seeing</t>
  </si>
  <si>
    <t>Percentage of Households with at least 1 member who has difficulties hearing</t>
  </si>
  <si>
    <t>Percentage of Households with at least 1 member who has difficulties walking</t>
  </si>
  <si>
    <t>Percentage of Households with at least 1 member who has difficulties concentrating</t>
  </si>
  <si>
    <t>Percentage of Households with at least 1 member who has difficulties with self-care</t>
  </si>
  <si>
    <t>Percentage of Households with at least 1 member who has difficulties communicating</t>
  </si>
  <si>
    <t>Displacement</t>
  </si>
  <si>
    <t>Percentage of households separated for three months or more due to reasons related to the war</t>
  </si>
  <si>
    <t>Percentage of households by displacement status</t>
  </si>
  <si>
    <t>Percentage of former refugees households</t>
  </si>
  <si>
    <t>Percentage of households which are IDPs, by length of displacement</t>
  </si>
  <si>
    <t>Percentage of households reporting reasons for return, by reason</t>
  </si>
  <si>
    <t>Percentage of households reporting their movement intentions for the next 12 months</t>
  </si>
  <si>
    <t>Percentage of households that have registered IDP members</t>
  </si>
  <si>
    <t>Education</t>
  </si>
  <si>
    <t>Percentage of children (5-18 y.o) from assessed HHs who attended school or early education program during 2023-2024 years</t>
  </si>
  <si>
    <t>Percentage of children (5-18 y.o) from assessed HHs who attended school during 2023-2024, by learning modality</t>
  </si>
  <si>
    <t>Percentage of children  (5-18 y.o) from assessed HHs who attended school, by grade</t>
  </si>
  <si>
    <t>Percentage of children (5 to 18 y.o.) NOT attending school or any early childhood education program at any time during the 2023-2024 school year, by main reason</t>
  </si>
  <si>
    <t>Percentage of Households with school-aged children (5-18 y.o) that reported education disruption because of displacement/evacuation</t>
  </si>
  <si>
    <t>Percentage of Households with school-aged children (5-18 y.o) that reported education disruption because of school damage</t>
  </si>
  <si>
    <t>Percentage of Households with school-aged children (5-18 y.o) that reported education disruption because of home damage</t>
  </si>
  <si>
    <t>Percentage of Households with school-aged children (5-18 y.o) that reported education disruption because of missile attack</t>
  </si>
  <si>
    <t>Time spent supporting children with education</t>
  </si>
  <si>
    <t>Livelihoods</t>
  </si>
  <si>
    <t>Households reporting types of expenditures they had in the last 30 days, by type</t>
  </si>
  <si>
    <t>Household Domestic Expenditure over the last 30 days, by type and amount</t>
  </si>
  <si>
    <t>Average Household Expenditure on Heating</t>
  </si>
  <si>
    <t>Households reporting types of expenditures they had in the last 6 months, by type</t>
  </si>
  <si>
    <t>Household Domestic Expenditure over the last 6 months by type and amount</t>
  </si>
  <si>
    <t>Total monthly expenditure PER CAPITA among those who reported any expenditure</t>
  </si>
  <si>
    <t>Total monthly expenditure among those who reported any expenditure</t>
  </si>
  <si>
    <t>SNFI</t>
  </si>
  <si>
    <t>Percentage of household missing essential non-food items, by item</t>
  </si>
  <si>
    <t>Prevalence of Primary Income Sources Reported by Households Over the Last 30 Days Prior to DC</t>
  </si>
  <si>
    <t>Household income over the 30 days prior to data collection, by types of income source</t>
  </si>
  <si>
    <t>Total income per capita among those who reported any income</t>
  </si>
  <si>
    <t>Total income per household among those who reported any income</t>
  </si>
  <si>
    <t>Percentage of households currently indebted</t>
  </si>
  <si>
    <t>Percentage of households currently indebted, by reason</t>
  </si>
  <si>
    <t>Percentange of households facing barriers to access marketplaces, by barrier</t>
  </si>
  <si>
    <t>Percentage of households adopting Livelihood Coping Strategies, by strategy</t>
  </si>
  <si>
    <t>Prevalence of Reported reasons for adopting Livelihood Coping Strategies</t>
  </si>
  <si>
    <t>Livelihood Coping Strategy - Essential Needs (LCS-EN)</t>
  </si>
  <si>
    <t>Protection</t>
  </si>
  <si>
    <t>Percentage of Households reporting security factors affecting their sense of safety, by factor</t>
  </si>
  <si>
    <t>Percentage of households reporting social tension and/or discrimination within the community, by reason</t>
  </si>
  <si>
    <t>Percentage of households reporting being concerned about having any HH member engaging in risky activities due to the economic needs</t>
  </si>
  <si>
    <t>Percentage of households that reported being concerned about being forced to flee their home</t>
  </si>
  <si>
    <t>Percentage of households reporting safety and security concerns for women, by concern</t>
  </si>
  <si>
    <t>Percentage of households reporting at least one female member of the household felt unsafe walking in their community, by frequency</t>
  </si>
  <si>
    <t>Prevalence of places women avoid because of security concerns</t>
  </si>
  <si>
    <t>Percentage of households reporting safety and security concerns for men, by concern</t>
  </si>
  <si>
    <t>Percentage of households reporting safety and security concerns for children, by concern</t>
  </si>
  <si>
    <t>Percentage of households reporting HLP (housing/land/property) concerns, by concern</t>
  </si>
  <si>
    <t>Protection - Mine Action</t>
  </si>
  <si>
    <t>Frequency of training on safe behaviours towards Explosive Ordnances</t>
  </si>
  <si>
    <t>Percentage of communities with Explosive Ordnances present</t>
  </si>
  <si>
    <t>Percentage of Households Reporting that Explosive Ordnance Affect the Livelihoods of People within their Community</t>
  </si>
  <si>
    <t>Percentage of Households, by shelter situation</t>
  </si>
  <si>
    <t>Percentage of Households, by shelter type</t>
  </si>
  <si>
    <t>Average shelter size</t>
  </si>
  <si>
    <t>Average number of individuals sharing a shelter</t>
  </si>
  <si>
    <t>Shelter overcrowding</t>
  </si>
  <si>
    <t>Prevalence of Shelter Occupancy Arrangement reported, by type</t>
  </si>
  <si>
    <t>Percentage of households feeling at risk of eviction</t>
  </si>
  <si>
    <t>Percentage of households reporting shelter issues that were NOT caused by the war, by issue</t>
  </si>
  <si>
    <t>Percentage of Households reporting shelter damage due to war, by type</t>
  </si>
  <si>
    <t>Percentage of Households reporting shelter damage due to war, by severity</t>
  </si>
  <si>
    <t>Percentage of Households experiencing issues while cooking</t>
  </si>
  <si>
    <t>Percentage of Households experiencing issues while sleeping</t>
  </si>
  <si>
    <t>Prevalence of main heating source, by type</t>
  </si>
  <si>
    <t>Percentage of Households experiencing issues while storing food</t>
  </si>
  <si>
    <t>Percentage of Households experiencing issues with electricity</t>
  </si>
  <si>
    <t>Percentage of Households reporting utility interruptions, by utility</t>
  </si>
  <si>
    <t>Percentage of households by access to alternative source of power</t>
  </si>
  <si>
    <t>Percentage of households having access to the Internet, by frequency</t>
  </si>
  <si>
    <t>Percentange of households accessing to internet, by source</t>
  </si>
  <si>
    <t>Distance to nearest bomb shelter</t>
  </si>
  <si>
    <t>Percentage of Households reporting damage to the shelter in the area of origin, by damage type</t>
  </si>
  <si>
    <t>Percentage of Households reporting damage to the shelter in the area of origin, by severity</t>
  </si>
  <si>
    <t>WASH</t>
  </si>
  <si>
    <t>Prevalence of reported main sources of drinking water, by type</t>
  </si>
  <si>
    <t>Average time (minutes) to fetch water</t>
  </si>
  <si>
    <t>Percentage of HHs assessing drinking water, by quality</t>
  </si>
  <si>
    <t>Percentage of HHs treating drinking water</t>
  </si>
  <si>
    <t>Average number of days without sufficient drinking water</t>
  </si>
  <si>
    <t>Prevalence of water sources for domestic purposes, by type</t>
  </si>
  <si>
    <t>Percentage of HHs reporting having enough water for technical needs</t>
  </si>
  <si>
    <t>Percentage of HHs reporting having issues with performing personal hyigiene</t>
  </si>
  <si>
    <t>Percentage of HHs reporting having issues with performing personal hyigiene, by reported reason</t>
  </si>
  <si>
    <t>Prevalence of handwashing facilities used, by type</t>
  </si>
  <si>
    <t>Percentage of Households having soap in their household</t>
  </si>
  <si>
    <t>Prevalence of toilet facilities used, by type</t>
  </si>
  <si>
    <t>Percentage of households sharing sanitation facilities</t>
  </si>
  <si>
    <t>Average number of households sharing sanitation facilities</t>
  </si>
  <si>
    <t>Percentage of households with access to adequate toilets</t>
  </si>
  <si>
    <t>Prevalence of garbage disposal method, by type</t>
  </si>
  <si>
    <t>Prevalence of reported issues with sewage, by type</t>
  </si>
  <si>
    <t>Percentage of Households reportedly struggling to obtain enough money to cover household daily needs</t>
  </si>
  <si>
    <t>Percentage of Household reporting Challenges to Obtain Money to Meet Basic Needs, by challenge</t>
  </si>
  <si>
    <t>Food Security</t>
  </si>
  <si>
    <t>Percentage of households adopting reduced coping strategies, by strategy (rCSI)</t>
  </si>
  <si>
    <t>Household Hunger Scale (HHS)</t>
  </si>
  <si>
    <t>AAP</t>
  </si>
  <si>
    <t>Prevalence of most significant challenges reported by HHs, by type</t>
  </si>
  <si>
    <t>Prevalence of preferred support from aid actors reported by HHs, by type</t>
  </si>
  <si>
    <t>Prevalence of preferred modality of assistance reported by HHs</t>
  </si>
  <si>
    <t>Prevalence of preferred modality of assistance per aid type</t>
  </si>
  <si>
    <t>Percentage of Households who have received humanitarian assistance</t>
  </si>
  <si>
    <t>Prevalence of reported barriers to accessing aid in the last 12 months</t>
  </si>
  <si>
    <t>Percentage of HHs who were satisfied with the aid received</t>
  </si>
  <si>
    <t>Prevalence of preferred information from aid provider, by type</t>
  </si>
  <si>
    <t>Prevalence of preferred mean of communication from aid provider, by type</t>
  </si>
  <si>
    <t>Percentage of HH reporting feeling involved in aid distribution</t>
  </si>
  <si>
    <t>Prevalence of preferred language of communication with aid providers</t>
  </si>
  <si>
    <t>Percentage of HH reporting cuts in assistance from the governments, by type</t>
  </si>
  <si>
    <t>Percentage of HHs  requiring legal assistance, by type</t>
  </si>
  <si>
    <t>Percentage of HHs requiring social or services provided by the government</t>
  </si>
  <si>
    <t>Percentage of HHs reportedly facing barriers while accessing services provided by the government, by barrier</t>
  </si>
  <si>
    <t>Percentage of households reporting available services for women in their community, by type</t>
  </si>
  <si>
    <t>Percentage of households reporting needed services related to children's well-being, by type</t>
  </si>
  <si>
    <t xml:space="preserve">rCSI - reduced Consumption-based Coping Strategy Index </t>
  </si>
  <si>
    <t>Household income per Capita, by types of income source</t>
  </si>
  <si>
    <t>Age of respondents broken down by rural / urban on the admin of overall</t>
  </si>
  <si>
    <t>admin_category</t>
  </si>
  <si>
    <t>disaggregations_category_1</t>
  </si>
  <si>
    <t>mean</t>
  </si>
  <si>
    <t>median</t>
  </si>
  <si>
    <t>min</t>
  </si>
  <si>
    <t>max</t>
  </si>
  <si>
    <t>weighted_count</t>
  </si>
  <si>
    <t>full_count</t>
  </si>
  <si>
    <t xml:space="preserve"> Overall</t>
  </si>
  <si>
    <t>rural</t>
  </si>
  <si>
    <t>urban</t>
  </si>
  <si>
    <t>Total</t>
  </si>
  <si>
    <t>Age of respondents broken down by proximity to the Frontline / Russian border on the admin of overall</t>
  </si>
  <si>
    <t>HHs living in settlements away from the frontline or russian border</t>
  </si>
  <si>
    <t>HHs living in settlements from 30 to 100 km from the frontline or russian border</t>
  </si>
  <si>
    <t>HHs living in settlements up to 30 km to the frontline or russian border</t>
  </si>
  <si>
    <t>Age of respondents broken down by member with WGSS disability on the admin of overall</t>
  </si>
  <si>
    <t>HHs with a member with a WG disability</t>
  </si>
  <si>
    <t>HHs without members with a WG disability</t>
  </si>
  <si>
    <t>Age of respondents broken down by displacement status of HoH on the admin of overall</t>
  </si>
  <si>
    <t>IDP HHs</t>
  </si>
  <si>
    <t>Intra-settlement displaced HHs</t>
  </si>
  <si>
    <t>Non-displaced HHs</t>
  </si>
  <si>
    <t>Other</t>
  </si>
  <si>
    <t>Returnee HHs</t>
  </si>
  <si>
    <t>Age of respondents broken down by household size on the admin of overall</t>
  </si>
  <si>
    <t>HHs with 2-4 members</t>
  </si>
  <si>
    <t>Single HH member</t>
  </si>
  <si>
    <t>With 5+ members</t>
  </si>
  <si>
    <t>Age of respondents broken down by single/joint headed HHs on the admin of overall</t>
  </si>
  <si>
    <t>Joint-headed households</t>
  </si>
  <si>
    <t>Single headed female houseohlds</t>
  </si>
  <si>
    <t>Single headed male households</t>
  </si>
  <si>
    <t>Age of respondents broken down by gender of respondent on the admin of overall</t>
  </si>
  <si>
    <t>Men-respondents</t>
  </si>
  <si>
    <t>Other-respondents</t>
  </si>
  <si>
    <t>Women-respondents</t>
  </si>
  <si>
    <t>A_18 Respondents Reportedly being Head of the Household (HoH)  broken down by gender of respondent on the admin of overall</t>
  </si>
  <si>
    <t>sample_count</t>
  </si>
  <si>
    <t>No</t>
  </si>
  <si>
    <t>Yes</t>
  </si>
  <si>
    <t>A_18 Respondents Reportedly being Head of the Household (HoH)  broken down by age of respondents on the admin of overall</t>
  </si>
  <si>
    <t>18-29 y.o. respondents</t>
  </si>
  <si>
    <t>30-44 y.o. respondents</t>
  </si>
  <si>
    <t>45-59 y.o. respondents</t>
  </si>
  <si>
    <t>60+ y.o. respondents</t>
  </si>
  <si>
    <t>B_2 Household size broken down by rural / urban on the admin of overall</t>
  </si>
  <si>
    <t>B_2 Household size broken down by proximity to the Frontline / Russian border on the admin of overall</t>
  </si>
  <si>
    <t>B_2 Household size broken down by member with WGSS disability on the admin of overall</t>
  </si>
  <si>
    <t>B_2 Household size broken down by displacement status of HoH on the admin of overall</t>
  </si>
  <si>
    <t>B_2 Household size broken down by single/joint headed HHs on the admin of overall</t>
  </si>
  <si>
    <t>B_2 Household size broken down by gender of respondent on the admin of overall</t>
  </si>
  <si>
    <t>B_5 Age of Household members broken down by rural / urban on the admin of overall</t>
  </si>
  <si>
    <t>B_5 Age of Household members broken down by proximity to the Frontline / Russian border on the admin of overall</t>
  </si>
  <si>
    <t>B_5 Age of Household members broken down by member with WGSS disability on the admin of overall</t>
  </si>
  <si>
    <t>B_5 Age of Household members broken down by displacement status of HoH on the admin of overall</t>
  </si>
  <si>
    <t>Intra-IDP HHs</t>
  </si>
  <si>
    <t>B_5 Age of Household members broken down by household size on the admin of overall</t>
  </si>
  <si>
    <t>B_5 Age of Household members broken down by single/joint headed HHs on the admin of overall</t>
  </si>
  <si>
    <t>B_7 Gender of Household members broken down by rural / urban on the admin of overall</t>
  </si>
  <si>
    <t>Do not know</t>
  </si>
  <si>
    <t>Man / boy</t>
  </si>
  <si>
    <t>Prefer not to answer</t>
  </si>
  <si>
    <t>Woman / girl</t>
  </si>
  <si>
    <t>B_7 Gender of Household members broken down by proximity to the Frontline / Russian border on the admin of overall</t>
  </si>
  <si>
    <t>B_7 Gender of Household members broken down by member with WGSS disability on the admin of overall</t>
  </si>
  <si>
    <t>B_7 Gender of Household members broken down by displacement status of HoH on the admin of overall</t>
  </si>
  <si>
    <t>B_7 Gender of Household members broken down by household size on the admin of overall</t>
  </si>
  <si>
    <t>B_7 Gender of Household members broken down by single/joint headed HHs on the admin of overall</t>
  </si>
  <si>
    <t>B_12 Education of Heads of Households broken down by rural / urban on the admin of overall</t>
  </si>
  <si>
    <t>Basic general secondary</t>
  </si>
  <si>
    <t>Complete general secondary</t>
  </si>
  <si>
    <t>Doctor of Sciences</t>
  </si>
  <si>
    <t>No education completed</t>
  </si>
  <si>
    <t>PhD</t>
  </si>
  <si>
    <t>Primary school</t>
  </si>
  <si>
    <t>University degree</t>
  </si>
  <si>
    <t>Vocational, technical education</t>
  </si>
  <si>
    <t>B_12 Education of Heads of Households broken down by proximity to the Frontline / Russian border on the admin of overall</t>
  </si>
  <si>
    <t>B_12 Education of Heads of Households broken down by member with WGSS disability on the admin of overall</t>
  </si>
  <si>
    <t>B_12 Education of Heads of Households broken down by displacement status of HoH on the admin of overall</t>
  </si>
  <si>
    <t>B_12 Education of Heads of Households broken down by household size on the admin of overall</t>
  </si>
  <si>
    <t>B_12 Education of Heads of Households broken down by single/joint headed HHs on the admin of overall</t>
  </si>
  <si>
    <t>E_2 Employment status of Household members broken down by age of household members of employment age on the admin of overall</t>
  </si>
  <si>
    <t>Daily or casual labor</t>
  </si>
  <si>
    <t>Informal employment</t>
  </si>
  <si>
    <t>Military service</t>
  </si>
  <si>
    <t>Military service and serving away from the settlement</t>
  </si>
  <si>
    <t>Other (specify)</t>
  </si>
  <si>
    <t>Own business</t>
  </si>
  <si>
    <t>Permanent job with annual / monthly / weekly wage</t>
  </si>
  <si>
    <t>Permanently sick or disabled (can't work)</t>
  </si>
  <si>
    <t>Retired</t>
  </si>
  <si>
    <t xml:space="preserve">Self-employed/freelance </t>
  </si>
  <si>
    <t>Student /student and working</t>
  </si>
  <si>
    <t>Student /student but not working</t>
  </si>
  <si>
    <t>Temporary job/seasonal job with annual / monthly / weekly wage</t>
  </si>
  <si>
    <t>Unemployed</t>
  </si>
  <si>
    <t>Unpaid work (e.g. looking after children, looking after the elderly, housework, etc.)</t>
  </si>
  <si>
    <t>15-17 y.o.</t>
  </si>
  <si>
    <t>18-29 y.o.</t>
  </si>
  <si>
    <t>30-44 y.o.</t>
  </si>
  <si>
    <t>45-59 y.o.</t>
  </si>
  <si>
    <t>60+ y.o.</t>
  </si>
  <si>
    <t>E_2 Employment status of Household members broken down by gender and age of household members of employment age on the admin of overall</t>
  </si>
  <si>
    <t>disaggregations_category_2</t>
  </si>
  <si>
    <t>Men</t>
  </si>
  <si>
    <t>Women</t>
  </si>
  <si>
    <t>E_2 Employment status of Household members broken down by rural / urban on the admin of overall</t>
  </si>
  <si>
    <t>E_2 Employment status of Household members broken down by proximity to the Frontline / Russian border on the admin of overall</t>
  </si>
  <si>
    <t>E_2 Employment status of Household members broken down by member with WGSS disability on the admin of overall</t>
  </si>
  <si>
    <t>E_2 Employment status of Household members broken down by displacement status of HoH on the admin of overall</t>
  </si>
  <si>
    <t>E_2 Employment status of Household members broken down by household size on the admin of overall</t>
  </si>
  <si>
    <t>E_2 Employment status of Household members broken down by single/joint headed HHs on the admin of overall</t>
  </si>
  <si>
    <t>E_2 Employment status of Household members broken down by presence of children on the admin of overall</t>
  </si>
  <si>
    <t>HHs with children</t>
  </si>
  <si>
    <t>HHs without children</t>
  </si>
  <si>
    <t>E_2 Employment status of Household members broken down by single care provider on the admin of overall</t>
  </si>
  <si>
    <t>Female single care provider</t>
  </si>
  <si>
    <t>Joint care providers</t>
  </si>
  <si>
    <t>Male single care provider</t>
  </si>
  <si>
    <t>No care providers</t>
  </si>
  <si>
    <t>E_3 Household members who reportedly sought job in the past 4 weeks  broken down by age of household members of employment age on the admin of overall</t>
  </si>
  <si>
    <t>No, not looking for a job</t>
  </si>
  <si>
    <t>Yes, and ready to start within 2 weeks</t>
  </si>
  <si>
    <t>Yes, but not ready to start within 2 weeks</t>
  </si>
  <si>
    <t>E_3 Household members who reportedly sought job in the past 4 weeks  broken down by gender and age of household members of employment age on the admin of overall</t>
  </si>
  <si>
    <t>E_3 Household members who reportedly sought job in the past 4 weeks  broken down by rural / urban on the admin of overall</t>
  </si>
  <si>
    <t>E_3 Household members who reportedly sought job in the past 4 weeks  broken down by proximity to the Frontline / Russian border on the admin of overall</t>
  </si>
  <si>
    <t>E_3 Household members who reportedly sought job in the past 4 weeks  broken down by member with WGSS disability on the admin of overall</t>
  </si>
  <si>
    <t>E_3 Household members who reportedly sought job in the past 4 weeks  broken down by displacement status of HoH on the admin of overall</t>
  </si>
  <si>
    <t>E_3 Household members who reportedly sought job in the past 4 weeks  broken down by household size on the admin of overall</t>
  </si>
  <si>
    <t>E_3 Household members who reportedly sought job in the past 4 weeks  broken down by single/joint headed HHs on the admin of overall</t>
  </si>
  <si>
    <t>E_3 Household members who reportedly sought job in the past 4 weeks  broken down by presence of children on the admin of overall</t>
  </si>
  <si>
    <t>E_3 Household members who reportedly sought job in the past 4 weeks  broken down by single care provider on the admin of overall</t>
  </si>
  <si>
    <t>E_4 Employment barriers faced by household members that sought job in the last 4 weeks broken down by age of household members of employment age on the admin of overall</t>
  </si>
  <si>
    <t>Discrimination</t>
  </si>
  <si>
    <t>Lack of ability to invest in own business</t>
  </si>
  <si>
    <t>Lack of means of transportation</t>
  </si>
  <si>
    <t>Lack of necessary documents</t>
  </si>
  <si>
    <t>Lack of opportunities in the area</t>
  </si>
  <si>
    <t>Lack of qualification</t>
  </si>
  <si>
    <t>Need to care for children / sick / elderly family member</t>
  </si>
  <si>
    <t xml:space="preserve">None </t>
  </si>
  <si>
    <t>Not satisfied with salaries / working conditions</t>
  </si>
  <si>
    <t>Sickness or disability</t>
  </si>
  <si>
    <t>E_4 Employment barriers faced by household members that sought job in the last 4 weeks broken down by gender and age of household members of employment age on the admin of overall</t>
  </si>
  <si>
    <t>E_4 Employment barriers faced by household members that sought job in the last 4 weeks broken down by rural / urban on the admin of overall</t>
  </si>
  <si>
    <t>E_4 Employment barriers faced by household members that sought job in the last 4 weeks broken down by proximity to the Frontline / Russian border on the admin of overall</t>
  </si>
  <si>
    <t>E_4 Employment barriers faced by household members that sought job in the last 4 weeks broken down by member with WGSS disability on the admin of overall</t>
  </si>
  <si>
    <t>E_4 Employment barriers faced by household members that sought job in the last 4 weeks broken down by displacement status of HoH on the admin of overall</t>
  </si>
  <si>
    <t>E_4 Employment barriers faced by household members that sought job in the last 4 weeks broken down by household size on the admin of overall</t>
  </si>
  <si>
    <t>E_4 Employment barriers faced by household members that sought job in the last 4 weeks broken down by single/joint headed HHs on the admin of overall</t>
  </si>
  <si>
    <t>E_4 Employment barriers faced by household members that sought job in the last 4 weeks broken down by presence of children on the admin of overall</t>
  </si>
  <si>
    <t>E_4 Employment barriers faced by household members that sought job in the last 4 weeks broken down by single care provider on the admin of overall</t>
  </si>
  <si>
    <t>B_8 Medical Facility where a newborn was born broken down by rural / urban on the admin of overall</t>
  </si>
  <si>
    <t>At home (relative/friend)</t>
  </si>
  <si>
    <t>In NGO hospital or clinic (doctor/nurse/midwife)</t>
  </si>
  <si>
    <t>In government hospital/health center or post (doctor/nurse/midwife)</t>
  </si>
  <si>
    <t>Private hospital or clinic (doctor/nurse/midwife )</t>
  </si>
  <si>
    <t>B_8 Medical Facility where a newborn was born broken down by proximity to the Frontline / Russian border on the admin of overall</t>
  </si>
  <si>
    <t>B_8 Medical Facility where a newborn was born broken down by member with WGSS disability on the admin of overall</t>
  </si>
  <si>
    <t>B_8 Medical Facility where a newborn was born broken down by displacement status of HoH on the admin of overall</t>
  </si>
  <si>
    <t>B_8 Medical Facility where a newborn was born broken down by household size on the admin of overall</t>
  </si>
  <si>
    <t>B_8 Medical Facility where a newborn was born broken down by single/joint headed HHs on the admin of overall</t>
  </si>
  <si>
    <t>B_8 Medical Facility where a newborn was born broken down by income per capita (by quartiles) on the admin of overall</t>
  </si>
  <si>
    <t>HHs with 0-25% income</t>
  </si>
  <si>
    <t>HHs with 25-50% income</t>
  </si>
  <si>
    <t>HHs with 50-75% income</t>
  </si>
  <si>
    <t>HHs with 75-100% income</t>
  </si>
  <si>
    <t>D_3 Household members that had a medical problem in the last 3 months and needed to access healthcare broken down by age of household members on the admin of overall</t>
  </si>
  <si>
    <t>1-4 y.o.</t>
  </si>
  <si>
    <t>10-14 y.o.</t>
  </si>
  <si>
    <t>18-24 y.o.</t>
  </si>
  <si>
    <t>25-29 y.o.</t>
  </si>
  <si>
    <t>30-34 y.o.</t>
  </si>
  <si>
    <t>35-39 y.o.</t>
  </si>
  <si>
    <t>40-44 y.o.</t>
  </si>
  <si>
    <t>45-49 y.o.</t>
  </si>
  <si>
    <t>5-9 y.o.</t>
  </si>
  <si>
    <t>50-54 y.o.</t>
  </si>
  <si>
    <t>55-59 y.o.</t>
  </si>
  <si>
    <t>D_3 Household members that had a medical problem in the last 3 months and needed to access healthcare broken down by age and gender of household members on the admin of overall</t>
  </si>
  <si>
    <t>D_3 Household members that had a medical problem in the last 3 months and needed to access healthcare broken down by rural / urban on the admin of overall</t>
  </si>
  <si>
    <t>D_3 Household members that had a medical problem in the last 3 months and needed to access healthcare broken down by proximity to the Frontline / Russian border on the admin of overall</t>
  </si>
  <si>
    <t>D_3 Household members that had a medical problem in the last 3 months and needed to access healthcare broken down by member with WGSS disability on the admin of overall</t>
  </si>
  <si>
    <t>D_3 Household members that had a medical problem in the last 3 months and needed to access healthcare broken down by displacement status of HoH on the admin of overall</t>
  </si>
  <si>
    <t>D_3 Household members that had a medical problem in the last 3 months and needed to access healthcare broken down by household size on the admin of overall</t>
  </si>
  <si>
    <t>D_3 Household members that had a medical problem in the last 3 months and needed to access healthcare broken down by single/joint headed HHs on the admin of overall</t>
  </si>
  <si>
    <t>D_3 Household members that had a medical problem in the last 3 months and needed to access healthcare broken down by income per capita (by quartiles) on the admin of overall</t>
  </si>
  <si>
    <t>D_5 Household members by reported ability to obtain healthcare when they needed it broken down by age of household members on the admin of overall</t>
  </si>
  <si>
    <t>D_5 Household members by reported ability to obtain healthcare when they needed it broken down by age and gender of household members on the admin of overall</t>
  </si>
  <si>
    <t>D_5 Household members by reported ability to obtain healthcare when they needed it broken down by rural / urban on the admin of overall</t>
  </si>
  <si>
    <t>D_5 Household members by reported ability to obtain healthcare when they needed it broken down by proximity to the Frontline / Russian border on the admin of overall</t>
  </si>
  <si>
    <t>D_5 Household members by reported ability to obtain healthcare when they needed it broken down by member with WGSS disability on the admin of overall</t>
  </si>
  <si>
    <t>D_5 Household members by reported ability to obtain healthcare when they needed it broken down by displacement status of HoH on the admin of overall</t>
  </si>
  <si>
    <t>D_5 Household members by reported ability to obtain healthcare when they needed it broken down by household size on the admin of overall</t>
  </si>
  <si>
    <t>D_5 Household members by reported ability to obtain healthcare when they needed it broken down by single/joint headed HHs on the admin of overall</t>
  </si>
  <si>
    <t>D_5 Household members by reported ability to obtain healthcare when they needed it broken down by income per capita (by quartiles) on the admin of overall</t>
  </si>
  <si>
    <t>D_4 Household members that reportedly needed healthcare by type of need broken down by age of household members on the admin of overall</t>
  </si>
  <si>
    <t>Ante-natal or post-natal services</t>
  </si>
  <si>
    <t>Consultation or drugs for acute illness (fever, diarrhoea, cough, etc.)</t>
  </si>
  <si>
    <t xml:space="preserve">Consultation or drugs for chronic illness (diabetes, hypertension, etc.) </t>
  </si>
  <si>
    <t>Consultation or drugs for other illnesses</t>
  </si>
  <si>
    <t>Elective, non-life saving surgery</t>
  </si>
  <si>
    <t>Emergency, life saving surgery</t>
  </si>
  <si>
    <t>Preventative consultation / check-up</t>
  </si>
  <si>
    <t>Safe delivery services</t>
  </si>
  <si>
    <t>Trauma care (injury, accident, conflict-related wounds)</t>
  </si>
  <si>
    <t>D_4 Household members that reportedly needed healthcare by type of need broken down by age and gender of household members on the admin of overall</t>
  </si>
  <si>
    <t>D_4 Household members that reportedly needed healthcare by type of need broken down by rural / urban on the admin of overall</t>
  </si>
  <si>
    <t>D_4 Household members that reportedly needed healthcare by type of need broken down by proximity to the Frontline / Russian border on the admin of overall</t>
  </si>
  <si>
    <t>D_4 Household members that reportedly needed healthcare by type of need broken down by member with WGSS disability on the admin of overall</t>
  </si>
  <si>
    <t>D_4 Household members that reportedly needed healthcare by type of need broken down by displacement status of HoH on the admin of overall</t>
  </si>
  <si>
    <t>D_4 Household members that reportedly needed healthcare by type of need broken down by household size on the admin of overall</t>
  </si>
  <si>
    <t>D_4 Household members that reportedly needed healthcare by type of need broken down by single/joint headed HHs on the admin of overall</t>
  </si>
  <si>
    <t>D_4 Household members that reportedly needed healthcare by type of need broken down by income per capita (by quartiles) on the admin of overall</t>
  </si>
  <si>
    <t>Distance to the nearest medical facility broken down by rural / urban on the admin of overall</t>
  </si>
  <si>
    <t>Distance to the nearest medical facility broken down by proximity to the Frontline / Russian border on the admin of overall</t>
  </si>
  <si>
    <t>Distance to the nearest medical facility broken down by member with WGSS disability on the admin of overall</t>
  </si>
  <si>
    <t>Distance to the nearest medical facility broken down by displacement status of HoH on the admin of overall</t>
  </si>
  <si>
    <t>Distance to the nearest medical facility broken down by household size on the admin of overall</t>
  </si>
  <si>
    <t>Distance to the nearest medical facility broken down by single/joint headed HHs on the admin of overall</t>
  </si>
  <si>
    <t>Households that reportedly sought any medicine in the last 3 months broken down by rural / urban on the admin of overall</t>
  </si>
  <si>
    <t>Households that reportedly sought any medicine in the last 3 months broken down by proximity to the Frontline / Russian border on the admin of overall</t>
  </si>
  <si>
    <t>Households that reportedly sought any medicine in the last 3 months broken down by member with WGSS disability on the admin of overall</t>
  </si>
  <si>
    <t>Households that reportedly sought any medicine in the last 3 months broken down by displacement status of HoH on the admin of overall</t>
  </si>
  <si>
    <t>Households that reportedly sought any medicine in the last 3 months broken down by household size on the admin of overall</t>
  </si>
  <si>
    <t>Households that reportedly sought any medicine in the last 3 months broken down by single/joint headed HHs on the admin of overall</t>
  </si>
  <si>
    <t>Households that were able to obtaine the medicine they sought in the last 3 months broken down by rural / urban on the admin of overall</t>
  </si>
  <si>
    <t>Households that were able to obtaine the medicine they sought in the last 3 months broken down by proximity to the Frontline / Russian border on the admin of overall</t>
  </si>
  <si>
    <t>Households that were able to obtaine the medicine they sought in the last 3 months broken down by member with WGSS disability on the admin of overall</t>
  </si>
  <si>
    <t>Households that were able to obtaine the medicine they sought in the last 3 months broken down by displacement status of HoH on the admin of overall</t>
  </si>
  <si>
    <t>Households that were able to obtaine the medicine they sought in the last 3 months broken down by household size on the admin of overall</t>
  </si>
  <si>
    <t>Households that were able to obtaine the medicine they sought in the last 3 months broken down by single/joint headed HHs on the admin of overall</t>
  </si>
  <si>
    <t>Households by types of medicines sought in the last 3 months broken down by rural / urban on the admin of overall</t>
  </si>
  <si>
    <t>Medicines for allergies</t>
  </si>
  <si>
    <t>Medicines for birth control</t>
  </si>
  <si>
    <t xml:space="preserve">Medicines for high blood pressure </t>
  </si>
  <si>
    <t>Medicines for infections</t>
  </si>
  <si>
    <t>Medicines for long-term lung problems (like asthma)</t>
  </si>
  <si>
    <t>Medicines for mental health conditions</t>
  </si>
  <si>
    <t>Medicines for pain</t>
  </si>
  <si>
    <t>Medicines for the neurologic/nervous system diseases e.g. epilepsy and others</t>
  </si>
  <si>
    <t>Medicines for thyroid problems</t>
  </si>
  <si>
    <t>Medicines to prevent or treat cancer</t>
  </si>
  <si>
    <t xml:space="preserve">Medicines to prevent or treat heart problems </t>
  </si>
  <si>
    <t>Medicines to regulate blood sugar</t>
  </si>
  <si>
    <t>Other  (specify)</t>
  </si>
  <si>
    <t>Households by types of medicines sought in the last 3 months broken down by proximity to the Frontline / Russian border on the admin of overall</t>
  </si>
  <si>
    <t>Households by types of medicines sought in the last 3 months broken down by member with WGSS disability on the admin of overall</t>
  </si>
  <si>
    <t>Households by types of medicines sought in the last 3 months broken down by displacement status of HoH on the admin of overall</t>
  </si>
  <si>
    <t>Households by types of medicines sought in the last 3 months broken down by household size on the admin of overall</t>
  </si>
  <si>
    <t>Households by types of medicines sought in the last 3 months broken down by single/joint headed HHs on the admin of overall</t>
  </si>
  <si>
    <t>Households that reportedly were unable to obtain medicine from Affordable Medicine Program broken down by rural / urban on the admin of overall</t>
  </si>
  <si>
    <t>Households that reportedly were unable to obtain medicine from Affordable Medicine Program broken down by proximity to the Frontline / Russian border on the admin of overall</t>
  </si>
  <si>
    <t>Households that reportedly were unable to obtain medicine from Affordable Medicine Program broken down by member with WGSS disability on the admin of overall</t>
  </si>
  <si>
    <t>Households that reportedly were unable to obtain medicine from Affordable Medicine Program broken down by displacement status of HoH on the admin of overall</t>
  </si>
  <si>
    <t>Households that reportedly were unable to obtain medicine from Affordable Medicine Program broken down by household size on the admin of overall</t>
  </si>
  <si>
    <t>Households that reportedly were unable to obtain medicine from Affordable Medicine Program broken down by single/joint headed HHs on the admin of overall</t>
  </si>
  <si>
    <t>Households by reported reasons for not being able to obtain medicine from Affordable Medicine Program broken down by rural / urban on the admin of overall</t>
  </si>
  <si>
    <t xml:space="preserve">Could not get to the pharmacy </t>
  </si>
  <si>
    <t>Medicine was not available in the pharmacy</t>
  </si>
  <si>
    <t xml:space="preserve">Pharmacies were closed </t>
  </si>
  <si>
    <t xml:space="preserve">Problems with the prescription </t>
  </si>
  <si>
    <t xml:space="preserve">Security concern (either getting to/from or being in the pharmacy) </t>
  </si>
  <si>
    <t>There is no pharmacy nearby</t>
  </si>
  <si>
    <t>Households by reported reasons for not being able to obtain medicine from Affordable Medicine Program broken down by proximity to the Frontline / Russian border on the admin of overall</t>
  </si>
  <si>
    <t>Households by reported reasons for not being able to obtain medicine from Affordable Medicine Program broken down by member with WGSS disability on the admin of overall</t>
  </si>
  <si>
    <t>Households by reported reasons for not being able to obtain medicine from Affordable Medicine Program broken down by displacement status of HoH on the admin of overall</t>
  </si>
  <si>
    <t>Households by reported reasons for not being able to obtain medicine from Affordable Medicine Program broken down by household size on the admin of overall</t>
  </si>
  <si>
    <t>Households by reported reasons for not being able to obtain medicine from Affordable Medicine Program broken down by single/joint headed HHs on the admin of overall</t>
  </si>
  <si>
    <t>Households reporting barriers while accessing healthcare/medication broken down by rural / urban on the admin of overall</t>
  </si>
  <si>
    <t>Cost of medicine</t>
  </si>
  <si>
    <t>Cost of treatment</t>
  </si>
  <si>
    <t xml:space="preserve">Did not have the needed documents </t>
  </si>
  <si>
    <t>Lack of medical facilities / facilities difficult to access</t>
  </si>
  <si>
    <t>Lack of pharmacies / pharmacies difficult to access</t>
  </si>
  <si>
    <t>Refusal to provide service / medicine</t>
  </si>
  <si>
    <t>Security concerns (during travel or while being in the facility / seeking medicine)</t>
  </si>
  <si>
    <t>The need for unofficial payments</t>
  </si>
  <si>
    <t xml:space="preserve">The needed services/ medicine were not available </t>
  </si>
  <si>
    <t>Time necessary to access the services and/or access medicine</t>
  </si>
  <si>
    <t>Transport necessary to get to the services / access medicine</t>
  </si>
  <si>
    <t>Households reporting barriers while accessing healthcare/medication broken down by proximity to the Frontline / Russian border on the admin of overall</t>
  </si>
  <si>
    <t>Households reporting barriers while accessing healthcare/medication broken down by member with WGSS disability on the admin of overall</t>
  </si>
  <si>
    <t>Households reporting barriers while accessing healthcare/medication broken down by displacement status of HoH on the admin of overall</t>
  </si>
  <si>
    <t>Households reporting barriers while accessing healthcare/medication broken down by household size on the admin of overall</t>
  </si>
  <si>
    <t>Households reporting barriers while accessing healthcare/medication broken down by single/joint headed HHs on the admin of overall</t>
  </si>
  <si>
    <t>Households with women (12-49 y.o.) reportedly having the information on where to access sexual and reproductive health services broken down by rural / urban on the admin of overall</t>
  </si>
  <si>
    <t>Households with women (12-49 y.o.) reportedly having the information on where to access sexual and reproductive health services broken down by proximity to the Frontline / Russian border on the admin of overall</t>
  </si>
  <si>
    <t>Households with women (12-49 y.o.) reportedly having the information on where to access sexual and reproductive health services broken down by member with WGSS disability on the admin of overall</t>
  </si>
  <si>
    <t>Households with women (12-49 y.o.) reportedly having the information on where to access sexual and reproductive health services broken down by displacement status of HoH on the admin of overall</t>
  </si>
  <si>
    <t>Households with women (12-49 y.o.) reportedly having the information on where to access sexual and reproductive health services broken down by household size on the admin of overall</t>
  </si>
  <si>
    <t>Households with women (12-49 y.o.) reportedly having the information on where to access sexual and reproductive health services broken down by single/joint headed HHs on the admin of overall</t>
  </si>
  <si>
    <t>Households reportedly experiencing at least 2 weeks of notable stress in the last 6 months broken down by rural / urban on the admin of overall</t>
  </si>
  <si>
    <t>Households reportedly experiencing at least 2 weeks of notable stress in the last 6 months broken down by proximity to the Frontline / Russian border on the admin of overall</t>
  </si>
  <si>
    <t>Households reportedly experiencing at least 2 weeks of notable stress in the last 6 months broken down by member with WGSS disability on the admin of overall</t>
  </si>
  <si>
    <t>Households reportedly experiencing at least 2 weeks of notable stress in the last 6 months broken down by displacement status of HoH on the admin of overall</t>
  </si>
  <si>
    <t>Households reportedly experiencing at least 2 weeks of notable stress in the last 6 months broken down by household size on the admin of overall</t>
  </si>
  <si>
    <t>Households reportedly experiencing at least 2 weeks of notable stress in the last 6 months broken down by single/joint headed HHs on the admin of overall</t>
  </si>
  <si>
    <t>Households reportedly experiencing at least 2 weeks of depressed mood in the last 6 months broken down by rural / urban on the admin of overall</t>
  </si>
  <si>
    <t>Households reportedly experiencing at least 2 weeks of depressed mood in the last 6 months broken down by proximity to the Frontline / Russian border on the admin of overall</t>
  </si>
  <si>
    <t>Households reportedly experiencing at least 2 weeks of depressed mood in the last 6 months broken down by member with WGSS disability on the admin of overall</t>
  </si>
  <si>
    <t>Households reportedly experiencing at least 2 weeks of depressed mood in the last 6 months broken down by displacement status of HoH on the admin of overall</t>
  </si>
  <si>
    <t>Households reportedly experiencing at least 2 weeks of depressed mood in the last 6 months broken down by household size on the admin of overall</t>
  </si>
  <si>
    <t>Households reportedly experiencing at least 2 weeks of depressed mood in the last 6 months broken down by single/joint headed HHs on the admin of overall</t>
  </si>
  <si>
    <t>Households reportedly experiencing at least 2 weeks of anxiety in the last 6 months broken down by rural / urban on the admin of overall</t>
  </si>
  <si>
    <t>Households reportedly experiencing at least 2 weeks of anxiety in the last 6 months broken down by proximity to the Frontline / Russian border on the admin of overall</t>
  </si>
  <si>
    <t>Households reportedly experiencing at least 2 weeks of anxiety in the last 6 months broken down by member with WGSS disability on the admin of overall</t>
  </si>
  <si>
    <t>Households reportedly experiencing at least 2 weeks of anxiety in the last 6 months broken down by displacement status of HoH on the admin of overall</t>
  </si>
  <si>
    <t>Households reportedly experiencing at least 2 weeks of anxiety in the last 6 months broken down by household size on the admin of overall</t>
  </si>
  <si>
    <t>Households reportedly experiencing at least 2 weeks of anxiety in the last 6 months broken down by single/joint headed HHs on the admin of overall</t>
  </si>
  <si>
    <t>Households that reportedly have at least 1 member that has registered disability broken down by rural / urban on the admin of overall</t>
  </si>
  <si>
    <t>Yes, but unsure which group</t>
  </si>
  <si>
    <t>Yes, group I</t>
  </si>
  <si>
    <t>Yes, group II</t>
  </si>
  <si>
    <t>Yes, group III</t>
  </si>
  <si>
    <t>Households that reportedly have at least 1 member that has registered disability broken down by proximity to the Frontline / Russian border on the admin of overall</t>
  </si>
  <si>
    <t>Households that reportedly have at least 1 member that has registered disability broken down by member with WGSS disability on the admin of overall</t>
  </si>
  <si>
    <t>Households that reportedly have at least 1 member that has registered disability broken down by displacement status of HoH on the admin of overall</t>
  </si>
  <si>
    <t>Households that reportedly have at least 1 member that has registered disability broken down by household size on the admin of overall</t>
  </si>
  <si>
    <t>Households that reportedly have at least 1 member that has registered disability broken down by single/joint headed HHs on the admin of overall</t>
  </si>
  <si>
    <t>Households that reportedly have at least 1 member that has difficulties seeing broken down by rural / urban on the admin of overall</t>
  </si>
  <si>
    <t>A lot of difficulty</t>
  </si>
  <si>
    <t>Cannot do at all</t>
  </si>
  <si>
    <t>Some difficulty</t>
  </si>
  <si>
    <t>Households that reportedly have at least 1 member that has difficulties seeing broken down by proximity to the Frontline / Russian border on the admin of overall</t>
  </si>
  <si>
    <t>Households that reportedly have at least 1 member that has difficulties seeing broken down by member with WGSS disability on the admin of overall</t>
  </si>
  <si>
    <t>Households that reportedly have at least 1 member that has difficulties seeing broken down by displacement status of HoH on the admin of overall</t>
  </si>
  <si>
    <t>Households that reportedly have at least 1 member that has difficulties seeing broken down by household size on the admin of overall</t>
  </si>
  <si>
    <t>Households that reportedly have at least 1 member that has difficulties seeing broken down by single/joint headed HHs on the admin of overall</t>
  </si>
  <si>
    <t>Households that reportedly have at least 1 member that has difficulties hearing broken down by rural / urban on the admin of overall</t>
  </si>
  <si>
    <t>Households that reportedly have at least 1 member that has difficulties hearing broken down by proximity to the Frontline / Russian border on the admin of overall</t>
  </si>
  <si>
    <t>Households that reportedly have at least 1 member that has difficulties hearing broken down by member with WGSS disability on the admin of overall</t>
  </si>
  <si>
    <t>Households that reportedly have at least 1 member that has difficulties hearing broken down by displacement status of HoH on the admin of overall</t>
  </si>
  <si>
    <t>Households that reportedly have at least 1 member that has difficulties hearing broken down by household size on the admin of overall</t>
  </si>
  <si>
    <t>Households that reportedly have at least 1 member that has difficulties hearing broken down by single/joint headed HHs on the admin of overall</t>
  </si>
  <si>
    <t>Households that reportedly have at least 1 member that has difficulties walking broken down by rural / urban on the admin of overall</t>
  </si>
  <si>
    <t>Households that reportedly have at least 1 member that has difficulties walking broken down by proximity to the Frontline / Russian border on the admin of overall</t>
  </si>
  <si>
    <t>Households that reportedly have at least 1 member that has difficulties walking broken down by member with WGSS disability on the admin of overall</t>
  </si>
  <si>
    <t>Households that reportedly have at least 1 member that has difficulties walking broken down by displacement status of HoH on the admin of overall</t>
  </si>
  <si>
    <t>Households that reportedly have at least 1 member that has difficulties walking broken down by household size on the admin of overall</t>
  </si>
  <si>
    <t>Households that reportedly have at least 1 member that has difficulties walking broken down by single/joint headed HHs on the admin of overall</t>
  </si>
  <si>
    <t>Households that reportedly have at least 1 member that has difficulties concentrating broken down by rural / urban on the admin of overall</t>
  </si>
  <si>
    <t>Households that reportedly have at least 1 member that has difficulties concentrating broken down by proximity to the Frontline / Russian border on the admin of overall</t>
  </si>
  <si>
    <t>Households that reportedly have at least 1 member that has difficulties concentrating broken down by member with WGSS disability on the admin of overall</t>
  </si>
  <si>
    <t>Households that reportedly have at least 1 member that has difficulties concentrating broken down by displacement status of HoH on the admin of overall</t>
  </si>
  <si>
    <t>Households that reportedly have at least 1 member that has difficulties concentrating broken down by household size on the admin of overall</t>
  </si>
  <si>
    <t>Households that reportedly have at least 1 member that has difficulties concentrating broken down by single/joint headed HHs on the admin of overall</t>
  </si>
  <si>
    <t>Households that reportedly have at least 1 member that has difficulties with self-care broken down by rural / urban on the admin of overall</t>
  </si>
  <si>
    <t>Households that reportedly have at least 1 member that has difficulties with self-care broken down by proximity to the Frontline / Russian border on the admin of overall</t>
  </si>
  <si>
    <t>Households that reportedly have at least 1 member that has difficulties with self-care broken down by member with WGSS disability on the admin of overall</t>
  </si>
  <si>
    <t>Households that reportedly have at least 1 member that has difficulties with self-care broken down by displacement status of HoH on the admin of overall</t>
  </si>
  <si>
    <t>Households that reportedly have at least 1 member that has difficulties with self-care broken down by household size on the admin of overall</t>
  </si>
  <si>
    <t>Households that reportedly have at least 1 member that has difficulties with self-care broken down by single/joint headed HHs on the admin of overall</t>
  </si>
  <si>
    <t>Households that reportedly have at least 1 member that has difficulties communicating broken down by rural / urban on the admin of overall</t>
  </si>
  <si>
    <t>Households that reportedly have at least 1 member that has difficulties communicating broken down by proximity to the Frontline / Russian border on the admin of overall</t>
  </si>
  <si>
    <t>Households that reportedly have at least 1 member that has difficulties communicating broken down by member with WGSS disability on the admin of overall</t>
  </si>
  <si>
    <t>Households that reportedly have at least 1 member that has difficulties communicating broken down by displacement status of HoH on the admin of overall</t>
  </si>
  <si>
    <t>Households that reportedly have at least 1 member that has difficulties communicating broken down by household size on the admin of overall</t>
  </si>
  <si>
    <t>Households that reportedly have at least 1 member that has difficulties communicating broken down by single/joint headed HHs on the admin of overall</t>
  </si>
  <si>
    <t>Households separated for three months or more due to reasons related to the war broken down by rural / urban on the admin of overall</t>
  </si>
  <si>
    <t>No, no member of the household was separated at any point.</t>
  </si>
  <si>
    <t>Yes, at least one household member was separated for at least 3 months and is still not back in the household to this day;</t>
  </si>
  <si>
    <t>Yes, at least one household member was separated for at least 3 months but is now back in the household;</t>
  </si>
  <si>
    <t>Households separated for three months or more due to reasons related to the war broken down by proximity to the Frontline / Russian border on the admin of overall</t>
  </si>
  <si>
    <t>Households separated for three months or more due to reasons related to the war broken down by member with WGSS disability on the admin of overall</t>
  </si>
  <si>
    <t>Households separated for three months or more due to reasons related to the war broken down by displacement status of HoH on the admin of overall</t>
  </si>
  <si>
    <t>Households separated for three months or more due to reasons related to the war broken down by household size on the admin of overall</t>
  </si>
  <si>
    <t>Households separated for three months or more due to reasons related to the war broken down by single/joint headed HHs on the admin of overall</t>
  </si>
  <si>
    <t>Displacement status of HHs broken down by rural / urban on the admin of overall</t>
  </si>
  <si>
    <t>Displacement status of HHs broken down by proximity to the Frontline / Russian border on the admin of overall</t>
  </si>
  <si>
    <t>Displacement status of HHs broken down by member with WGSS disability on the admin of overall</t>
  </si>
  <si>
    <t>Displacement status of HHs broken down by presence of children on the admin of overall</t>
  </si>
  <si>
    <t>Displacement status of HHs broken down by household size on the admin of overall</t>
  </si>
  <si>
    <t>Displacement status of HHs broken down by single/joint headed HHs on the admin of overall</t>
  </si>
  <si>
    <t>Displacement status of HHs broken down by employment status of household members of working age (18-59 y.o) on the admin of overall</t>
  </si>
  <si>
    <t>HH without any working-age members</t>
  </si>
  <si>
    <t>HHs with both employed and unemployed working-age members</t>
  </si>
  <si>
    <t>HHs with only employed working-age members</t>
  </si>
  <si>
    <t>HHs with only unemployed working-age members</t>
  </si>
  <si>
    <t>Households that moved abroad for at least 14 days broken down by rural / urban on the admin of overall</t>
  </si>
  <si>
    <t>Households that moved abroad for at least 14 days broken down by proximity to the Frontline / Russian border on the admin of overall</t>
  </si>
  <si>
    <t>Households that moved abroad for at least 14 days broken down by member with WGSS disability on the admin of overall</t>
  </si>
  <si>
    <t>Households that moved abroad for at least 14 days broken down by displacement status of HoH on the admin of overall</t>
  </si>
  <si>
    <t>Households that moved abroad for at least 14 days broken down by household size on the admin of overall</t>
  </si>
  <si>
    <t>Households that moved abroad for at least 14 days broken down by single/joint headed HHs on the admin of overall</t>
  </si>
  <si>
    <t>IDP households and households displaced within settlement duration in current place of residence broken down by displacement status of HoH on the admin of overall</t>
  </si>
  <si>
    <t>1 month or more but less than 3 months</t>
  </si>
  <si>
    <t>12 months or more</t>
  </si>
  <si>
    <t>3 months or more but less than 6 months</t>
  </si>
  <si>
    <t>6 months or more but less than 9 months</t>
  </si>
  <si>
    <t>9 months or more but less than 12 months</t>
  </si>
  <si>
    <t>&lt; 1 month</t>
  </si>
  <si>
    <t>Households reporting reasons for return to their habitual place of residence broken down by rural / urban on the admin of overall</t>
  </si>
  <si>
    <t>Accommodation challenges in location of displacement (i.e. unable to access adequate and/or affordable accommodation in previous area)</t>
  </si>
  <si>
    <t>Discrimination in location of displacement</t>
  </si>
  <si>
    <t xml:space="preserve">Do not know </t>
  </si>
  <si>
    <t xml:space="preserve">Economic challenges in location of displacement (i.e., unable to access adequate employment opportunities) </t>
  </si>
  <si>
    <t>Economic opportunities in location of origin (i.e., return to old workplace/ available vacancies)</t>
  </si>
  <si>
    <t>Educational reasons  (difficulty accessing such services)</t>
  </si>
  <si>
    <t xml:space="preserve">Loss access to IDP benefits </t>
  </si>
  <si>
    <t>Medical reasons (difficulty accessing such services)</t>
  </si>
  <si>
    <t xml:space="preserve">Need to secure personal housing. land or property in location of origin </t>
  </si>
  <si>
    <t xml:space="preserve">Obtaining new or replacing old documentation </t>
  </si>
  <si>
    <t>Personal reasons (family reunification)</t>
  </si>
  <si>
    <t>Security situation improved in location of origin</t>
  </si>
  <si>
    <t xml:space="preserve">Security situation worsened in location of displacement </t>
  </si>
  <si>
    <t>Households reporting reasons for return to their habitual place of residence broken down by proximity to the Frontline / Russian border on the admin of overall</t>
  </si>
  <si>
    <t>Households reporting reasons for return to their habitual place of residence broken down by member with WGSS disability on the admin of overall</t>
  </si>
  <si>
    <t>Households reporting reasons for return to their habitual place of residence broken down by household size on the admin of overall</t>
  </si>
  <si>
    <t>Households reporting reasons for return to their habitual place of residence broken down by single/joint headed HHs on the admin of overall</t>
  </si>
  <si>
    <t>Households reporting their movement intentions for the next 12 months broken down by rural / urban on the admin of overall</t>
  </si>
  <si>
    <t>Plan to go abroad</t>
  </si>
  <si>
    <t>Plan to move elsewhere in the country (not place of origin)</t>
  </si>
  <si>
    <t>Plan to move to a different place in same city/area (not within the same neighbourhood)</t>
  </si>
  <si>
    <t>Plan to move to a different place within the same neighbourhood</t>
  </si>
  <si>
    <t>Plan to return to habitual place of residence</t>
  </si>
  <si>
    <t>Plan to stay and live/work in this location</t>
  </si>
  <si>
    <t>Uncertain</t>
  </si>
  <si>
    <t>Households reporting their movement intentions for the next 12 months broken down by proximity to the Frontline / Russian border on the admin of overall</t>
  </si>
  <si>
    <t>Households reporting their movement intentions for the next 12 months broken down by member with WGSS disability on the admin of overall</t>
  </si>
  <si>
    <t>Households reporting their movement intentions for the next 12 months broken down by displacement status of HoH on the admin of overall</t>
  </si>
  <si>
    <t>Households reporting their movement intentions for the next 12 months broken down by household size on the admin of overall</t>
  </si>
  <si>
    <t>Households reporting their movement intentions for the next 12 months broken down by single/joint headed HHs on the admin of overall</t>
  </si>
  <si>
    <t>Households that reportedly have registered IDP members broken down by rural / urban on the admin of overall</t>
  </si>
  <si>
    <t xml:space="preserve">No, none </t>
  </si>
  <si>
    <t>Yes, all</t>
  </si>
  <si>
    <t>Yes, some</t>
  </si>
  <si>
    <t>Households that reportedly have registered IDP members broken down by proximity to the Frontline / Russian border on the admin of overall</t>
  </si>
  <si>
    <t>Households that reportedly have registered IDP members broken down by member with WGSS disability on the admin of overall</t>
  </si>
  <si>
    <t>Households that reportedly have registered IDP members broken down by displacement status of HoH on the admin of overall</t>
  </si>
  <si>
    <t>Households that reportedly have registered IDP members broken down by household size on the admin of overall</t>
  </si>
  <si>
    <t>Households that reportedly have registered IDP members broken down by single/joint headed HHs on the admin of overall</t>
  </si>
  <si>
    <t>Household members (5-18 y.o) reportedly attending school or early education program during 2023-2024 years broken down by rural / urban on the admin of overall</t>
  </si>
  <si>
    <t>Household members (5-18 y.o) reportedly attending school or early education program during 2023-2024 years broken down by proximity to the Frontline / Russian border on the admin of overall</t>
  </si>
  <si>
    <t>Household members (5-18 y.o) reportedly attending school or early education program during 2023-2024 years broken down by member with WGSS disability on the admin of overall</t>
  </si>
  <si>
    <t>Household members (5-18 y.o) reportedly attending school or early education program during 2023-2024 years broken down by displacement status of HoH on the admin of overall</t>
  </si>
  <si>
    <t>Household members (5-18 y.o) reportedly attending school or early education program during 2023-2024 years broken down by household size on the admin of overall</t>
  </si>
  <si>
    <t>Household members (5-18 y.o) reportedly attending school or early education program during 2023-2024 years broken down by age of school-aged children on the admin of overall</t>
  </si>
  <si>
    <t>13-17 y.o.</t>
  </si>
  <si>
    <t>18 y.o.</t>
  </si>
  <si>
    <t>5-6 y.o.</t>
  </si>
  <si>
    <t>7-12 y.o.</t>
  </si>
  <si>
    <t>Household members (5-18 y.o) reportedly attending school or early education program during 2023-2024 years broken down by gender and age of school-aged children on the admin of overall</t>
  </si>
  <si>
    <t>Household members (5-18 y.o) reportedly attending school or early education program during 2023-2024 years broken down by single care provider on the admin of overall</t>
  </si>
  <si>
    <t>Household members (5-18 y.o) reportedly attending school or early education program during 2023-2024 years broken down by income per capita (by quartiles) on the admin of overall</t>
  </si>
  <si>
    <t>Household members (5-18 y.o) reportedly attending school or early education program during 2023-2024 years broken down by single/joint headed HHs on the admin of overall</t>
  </si>
  <si>
    <t>Household members (5-18 y.o) who attended school by learning modality broken down by rural / urban on the admin of overall</t>
  </si>
  <si>
    <t>Blended (remote and in-person)</t>
  </si>
  <si>
    <t>In-person</t>
  </si>
  <si>
    <t>Remote</t>
  </si>
  <si>
    <t>Household members (5-18 y.o) who attended school by learning modality broken down by proximity to the Frontline / Russian border on the admin of overall</t>
  </si>
  <si>
    <t>Household members (5-18 y.o) who attended school by learning modality broken down by member with WGSS disability on the admin of overall</t>
  </si>
  <si>
    <t>Household members (5-18 y.o) who attended school by learning modality broken down by displacement status of HoH on the admin of overall</t>
  </si>
  <si>
    <t>Household members (5-18 y.o) who attended school by learning modality broken down by household size on the admin of overall</t>
  </si>
  <si>
    <t>Household members (5-18 y.o) who attended school by learning modality broken down by age of school-aged children on the admin of overall</t>
  </si>
  <si>
    <t>Household members (5-18 y.o) who attended school by learning modality broken down by gender and age of school-aged children on the admin of overall</t>
  </si>
  <si>
    <t>Household members (5-18 y.o) who attended school by learning modality broken down by single care provider on the admin of overall</t>
  </si>
  <si>
    <t>Household members (5-18 y.o) who attended school by learning modality broken down by income per capita (by quartiles) on the admin of overall</t>
  </si>
  <si>
    <t>Household members (5-18 y.o) who attended school by learning modality broken down by single/joint headed HHs on the admin of overall</t>
  </si>
  <si>
    <t>Household members (5-18 y.o) who attended school by grade broken down by rural / urban on the admin of overall</t>
  </si>
  <si>
    <t>High school - grade 11</t>
  </si>
  <si>
    <t>High school -grade 10</t>
  </si>
  <si>
    <t>Preschool</t>
  </si>
  <si>
    <t>Primary school -grade 1</t>
  </si>
  <si>
    <t>Primary school -grade 2</t>
  </si>
  <si>
    <t>Primary school -grade 3</t>
  </si>
  <si>
    <t>Primary school -grade 4</t>
  </si>
  <si>
    <t>Secondary school - grade 5</t>
  </si>
  <si>
    <t>Secondary school - grade 6</t>
  </si>
  <si>
    <t>Secondary school - grade 7</t>
  </si>
  <si>
    <t>Secondary school - grade 8</t>
  </si>
  <si>
    <t>Secondary school - grade 9</t>
  </si>
  <si>
    <t>University</t>
  </si>
  <si>
    <t>Vocational Education and Training (VET)</t>
  </si>
  <si>
    <t>Household members (5-18 y.o) who attended school by grade broken down by proximity to the Frontline / Russian border on the admin of overall</t>
  </si>
  <si>
    <t>Household members (5-18 y.o) who attended school by grade broken down by member with WGSS disability on the admin of overall</t>
  </si>
  <si>
    <t>Household members (5-18 y.o) who attended school by grade broken down by displacement status of HoH on the admin of overall</t>
  </si>
  <si>
    <t>Household members (5-18 y.o) who attended school by grade broken down by household size on the admin of overall</t>
  </si>
  <si>
    <t>Household members (5-18 y.o) who attended school by grade broken down by age of school-aged children on the admin of overall</t>
  </si>
  <si>
    <t>Household members (5-18 y.o) who attended school by grade broken down by gender and age of school-aged children on the admin of overall</t>
  </si>
  <si>
    <t>Household members (5-18 y.o) who attended school by grade broken down by single care provider on the admin of overall</t>
  </si>
  <si>
    <t>Household members (5-18 y.o) who attended school by grade broken down by income per capita (by quartiles) on the admin of overall</t>
  </si>
  <si>
    <t>Household members (5-18 y.o) who attended school by grade broken down by single/joint headed HHs on the admin of overall</t>
  </si>
  <si>
    <t>Household members (5-18 y.o) reporting reasons for not attending schools broken down by rural / urban on the admin of overall</t>
  </si>
  <si>
    <t>Cannot afford the direct costs of education (e.g. tuition, supplies, transportation)</t>
  </si>
  <si>
    <t>Discrimination or stigmatization of the child for any reason</t>
  </si>
  <si>
    <t>Inadequate or damaged infrastructure for learning in a safe environment (e.g. no or damaged school facilities, no or inadequate bomb shelter)</t>
  </si>
  <si>
    <t xml:space="preserve">Internet connection of bad quality  or no internet connection </t>
  </si>
  <si>
    <t>Lack of or poor quality of teachers</t>
  </si>
  <si>
    <t xml:space="preserve">Lack of other school supplies (notebook, pencil, textbooks, etc. ) </t>
  </si>
  <si>
    <t xml:space="preserve">Lack of quiet and safe space to attend or listen to online learning classes </t>
  </si>
  <si>
    <t>Language issues</t>
  </si>
  <si>
    <t xml:space="preserve">Prefer not to answer </t>
  </si>
  <si>
    <t>Protection risks while at or traveling to the school (e.g. missile attacks)</t>
  </si>
  <si>
    <t>The child has already completed compulsory school grades / too young to attend school</t>
  </si>
  <si>
    <t>The child's disability or other health issues prevents them from accessing school</t>
  </si>
  <si>
    <t>The quality of learning for the child is lower than with face-to-face classes</t>
  </si>
  <si>
    <t>There is a lack of interest/Education is not a priority either for the child or the household</t>
  </si>
  <si>
    <t>Unable to enrol in school due to lack of documentation</t>
  </si>
  <si>
    <t>Unable to enrol in school due to lack of enrolment space</t>
  </si>
  <si>
    <t>Unable to enrol in school due to recent displacement/evacuation/return</t>
  </si>
  <si>
    <t>Household members (5-18 y.o) reporting reasons for not attending schools broken down by proximity to the Frontline / Russian border on the admin of overall</t>
  </si>
  <si>
    <t>Household members (5-18 y.o) reporting reasons for not attending schools broken down by member with WGSS disability on the admin of overall</t>
  </si>
  <si>
    <t>Household members (5-18 y.o) reporting reasons for not attending schools broken down by displacement status of HoH on the admin of overall</t>
  </si>
  <si>
    <t>Household members (5-18 y.o) reporting reasons for not attending schools broken down by household size on the admin of overall</t>
  </si>
  <si>
    <t>Household members (5-18 y.o) reporting reasons for not attending schools broken down by age of school-aged children on the admin of overall</t>
  </si>
  <si>
    <t>Household members (5-18 y.o) reporting reasons for not attending schools broken down by gender and age of school-aged children on the admin of overall</t>
  </si>
  <si>
    <t>Household members (5-18 y.o) reporting reasons for not attending schools broken down by single care provider on the admin of overall</t>
  </si>
  <si>
    <t>Household members (5-18 y.o) reporting reasons for not attending schools broken down by income per capita (by quartiles) on the admin of overall</t>
  </si>
  <si>
    <t>Household members (5-18 y.o) reporting reasons for not attending schools broken down by single/joint headed HHs on the admin of overall</t>
  </si>
  <si>
    <t>Households with school-aged children (5-18 y.o) that reported education disruption because of displacement/evacuation broken down by rural / urban on the admin of overall</t>
  </si>
  <si>
    <t>Households with school-aged children (5-18 y.o) that reported education disruption because of displacement/evacuation broken down by proximity to the Frontline / Russian border on the admin of overall</t>
  </si>
  <si>
    <t>Households with school-aged children (5-18 y.o) that reported education disruption because of displacement/evacuation broken down by member with WGSS disability on the admin of overall</t>
  </si>
  <si>
    <t>Households with school-aged children (5-18 y.o) that reported education disruption because of displacement/evacuation broken down by displacement status of HoH on the admin of overall</t>
  </si>
  <si>
    <t>Households with school-aged children (5-18 y.o) that reported education disruption because of displacement/evacuation broken down by household size on the admin of overall</t>
  </si>
  <si>
    <t>Households with school-aged children (5-18 y.o) that reported education disruption because of displacement/evacuation broken down by single care provider on the admin of overall</t>
  </si>
  <si>
    <t>Households with school-aged children (5-18 y.o) that reported education disruption because of displacement/evacuation broken down by income per capita (by quartiles) on the admin of overall</t>
  </si>
  <si>
    <t>Households with school-aged children (5-18 y.o) that reported education disruption because of displacement/evacuation broken down by single/joint headed HHs on the admin of overall</t>
  </si>
  <si>
    <t>Households with school-aged children (5-18 y.o) that reported education disruption because of school damage broken down by rural / urban on the admin of overall</t>
  </si>
  <si>
    <t>Households with school-aged children (5-18 y.o) that reported education disruption because of school damage broken down by proximity to the Frontline / Russian border on the admin of overall</t>
  </si>
  <si>
    <t>Households with school-aged children (5-18 y.o) that reported education disruption because of school damage broken down by member with WGSS disability on the admin of overall</t>
  </si>
  <si>
    <t>Households with school-aged children (5-18 y.o) that reported education disruption because of school damage broken down by displacement status of HoH on the admin of overall</t>
  </si>
  <si>
    <t>Households with school-aged children (5-18 y.o) that reported education disruption because of school damage broken down by household size on the admin of overall</t>
  </si>
  <si>
    <t>Households with school-aged children (5-18 y.o) that reported education disruption because of school damage broken down by single care provider on the admin of overall</t>
  </si>
  <si>
    <t>Households with school-aged children (5-18 y.o) that reported education disruption because of school damage broken down by income per capita (by quartiles) on the admin of overall</t>
  </si>
  <si>
    <t>Households with school-aged children (5-18 y.o) that reported education disruption because of school damage broken down by single/joint headed HHs on the admin of overall</t>
  </si>
  <si>
    <t>Households with school-aged children (5-18 y.o) that reported education disruption because of home damage broken down by rural / urban on the admin of overall</t>
  </si>
  <si>
    <t>Households with school-aged children (5-18 y.o) that reported education disruption because of home damage broken down by proximity to the Frontline / Russian border on the admin of overall</t>
  </si>
  <si>
    <t>Households with school-aged children (5-18 y.o) that reported education disruption because of home damage broken down by member with WGSS disability on the admin of overall</t>
  </si>
  <si>
    <t>Households with school-aged children (5-18 y.o) that reported education disruption because of home damage broken down by displacement status of HoH on the admin of overall</t>
  </si>
  <si>
    <t>Households with school-aged children (5-18 y.o) that reported education disruption because of home damage broken down by household size on the admin of overall</t>
  </si>
  <si>
    <t>Households with school-aged children (5-18 y.o) that reported education disruption because of home damage broken down by single care provider on the admin of overall</t>
  </si>
  <si>
    <t>Households with school-aged children (5-18 y.o) that reported education disruption because of home damage broken down by income per capita (by quartiles) on the admin of overall</t>
  </si>
  <si>
    <t>Households with school-aged children (5-18 y.o) that reported education disruption because of home damage broken down by single/joint headed HHs on the admin of overall</t>
  </si>
  <si>
    <t>Households with school-aged children (5-18 y.o) that reported education disruption because of missile attack broken down by rural / urban on the admin of overall</t>
  </si>
  <si>
    <t>Households with school-aged children (5-18 y.o) that reported education disruption because of missile attack broken down by proximity to the Frontline / Russian border on the admin of overall</t>
  </si>
  <si>
    <t>Households with school-aged children (5-18 y.o) that reported education disruption because of missile attack broken down by member with WGSS disability on the admin of overall</t>
  </si>
  <si>
    <t>Households with school-aged children (5-18 y.o) that reported education disruption because of missile attack broken down by displacement status of HoH on the admin of overall</t>
  </si>
  <si>
    <t>Households with school-aged children (5-18 y.o) that reported education disruption because of missile attack broken down by household size on the admin of overall</t>
  </si>
  <si>
    <t>Households with school-aged children (5-18 y.o) that reported education disruption because of missile attack broken down by single care provider on the admin of overall</t>
  </si>
  <si>
    <t>Households with school-aged children (5-18 y.o) that reported education disruption because of missile attack broken down by income per capita (by quartiles) on the admin of overall</t>
  </si>
  <si>
    <t>Households with school-aged children (5-18 y.o) that reported education disruption because of missile attack broken down by single/joint headed HHs on the admin of overall</t>
  </si>
  <si>
    <t>Households reporting time they spent supporting school-aged children with education broken down by rural / urban on the admin of overall</t>
  </si>
  <si>
    <t>Households reporting time they spent supporting school-aged children with education broken down by proximity to the Frontline / Russian border on the admin of overall</t>
  </si>
  <si>
    <t>Households reporting time they spent supporting school-aged children with education broken down by member with WGSS disability on the admin of overall</t>
  </si>
  <si>
    <t>Households reporting time they spent supporting school-aged children with education broken down by displacement status of HoH on the admin of overall</t>
  </si>
  <si>
    <t>Households reporting time they spent supporting school-aged children with education broken down by household size on the admin of overall</t>
  </si>
  <si>
    <t>Households reporting time they spent supporting school-aged children with education broken down by single care provider on the admin of overall</t>
  </si>
  <si>
    <t>Households reporting time they spent supporting school-aged children with education broken down by income per capita (by quartiles) on the admin of overall</t>
  </si>
  <si>
    <t>Households reporting time they spent supporting school-aged children with education broken down by single/joint headed HHs on the admin of overall</t>
  </si>
  <si>
    <t>Households reporting types of expenditures they had in the last 30 days before DC broken down by rural / urban on the admin of overall</t>
  </si>
  <si>
    <t>All other frequent expenditure (specify)</t>
  </si>
  <si>
    <t>Childcare and elderly care (e.g. Paying for childcare services, paying for elder care services)</t>
  </si>
  <si>
    <t xml:space="preserve">Communications (phone airtime, Internet costs, etc.) </t>
  </si>
  <si>
    <t xml:space="preserve">Feminine hygiene products </t>
  </si>
  <si>
    <t xml:space="preserve">Food items </t>
  </si>
  <si>
    <t>Fuel for other purposes (e.g for cooking, and excluding fuel for cars)</t>
  </si>
  <si>
    <t xml:space="preserve">Non-hygiene, non-food household items (lightbulbs, cooking utensils, etc.) </t>
  </si>
  <si>
    <t xml:space="preserve">Other hygiene items (personal and domestic, e.g. laundry detergent, soap, shampoo, cleaning materials, etc.) </t>
  </si>
  <si>
    <t xml:space="preserve">Rent for shelter and/or land </t>
  </si>
  <si>
    <t>Transportation (e.g. public transport, car maintenance, fuel for vehicles, etc.)</t>
  </si>
  <si>
    <t>Utilities (electricity, gas connections, water supply, etc)</t>
  </si>
  <si>
    <t xml:space="preserve">Water (except for utilities) </t>
  </si>
  <si>
    <t>Households reporting types of expenditures they had in the last 30 days before DC broken down by proximity to the Frontline / Russian border on the admin of overall</t>
  </si>
  <si>
    <t>Households reporting types of expenditures they had in the last 30 days before DC broken down by member with WGSS disability on the admin of overall</t>
  </si>
  <si>
    <t>Households reporting types of expenditures they had in the last 30 days before DC broken down by displacement status of HoH on the admin of overall</t>
  </si>
  <si>
    <t>Households reporting types of expenditures they had in the last 30 days before DC broken down by household size on the admin of overall</t>
  </si>
  <si>
    <t>Households reporting types of expenditures they had in the last 30 days before DC broken down by single/joint headed HHs on the admin of overall</t>
  </si>
  <si>
    <t>Household Domestic Expenditure over the last 30 days, by type and amount broken down by rural / urban on the admin of overall</t>
  </si>
  <si>
    <t>mean_J_3 Estimated Household's Domestic Expenditure (Food items) Over the Last 30 days</t>
  </si>
  <si>
    <t>median_J_3 Estimated Household's Domestic Expenditure (Food items) Over the Last 30 days</t>
  </si>
  <si>
    <t>min_J_3 Estimated Household's Domestic Expenditure (Food items) Over the Last 30 days</t>
  </si>
  <si>
    <t>max_J_3 Estimated Household's Domestic Expenditure (Food items) Over the Last 30 days</t>
  </si>
  <si>
    <t>mean_J_4 Estimated Household's Domestic Expenditure (Rent for shelter and/or land) Over the Last 30 days</t>
  </si>
  <si>
    <t>median_J_4 Estimated Household's Domestic Expenditure (Rent for shelter and/or land) Over the Last 30 days</t>
  </si>
  <si>
    <t>min_J_4 Estimated Household's Domestic Expenditure (Rent for shelter and/or land) Over the Last 30 days</t>
  </si>
  <si>
    <t>max_J_4 Estimated Household's Domestic Expenditure (Rent for shelter and/or land) Over the Last 30 days</t>
  </si>
  <si>
    <t>mean_J_5 Estimated Household's Domestic Expenditure (Water) Over the Last 30 days</t>
  </si>
  <si>
    <t>median_J_5 Estimated Household's Domestic Expenditure (Water) Over the Last 30 days</t>
  </si>
  <si>
    <t>min_J_5 Estimated Household's Domestic Expenditure (Water) Over the Last 30 days</t>
  </si>
  <si>
    <t>max_J_5 Estimated Household's Domestic Expenditure (Water) Over the Last 30 days</t>
  </si>
  <si>
    <t>mean_J_6 Estimated Household's Domestic Expenditure (Feminine hygiene products) Over the Last 30 days</t>
  </si>
  <si>
    <t>median_J_6 Estimated Household's Domestic Expenditure (Feminine hygiene products) Over the Last 30 days</t>
  </si>
  <si>
    <t>min_J_6 Estimated Household's Domestic Expenditure (Feminine hygiene products) Over the Last 30 days</t>
  </si>
  <si>
    <t>max_J_6 Estimated Household's Domestic Expenditure (Feminine hygiene products) Over the Last 30 days</t>
  </si>
  <si>
    <t>mean_J_7 Estimated Household's Domestic Expenditure (Other hygiene items) Over the Last 30 days</t>
  </si>
  <si>
    <t>median_J_7 Estimated Household's Domestic Expenditure (Other hygiene items) Over the Last 30 days</t>
  </si>
  <si>
    <t>min_J_7 Estimated Household's Domestic Expenditure (Other hygiene items) Over the Last 30 days</t>
  </si>
  <si>
    <t>max_J_7 Estimated Household's Domestic Expenditure (Other hygiene items) Over the Last 30 days</t>
  </si>
  <si>
    <t>mean_J_8 Estimated Household's Domestic Expenditure (Non-hygiene, non-food household items) Over the Last 30 days</t>
  </si>
  <si>
    <t>median_J_8 Estimated Household's Domestic Expenditure (Non-hygiene, non-food household items) Over the Last 30 days</t>
  </si>
  <si>
    <t>min_J_8 Estimated Household's Domestic Expenditure (Non-hygiene, non-food household items) Over the Last 30 days</t>
  </si>
  <si>
    <t>max_J_8 Estimated Household's Domestic Expenditure (Non-hygiene, non-food household items) Over the Last 30 days</t>
  </si>
  <si>
    <t>mean_J_9 Estimated Household's Domestic Expenditure (Utilities)Over the Last 30 days</t>
  </si>
  <si>
    <t>median_J_9 Estimated Household's Domestic Expenditure (Utilities)Over the Last 30 days</t>
  </si>
  <si>
    <t>min_J_9 Estimated Household's Domestic Expenditure (Utilities)Over the Last 30 days</t>
  </si>
  <si>
    <t>max_J_9 Estimated Household's Domestic Expenditure (Utilities)Over the Last 30 days</t>
  </si>
  <si>
    <t>mean_J_10 Estimated Household's Domestic Expenditure (Fuel for other purposes) Over the Last 30 days</t>
  </si>
  <si>
    <t>median_J_10 Estimated Household's Domestic Expenditure (Fuel for other purposes) Over the Last 30 days</t>
  </si>
  <si>
    <t>min_J_10 Estimated Household's Domestic Expenditure (Fuel for other purposes) Over the Last 30 days</t>
  </si>
  <si>
    <t>max_J_10 Estimated Household's Domestic Expenditure (Fuel for other purposes) Over the Last 30 days</t>
  </si>
  <si>
    <t>mean_J_11 Estimated Household's Domestic Expenditure (Transportation) Over the Last 30 days</t>
  </si>
  <si>
    <t>median_J_11 Estimated Household's Domestic Expenditure (Transportation) Over the Last 30 days</t>
  </si>
  <si>
    <t>min_J_11 Estimated Household's Domestic Expenditure (Transportation) Over the Last 30 days</t>
  </si>
  <si>
    <t>max_J_11 Estimated Household's Domestic Expenditure (Transportation) Over the Last 30 days</t>
  </si>
  <si>
    <t>mean_J_12 Estimated Household's Domestic Expenditure (Communications) Over the Last 30 days</t>
  </si>
  <si>
    <t>median_J_12 Estimated Household's Domestic Expenditure (Communications) Over the Last 30 days</t>
  </si>
  <si>
    <t>min_J_12 Estimated Household's Domestic Expenditure (Communications) Over the Last 30 days</t>
  </si>
  <si>
    <t>max_J_12 Estimated Household's Domestic Expenditure (Communications) Over the Last 30 days</t>
  </si>
  <si>
    <t>mean_J_15 Estimated Household's Domestic Expenditure (All other) Over the Last 30 days</t>
  </si>
  <si>
    <t>median_J_15 Estimated Household's Domestic Expenditure (All other) Over the Last 30 days</t>
  </si>
  <si>
    <t>min_J_15 Estimated Household's Domestic Expenditure (All other) Over the Last 30 days</t>
  </si>
  <si>
    <t>max_J_15 Estimated Household's Domestic Expenditure (All other) Over the Last 30 days</t>
  </si>
  <si>
    <t>Household Domestic Expenditure over the last 30 days, by type and amount broken down by proximity to the Frontline / Russian border on the admin of overall</t>
  </si>
  <si>
    <t>Household Domestic Expenditure over the last 30 days, by type and amount broken down by member with WGSS disability on the admin of overall</t>
  </si>
  <si>
    <t>Household Domestic Expenditure over the last 30 days, by type and amount broken down by displacement status of HoH on the admin of overall</t>
  </si>
  <si>
    <t>Household Domestic Expenditure over the last 30 days, by type and amount broken down by household size on the admin of overall</t>
  </si>
  <si>
    <t>Household Domestic Expenditure over the last 30 days, by type and amount broken down by single/joint headed HHs on the admin of overall</t>
  </si>
  <si>
    <t>Estimated Household's Domestic Expenditure on Heating during the last winter broken down by rural / urban on the admin of overall</t>
  </si>
  <si>
    <t>Estimated Household's Domestic Expenditure on Heating during the last winter broken down by proximity to the Frontline / Russian border on the admin of overall</t>
  </si>
  <si>
    <t>Estimated Household's Domestic Expenditure on Heating during the last winter broken down by member with WGSS disability on the admin of overall</t>
  </si>
  <si>
    <t>Estimated Household's Domestic Expenditure on Heating during the last winter broken down by displacement status of HoH on the admin of overall</t>
  </si>
  <si>
    <t>Estimated Household's Domestic Expenditure on Heating during the last winter broken down by household size on the admin of overall</t>
  </si>
  <si>
    <t>Estimated Household's Domestic Expenditure on Heating during the last winter broken down by single/joint headed HHs on the admin of overall</t>
  </si>
  <si>
    <t>Households reporting types of expenditures they had in the last 6 months before DC broken down by rural / urban on the admin of overall</t>
  </si>
  <si>
    <t>All other infrequent expenditures (please specify)</t>
  </si>
  <si>
    <t>Debt repayment</t>
  </si>
  <si>
    <t>Education-related expenditures (school fees, supplies, uniforms, etc.)</t>
  </si>
  <si>
    <t>Health-related expenditures (healthcare, medicine, etc.)</t>
  </si>
  <si>
    <t>Non-food household items for infrequent purchase (blankets, cooking pots, clothing, etc.)</t>
  </si>
  <si>
    <t>Shelter maintenance or repair</t>
  </si>
  <si>
    <t>Households reporting types of expenditures they had in the last 6 months before DC broken down by proximity to the Frontline / Russian border on the admin of overall</t>
  </si>
  <si>
    <t>Households reporting types of expenditures they had in the last 6 months before DC broken down by member with WGSS disability on the admin of overall</t>
  </si>
  <si>
    <t>Households reporting types of expenditures they had in the last 6 months before DC broken down by displacement status of HoH on the admin of overall</t>
  </si>
  <si>
    <t>Households reporting types of expenditures they had in the last 6 months before DC broken down by household size on the admin of overall</t>
  </si>
  <si>
    <t>Households reporting types of expenditures they had in the last 6 months before DC broken down by single/joint headed HHs on the admin of overall</t>
  </si>
  <si>
    <t>Household Domestic Expenditure over the last 6 months by type and amount  broken down by rural / urban on the admin of overall</t>
  </si>
  <si>
    <t xml:space="preserve">mean_J_19 Estimated Household's Domestic Expenditure (Shelter maintenance or repair) Over the Last 6 Mths </t>
  </si>
  <si>
    <t xml:space="preserve">median_J_19 Estimated Household's Domestic Expenditure (Shelter maintenance or repair) Over the Last 6 Mths </t>
  </si>
  <si>
    <t xml:space="preserve">min_J_19 Estimated Household's Domestic Expenditure (Shelter maintenance or repair) Over the Last 6 Mths </t>
  </si>
  <si>
    <t xml:space="preserve">max_J_19 Estimated Household's Domestic Expenditure (Shelter maintenance or repair) Over the Last 6 Mths </t>
  </si>
  <si>
    <t xml:space="preserve">mean_J_20 Estimated Household's Domestic Expenditure ( Non-food items) Over the Last 6 Mths </t>
  </si>
  <si>
    <t xml:space="preserve">median_J_20 Estimated Household's Domestic Expenditure ( Non-food items) Over the Last 6 Mths </t>
  </si>
  <si>
    <t xml:space="preserve">min_J_20 Estimated Household's Domestic Expenditure ( Non-food items) Over the Last 6 Mths </t>
  </si>
  <si>
    <t xml:space="preserve">max_J_20 Estimated Household's Domestic Expenditure ( Non-food items) Over the Last 6 Mths </t>
  </si>
  <si>
    <t xml:space="preserve">mean_J_21 Estimated Household's Domestic Expenditure (Health) Over the Last 6 Mths </t>
  </si>
  <si>
    <t xml:space="preserve">median_J_21 Estimated Household's Domestic Expenditure (Health) Over the Last 6 Mths </t>
  </si>
  <si>
    <t xml:space="preserve">min_J_21 Estimated Household's Domestic Expenditure (Health) Over the Last 6 Mths </t>
  </si>
  <si>
    <t xml:space="preserve">max_J_21 Estimated Household's Domestic Expenditure (Health) Over the Last 6 Mths </t>
  </si>
  <si>
    <t xml:space="preserve">mean_J_22 Estimated Household's Domestic Expenditure (Education) Over the Last 6 Mths </t>
  </si>
  <si>
    <t xml:space="preserve">median_J_22 Estimated Household's Domestic Expenditure (Education) Over the Last 6 Mths </t>
  </si>
  <si>
    <t xml:space="preserve">min_J_22 Estimated Household's Domestic Expenditure (Education) Over the Last 6 Mths </t>
  </si>
  <si>
    <t xml:space="preserve">max_J_22 Estimated Household's Domestic Expenditure (Education) Over the Last 6 Mths </t>
  </si>
  <si>
    <t xml:space="preserve">mean_J_23 Estimated Household's Domestic Expenditure ( Debt repayment) Over the Last 6 Mths </t>
  </si>
  <si>
    <t xml:space="preserve">median_J_23 Estimated Household's Domestic Expenditure ( Debt repayment) Over the Last 6 Mths </t>
  </si>
  <si>
    <t xml:space="preserve">min_J_23 Estimated Household's Domestic Expenditure ( Debt repayment) Over the Last 6 Mths </t>
  </si>
  <si>
    <t xml:space="preserve">max_J_23 Estimated Household's Domestic Expenditure ( Debt repayment) Over the Last 6 Mths </t>
  </si>
  <si>
    <t xml:space="preserve">mean_J_24 Estimated Household's Domestic Expenditure (All other) Over the Last 6 Mths </t>
  </si>
  <si>
    <t xml:space="preserve">median_J_24 Estimated Household's Domestic Expenditure (All other) Over the Last 6 Mths </t>
  </si>
  <si>
    <t xml:space="preserve">min_J_24 Estimated Household's Domestic Expenditure (All other) Over the Last 6 Mths </t>
  </si>
  <si>
    <t xml:space="preserve">max_J_24 Estimated Household's Domestic Expenditure (All other) Over the Last 6 Mths </t>
  </si>
  <si>
    <t>Household Domestic Expenditure over the last 6 months by type and amount  broken down by proximity to the Frontline / Russian border on the admin of overall</t>
  </si>
  <si>
    <t>Household Domestic Expenditure over the last 6 months by type and amount  broken down by member with WGSS disability on the admin of overall</t>
  </si>
  <si>
    <t>Household Domestic Expenditure over the last 6 months by type and amount  broken down by displacement status of HoH on the admin of overall</t>
  </si>
  <si>
    <t>Household Domestic Expenditure over the last 6 months by type and amount  broken down by household size on the admin of overall</t>
  </si>
  <si>
    <t>Household Domestic Expenditure over the last 6 months by type and amount  broken down by single/joint headed HHs on the admin of overall</t>
  </si>
  <si>
    <t>Total monthly expenditure PER CAPITA among those who reported any expenditure broken down by rural / urban on the admin of overall</t>
  </si>
  <si>
    <t>Total monthly expenditure PER CAPITA among those who reported any expenditure broken down by proximity to the Frontline / Russian border on the admin of overall</t>
  </si>
  <si>
    <t>Total monthly expenditure PER CAPITA among those who reported any expenditure broken down by member with WGSS disability on the admin of overall</t>
  </si>
  <si>
    <t>Total monthly expenditure PER CAPITA among those who reported any expenditure broken down by displacement status of HoH on the admin of overall</t>
  </si>
  <si>
    <t>Total monthly expenditure PER CAPITA among those who reported any expenditure broken down by household size on the admin of overall</t>
  </si>
  <si>
    <t>Total monthly expenditure PER CAPITA among those who reported any expenditure broken down by single/joint headed HHs on the admin of overall</t>
  </si>
  <si>
    <t>Total monthly expenditure among those who reported any expenditure broken down by rural / urban on the admin of overall</t>
  </si>
  <si>
    <t>Total monthly expenditure among those who reported any expenditure broken down by proximity to the Frontline / Russian border on the admin of overall</t>
  </si>
  <si>
    <t>Total monthly expenditure among those who reported any expenditure broken down by member with WGSS disability on the admin of overall</t>
  </si>
  <si>
    <t>Total monthly expenditure among those who reported any expenditure broken down by displacement status of HoH on the admin of overall</t>
  </si>
  <si>
    <t>Total monthly expenditure among those who reported any expenditure broken down by household size on the admin of overall</t>
  </si>
  <si>
    <t>Total monthly expenditure among those who reported any expenditure broken down by single/joint headed HHs on the admin of overall</t>
  </si>
  <si>
    <t>Households reporting missing non-food items broken down by rural / urban on the admin of overall</t>
  </si>
  <si>
    <t>Baby diapers</t>
  </si>
  <si>
    <t xml:space="preserve">Bedding and towels (e.g. including mattresses, bedsheets, towels) </t>
  </si>
  <si>
    <t>Domestic hygiene products (e.g. dishwasher soap, laundry detergent, cleaning solution, etc.)</t>
  </si>
  <si>
    <t>Feminine hygiene items</t>
  </si>
  <si>
    <t>Fuel for heating (coal, firewood, liquid gas)</t>
  </si>
  <si>
    <t>Heating appliances (heaters, boiler systems)</t>
  </si>
  <si>
    <t>Household items (kitchen utensils, light bults, etc.)</t>
  </si>
  <si>
    <t>Kitchen set (e.g .cooking and eating set)</t>
  </si>
  <si>
    <t>Large kitchen appliances (e.g. fridge/ washing machine)</t>
  </si>
  <si>
    <t>Other personal hygiene products (e.g. shampoo, razor, combs)</t>
  </si>
  <si>
    <t>Soap</t>
  </si>
  <si>
    <t>Summer clothes for a household member (e.g. jacket, boots, underwear, clothes)</t>
  </si>
  <si>
    <t>Water treatment product and materials</t>
  </si>
  <si>
    <t>Winter clothes for a household member (e.g. jacket, boots, underwear, clothes)</t>
  </si>
  <si>
    <t>Households reporting missing non-food items broken down by proximity to the Frontline / Russian border on the admin of overall</t>
  </si>
  <si>
    <t>Households reporting missing non-food items broken down by member with WGSS disability on the admin of overall</t>
  </si>
  <si>
    <t>Households reporting missing non-food items broken down by displacement status of HoH on the admin of overall</t>
  </si>
  <si>
    <t>Households reporting missing non-food items broken down by household size on the admin of overall</t>
  </si>
  <si>
    <t>Households reporting missing non-food items broken down by single/joint headed HHs on the admin of overall</t>
  </si>
  <si>
    <t>Primary Income Sources Reported by Households Over the Last 30 Days Prior to DC broken down by rural / urban on the admin of overall</t>
  </si>
  <si>
    <t>Casual or daily labour</t>
  </si>
  <si>
    <t xml:space="preserve">Humanitarian aid </t>
  </si>
  <si>
    <t>IDP benefits from government</t>
  </si>
  <si>
    <t>Income from own business or regular trade</t>
  </si>
  <si>
    <t xml:space="preserve">Income from own production (agriculture, livestock, fishing, food processing, home manufacture, etc.) </t>
  </si>
  <si>
    <t xml:space="preserve">Income from rent </t>
  </si>
  <si>
    <t>Loans or support from family and friends within Ukraine</t>
  </si>
  <si>
    <t>Loans, support, or charitable donations from community members (not including humanitarian aid)</t>
  </si>
  <si>
    <t>Money transfers from abroad from family and friends (remittances)</t>
  </si>
  <si>
    <t xml:space="preserve">Other government social benefits or assistance, e.g. disability pension, maternity benefits </t>
  </si>
  <si>
    <t xml:space="preserve">Pension (age and prior military service) </t>
  </si>
  <si>
    <t xml:space="preserve">Salaried work, including from household members serving away from the home in the military </t>
  </si>
  <si>
    <t>Primary Income Sources Reported by Households Over the Last 30 Days Prior to DC broken down by proximity to the Frontline / Russian border on the admin of overall</t>
  </si>
  <si>
    <t>Primary Income Sources Reported by Households Over the Last 30 Days Prior to DC broken down by member with WGSS disability on the admin of overall</t>
  </si>
  <si>
    <t>Primary Income Sources Reported by Households Over the Last 30 Days Prior to DC broken down by displacement status of HoH on the admin of overall</t>
  </si>
  <si>
    <t>Primary Income Sources Reported by Households Over the Last 30 Days Prior to DC broken down by household size on the admin of overall</t>
  </si>
  <si>
    <t>Primary Income Sources Reported by Households Over the Last 30 Days Prior to DC broken down by single/joint headed HHs on the admin of overall</t>
  </si>
  <si>
    <t>Household income over the 30 days prior to data collection, by types of income source broken down by rural / urban on the admin of overall</t>
  </si>
  <si>
    <t>mean_J_29 Estimated Household's Income (Salaried work) Over the Last 30 days by Types of Income Source</t>
  </si>
  <si>
    <t>median_J_29 Estimated Household's Income (Salaried work) Over the Last 30 days by Types of Income Source</t>
  </si>
  <si>
    <t>min_J_29 Estimated Household's Income (Salaried work) Over the Last 30 days by Types of Income Source</t>
  </si>
  <si>
    <t>max_J_29 Estimated Household's Income (Salaried work) Over the Last 30 days by Types of Income Source</t>
  </si>
  <si>
    <t>mean_J_30 Estimated Household's Income (Casual or daily labour) Over the Last 30 days by Types of Income Source</t>
  </si>
  <si>
    <t>median_J_30 Estimated Household's Income (Casual or daily labour) Over the Last 30 days by Types of Income Source</t>
  </si>
  <si>
    <t>min_J_30 Estimated Household's Income (Casual or daily labour) Over the Last 30 days by Types of Income Source</t>
  </si>
  <si>
    <t>max_J_30 Estimated Household's Income (Casual or daily labour) Over the Last 30 days by Types of Income Source</t>
  </si>
  <si>
    <t>mean_J_31 Estimated Household's Income (Own business or regular trade) Over the Last 30 days by Types of Income Source</t>
  </si>
  <si>
    <t>median_J_31 Estimated Household's Income (Own business or regular trade) Over the Last 30 days by Types of Income Source</t>
  </si>
  <si>
    <t>min_J_31 Estimated Household's Income (Own business or regular trade) Over the Last 30 days by Types of Income Source</t>
  </si>
  <si>
    <t>max_J_31 Estimated Household's Income (Own business or regular trade) Over the Last 30 days by Types of Income Source</t>
  </si>
  <si>
    <t>mean_J_32 Estimated Household's Income (Own production) Over the Last 30 days by Types of Income Source</t>
  </si>
  <si>
    <t>median_J_32 Estimated Household's Income (Own production) Over the Last 30 days by Types of Income Source</t>
  </si>
  <si>
    <t>min_J_32 Estimated Household's Income (Own production) Over the Last 30 days by Types of Income Source</t>
  </si>
  <si>
    <t>max_J_32 Estimated Household's Income (Own production) Over the Last 30 days by Types of Income Source</t>
  </si>
  <si>
    <t>mean_J_33 Estimated Household's Income (IDP benefits from government) Over the Last 30 days by Types of Income Source</t>
  </si>
  <si>
    <t>median_J_33 Estimated Household's Income (IDP benefits from government) Over the Last 30 days by Types of Income Source</t>
  </si>
  <si>
    <t>min_J_33 Estimated Household's Income (IDP benefits from government) Over the Last 30 days by Types of Income Source</t>
  </si>
  <si>
    <t>max_J_33 Estimated Household's Income (IDP benefits from government) Over the Last 30 days by Types of Income Source</t>
  </si>
  <si>
    <t>mean_J_34 Estimated Household's Income (Pension) Over the Last 30 days by Types of Income Source</t>
  </si>
  <si>
    <t>median_J_34 Estimated Household's Income (Pension) Over the Last 30 days by Types of Income Source</t>
  </si>
  <si>
    <t>min_J_34 Estimated Household's Income (Pension) Over the Last 30 days by Types of Income Source</t>
  </si>
  <si>
    <t>max_J_34 Estimated Household's Income (Pension) Over the Last 30 days by Types of Income Source</t>
  </si>
  <si>
    <t>mean_J_35 Estimated Household's Income (Other government social benefits or assistance) Over the Last 30 days by Types of Income Source</t>
  </si>
  <si>
    <t>median_J_35 Estimated Household's Income (Other government social benefits or assistance) Over the Last 30 days by Types of Income Source</t>
  </si>
  <si>
    <t>min_J_35 Estimated Household's Income (Other government social benefits or assistance) Over the Last 30 days by Types of Income Source</t>
  </si>
  <si>
    <t>max_J_35 Estimated Household's Income (Other government social benefits or assistance) Over the Last 30 days by Types of Income Source</t>
  </si>
  <si>
    <t>mean_J_36 Estimated Household's Income (Rent) Over the Last 30 days by Types of Income Source</t>
  </si>
  <si>
    <t>median_J_36 Estimated Household's Income (Rent) Over the Last 30 days by Types of Income Source</t>
  </si>
  <si>
    <t>min_J_36 Estimated Household's Income (Rent) Over the Last 30 days by Types of Income Source</t>
  </si>
  <si>
    <t>max_J_36 Estimated Household's Income (Rent) Over the Last 30 days by Types of Income Source</t>
  </si>
  <si>
    <t>mean_J_37 Estimated Household's Income (Remittances) Over the Last 30 days by Types of Income Source</t>
  </si>
  <si>
    <t>median_J_37 Estimated Household's Income (Remittances) Over the Last 30 days by Types of Income Source</t>
  </si>
  <si>
    <t>min_J_37 Estimated Household's Income (Remittances) Over the Last 30 days by Types of Income Source</t>
  </si>
  <si>
    <t>max_J_37 Estimated Household's Income (Remittances) Over the Last 30 days by Types of Income Source</t>
  </si>
  <si>
    <t>mean_J_38 Estimated Household's Income (Humanitarian aid) Over the Last 30 days by Types of Income Source</t>
  </si>
  <si>
    <t>median_J_38 Estimated Household's Income (Humanitarian aid) Over the Last 30 days by Types of Income Source</t>
  </si>
  <si>
    <t>min_J_38 Estimated Household's Income (Humanitarian aid) Over the Last 30 days by Types of Income Source</t>
  </si>
  <si>
    <t>max_J_38 Estimated Household's Income (Humanitarian aid) Over the Last 30 days by Types of Income Source</t>
  </si>
  <si>
    <t>mean_J_39 Estimated Household's Income (Loans or support from family and friends within Ukraine) Over the Last 30 days by Types of Income Source</t>
  </si>
  <si>
    <t>median_J_39 Estimated Household's Income (Loans or support from family and friends within Ukraine) Over the Last 30 days by Types of Income Source</t>
  </si>
  <si>
    <t>min_J_39 Estimated Household's Income (Loans or support from family and friends within Ukraine) Over the Last 30 days by Types of Income Source</t>
  </si>
  <si>
    <t>max_J_39 Estimated Household's Income (Loans or support from family and friends within Ukraine) Over the Last 30 days by Types of Income Source</t>
  </si>
  <si>
    <t>mean_J_40 Estimated Household's Income (Loans, support, or charitable donations from community members) Over the Last 30 days by Types of Income Source</t>
  </si>
  <si>
    <t>median_J_40 Estimated Household's Income (Loans, support, or charitable donations from community members) Over the Last 30 days by Types of Income Source</t>
  </si>
  <si>
    <t>min_J_40 Estimated Household's Income (Loans, support, or charitable donations from community members) Over the Last 30 days by Types of Income Source</t>
  </si>
  <si>
    <t>max_J_40 Estimated Household's Income (Loans, support, or charitable donations from community members) Over the Last 30 days by Types of Income Source</t>
  </si>
  <si>
    <t>mean_J_41 Estimated Household's Income (Other) Over the Last 30 days by Types of Income Source</t>
  </si>
  <si>
    <t>median_J_41 Estimated Household's Income (Other) Over the Last 30 days by Types of Income Source</t>
  </si>
  <si>
    <t>min_J_41 Estimated Household's Income (Other) Over the Last 30 days by Types of Income Source</t>
  </si>
  <si>
    <t>max_J_41 Estimated Household's Income (Other) Over the Last 30 days by Types of Income Source</t>
  </si>
  <si>
    <t>Household income over the 30 days prior to data collection, by types of income source broken down by proximity to the Frontline / Russian border on the admin of overall</t>
  </si>
  <si>
    <t>Household income over the 30 days prior to data collection, by types of income source broken down by member with WGSS disability on the admin of overall</t>
  </si>
  <si>
    <t>Household income over the 30 days prior to data collection, by types of income source broken down by displacement status of HoH on the admin of overall</t>
  </si>
  <si>
    <t>Household income over the 30 days prior to data collection, by types of income source broken down by household size on the admin of overall</t>
  </si>
  <si>
    <t>Household income over the 30 days prior to data collection, by types of income source broken down by single/joint headed HHs on the admin of overall</t>
  </si>
  <si>
    <t>Total income per capita among those who reported any income broken down by rural / urban on the admin of overall</t>
  </si>
  <si>
    <t>Total income per capita among those who reported any income broken down by proximity to the Frontline / Russian border on the admin of overall</t>
  </si>
  <si>
    <t>Total income per capita among those who reported any income broken down by member with WGSS disability on the admin of overall</t>
  </si>
  <si>
    <t>Total income per capita among those who reported any income broken down by displacement status of HoH on the admin of overall</t>
  </si>
  <si>
    <t>Total income per capita among those who reported any income broken down by household size on the admin of overall</t>
  </si>
  <si>
    <t>Total income per capita among those who reported any income broken down by single/joint headed HHs on the admin of overall</t>
  </si>
  <si>
    <t>Total income per household among those who reported any income broken down by rural / urban on the admin of overall</t>
  </si>
  <si>
    <t>Total income per household among those who reported any income broken down by proximity to the Frontline / Russian border on the admin of overall</t>
  </si>
  <si>
    <t>Total income per household among those who reported any income broken down by member with WGSS disability on the admin of overall</t>
  </si>
  <si>
    <t>Total income per household among those who reported any income broken down by displacement status of HoH on the admin of overall</t>
  </si>
  <si>
    <t>Total income per household among those who reported any income broken down by household size on the admin of overall</t>
  </si>
  <si>
    <t>Total income per household among those who reported any income broken down by presence of children on the admin of overall</t>
  </si>
  <si>
    <t>Total income per household among those who reported any income broken down by single/joint headed HHs on the admin of overall</t>
  </si>
  <si>
    <t>Households that have borrowed money that they still have to pay back broken down by rural / urban on the admin of overall</t>
  </si>
  <si>
    <t>Households that have borrowed money that they still have to pay back broken down by proximity to the Frontline / Russian border on the admin of overall</t>
  </si>
  <si>
    <t>Households that have borrowed money that they still have to pay back broken down by member with WGSS disability on the admin of overall</t>
  </si>
  <si>
    <t>Households that have borrowed money that they still have to pay back broken down by displacement status of HoH on the admin of overall</t>
  </si>
  <si>
    <t>Households that have borrowed money that they still have to pay back broken down by household size on the admin of overall</t>
  </si>
  <si>
    <t>Households that have borrowed money that they still have to pay back broken down by single/joint headed HHs on the admin of overall</t>
  </si>
  <si>
    <t>Households reporting reasons why they took on debt since February 2022 broken down by rural / urban on the admin of overall</t>
  </si>
  <si>
    <t>Domestic assets (appliances, household repairs, repairing facilities) for your household</t>
  </si>
  <si>
    <t>Domestic consumption (food, utilities, etc) for your household</t>
  </si>
  <si>
    <t>Education expenses for your household</t>
  </si>
  <si>
    <t>For another households' needs</t>
  </si>
  <si>
    <t xml:space="preserve">Health / Medical expenses for your household </t>
  </si>
  <si>
    <t xml:space="preserve">Holiday / Travel for your household </t>
  </si>
  <si>
    <t>Investment in business (capital or assets) belonging to a household member</t>
  </si>
  <si>
    <t>Obtaining / replacing official documents for your household</t>
  </si>
  <si>
    <t>Property / Mortgage belonging to a household member</t>
  </si>
  <si>
    <t>Repayment of other debts of your household</t>
  </si>
  <si>
    <t xml:space="preserve">Replacing posessions of your household that were destroyed / left behind due to the war </t>
  </si>
  <si>
    <t>Shelter repair for your household</t>
  </si>
  <si>
    <t>Urgent travel related to displacement for your household</t>
  </si>
  <si>
    <t>Households reporting reasons why they took on debt since February 2022 broken down by proximity to the Frontline / Russian border on the admin of overall</t>
  </si>
  <si>
    <t>Households reporting reasons why they took on debt since February 2022 broken down by member with WGSS disability on the admin of overall</t>
  </si>
  <si>
    <t>Households reporting reasons why they took on debt since February 2022 broken down by displacement status of HoH on the admin of overall</t>
  </si>
  <si>
    <t>Households reporting reasons why they took on debt since February 2022 broken down by household size on the admin of overall</t>
  </si>
  <si>
    <t>Households reporting reasons why they took on debt since February 2022 broken down by single/joint headed HHs on the admin of overall</t>
  </si>
  <si>
    <t>Households reporting barriers while accessing markets broken down by rural / urban on the admin of overall</t>
  </si>
  <si>
    <t>Damage to marketplace</t>
  </si>
  <si>
    <t>Damage to roads leading to marketplace</t>
  </si>
  <si>
    <t>Disablity / health issues</t>
  </si>
  <si>
    <t>Face discrimination or exploitation when visiting the marketplace or certain businesses</t>
  </si>
  <si>
    <t>Insecurity or danger at marketplace</t>
  </si>
  <si>
    <t>Insecurity or danger travelling to and from marketplace</t>
  </si>
  <si>
    <t>Local authorities restrict access/travel</t>
  </si>
  <si>
    <t>Market shutdowns or curfews make access impossible</t>
  </si>
  <si>
    <t>Marketplace is too far away to access regularly</t>
  </si>
  <si>
    <t>Nobody to look after children or elderly while visiting marketplace</t>
  </si>
  <si>
    <t>Other household members restrict access/travel</t>
  </si>
  <si>
    <t>Transportation to marketplace is too expensive</t>
  </si>
  <si>
    <t>Households reporting barriers while accessing markets broken down by proximity to the Frontline / Russian border on the admin of overall</t>
  </si>
  <si>
    <t>Households reporting barriers while accessing markets broken down by member with WGSS disability on the admin of overall</t>
  </si>
  <si>
    <t>Households reporting barriers while accessing markets broken down by displacement status of HoH on the admin of overall</t>
  </si>
  <si>
    <t>Households reporting barriers while accessing markets broken down by household size on the admin of overall</t>
  </si>
  <si>
    <t>Households reporting barriers while accessing markets broken down by single/joint headed HHs on the admin of overall</t>
  </si>
  <si>
    <t>Households adopting Livelihood Coping Strategies, by strategy broken down by rural / urban on the admin of overall</t>
  </si>
  <si>
    <t>option</t>
  </si>
  <si>
    <t>perc_Households Reportedly Adopting Livelihood Coping Strategies (sell household assets/goods)</t>
  </si>
  <si>
    <t>perc_Households Reportedly Adopting Livelihood Coping Strategies (spend savings or consumed stocks)</t>
  </si>
  <si>
    <t>perc_Households Reportedly Adopting Livelihood Coping Strategies (Purchase food on credit or borrowed food)</t>
  </si>
  <si>
    <t>perc_Households Reportedly Adopting Livelihood Coping Strategies (get an additional job)</t>
  </si>
  <si>
    <t>perc_Households Reportedly Adopting Livelihood Coping Strategies (Sell productive assets)</t>
  </si>
  <si>
    <t>perc_Households Reportedly Adopting Livelihood Coping Strategies (Reduce essential health expenditures)</t>
  </si>
  <si>
    <t>perc_Households Reportedly Adopting Livelihood Coping Strategies (Reduce essential education expenditures)</t>
  </si>
  <si>
    <t>perc_Households Reportedly Adopting Livelihood Coping Strategies (Sell housing or land)</t>
  </si>
  <si>
    <t>perc_Households Reportedly Adopting Livelihood Coping Strategies (use degrading sources of income)</t>
  </si>
  <si>
    <t>perc_Households Reportedly Adopting Livelihood Coping Strategies (ask strangers for money)</t>
  </si>
  <si>
    <t>general_count</t>
  </si>
  <si>
    <t>No, have already exhausted this coping strategy and cannot use it again</t>
  </si>
  <si>
    <t>No, had no need to use this coping strategy</t>
  </si>
  <si>
    <t>Not applicable / This coping strategy is not available to me</t>
  </si>
  <si>
    <t>Households adopting Livelihood Coping Strategies, by strategy broken down by proximity to the Frontline / Russian border on the admin of overall</t>
  </si>
  <si>
    <t>Households adopting Livelihood Coping Strategies, by strategy broken down by member with WGSS disability on the admin of overall</t>
  </si>
  <si>
    <t>Households adopting Livelihood Coping Strategies, by strategy broken down by displacement status of HoH on the admin of overall</t>
  </si>
  <si>
    <t>Households adopting Livelihood Coping Strategies, by strategy broken down by household size on the admin of overall</t>
  </si>
  <si>
    <t>Households adopting Livelihood Coping Strategies, by strategy broken down by single/joint headed HHs on the admin of overall</t>
  </si>
  <si>
    <t>Main Reasons Households Reported for Using Livelihood Coping Strategies  broken down by rural / urban on the admin of overall</t>
  </si>
  <si>
    <t xml:space="preserve">Other (specify) </t>
  </si>
  <si>
    <t xml:space="preserve">To access or pay for education </t>
  </si>
  <si>
    <t xml:space="preserve">To access or pay for food </t>
  </si>
  <si>
    <t xml:space="preserve">To access or pay for healthcare </t>
  </si>
  <si>
    <t xml:space="preserve">To access or pay for shelter </t>
  </si>
  <si>
    <t>Main Reasons Households Reported for Using Livelihood Coping Strategies  broken down by proximity to the Frontline / Russian border on the admin of overall</t>
  </si>
  <si>
    <t>Main Reasons Households Reported for Using Livelihood Coping Strategies  broken down by member with WGSS disability on the admin of overall</t>
  </si>
  <si>
    <t>Main Reasons Households Reported for Using Livelihood Coping Strategies  broken down by displacement status of HoH on the admin of overall</t>
  </si>
  <si>
    <t>Main Reasons Households Reported for Using Livelihood Coping Strategies  broken down by household size on the admin of overall</t>
  </si>
  <si>
    <t>Main Reasons Households Reported for Using Livelihood Coping Strategies  broken down by single/joint headed HHs on the admin of overall</t>
  </si>
  <si>
    <t>Livelihood Coping Strategy - Essential Needs (LCS-EN) broken down by rural / urban on the admin of overall</t>
  </si>
  <si>
    <t>Crisis</t>
  </si>
  <si>
    <t>Emergency</t>
  </si>
  <si>
    <t>No coping</t>
  </si>
  <si>
    <t>Stress</t>
  </si>
  <si>
    <t>Livelihood Coping Strategy - Essential Needs (LCS-EN) broken down by proximity to the Frontline / Russian border on the admin of overall</t>
  </si>
  <si>
    <t>Livelihood Coping Strategy - Essential Needs (LCS-EN) broken down by member with WGSS disability on the admin of overall</t>
  </si>
  <si>
    <t>Livelihood Coping Strategy - Essential Needs (LCS-EN) broken down by displacement status of HoH on the admin of overall</t>
  </si>
  <si>
    <t>Livelihood Coping Strategy - Essential Needs (LCS-EN) broken down by household size on the admin of overall</t>
  </si>
  <si>
    <t>Livelihood Coping Strategy - Essential Needs (LCS-EN) broken down by presence of children on the admin of overall</t>
  </si>
  <si>
    <t>Livelihood Coping Strategy - Essential Needs (LCS-EN) broken down by single care provider on the admin of overall</t>
  </si>
  <si>
    <t>Livelihood Coping Strategy - Essential Needs (LCS-EN) broken down by single/joint headed HHs on the admin of overall</t>
  </si>
  <si>
    <t>Security Factors that reportedly influenced households' sense of safety broken down by gender of respondent on the admin of overall</t>
  </si>
  <si>
    <t>Arbitrary arrest / detention</t>
  </si>
  <si>
    <t>Conscription</t>
  </si>
  <si>
    <t>Discrimination (because of ethnicity, status, etc.)</t>
  </si>
  <si>
    <t>Exploitation (being engaged in harmful forms of labor, human trafficking)</t>
  </si>
  <si>
    <t>Kidnapping, forced disappearance (excluding conscription)</t>
  </si>
  <si>
    <t>Looting and crime (e.g. being robbed)</t>
  </si>
  <si>
    <t>Presence of landmines/UXOs</t>
  </si>
  <si>
    <t>Presence of military actors</t>
  </si>
  <si>
    <t>Social tension in the community</t>
  </si>
  <si>
    <t>Stray animals (dogs, etc)</t>
  </si>
  <si>
    <t>Violence and harassment not related to the conflict in private spaces</t>
  </si>
  <si>
    <t>Violence and harassment not related to the conflict in public spaces</t>
  </si>
  <si>
    <t>Violence related to the conflict (e.g. armed violence, shelling, missile attacks) impacting civilians</t>
  </si>
  <si>
    <t>Violence related to the conflict (e.g. armed violence, shelling, missile attacks) impacting private infrastructure (e.g. private housing)</t>
  </si>
  <si>
    <t>Violence related to the conflict (e.g. armed violence, shelling, missile attacks) impacting public infrastructure and facilities (schools, telecommunication networks)</t>
  </si>
  <si>
    <t>Security Factors that reportedly influenced households' sense of safety broken down by age of respondents on the admin of overall</t>
  </si>
  <si>
    <t>Security Factors that reportedly influenced households' sense of safety broken down by rural / urban on the admin of overall</t>
  </si>
  <si>
    <t>Security Factors that reportedly influenced households' sense of safety broken down by proximity to the Frontline / Russian border on the admin of overall</t>
  </si>
  <si>
    <t>Security Factors that reportedly influenced households' sense of safety broken down by member with WGSS disability on the admin of overall</t>
  </si>
  <si>
    <t>Security Factors that reportedly influenced households' sense of safety broken down by displacement status of HoH on the admin of overall</t>
  </si>
  <si>
    <t>Security Factors that reportedly influenced households' sense of safety broken down by household size on the admin of overall</t>
  </si>
  <si>
    <t>Security Factors that reportedly influenced households' sense of safety broken down by single/joint headed HHs on the admin of overall</t>
  </si>
  <si>
    <t>Reasons why social tension or discrimination impacted households' sense of safety broken down by gender of respondent on the admin of overall</t>
  </si>
  <si>
    <t>Age</t>
  </si>
  <si>
    <t>Discrimination or tensions over access to employment </t>
  </si>
  <si>
    <t>Discrimination or tensions over access to government services </t>
  </si>
  <si>
    <t>Discrimination or tensions over access to humanitarian assistance provided by aid providers </t>
  </si>
  <si>
    <t>Displacement status (e.g. tensions or discrimination related to being IDP)</t>
  </si>
  <si>
    <t>Do not know </t>
  </si>
  <si>
    <t>Ethnicity  </t>
  </si>
  <si>
    <t>Gender</t>
  </si>
  <si>
    <t>Language  </t>
  </si>
  <si>
    <t>Other (specify) </t>
  </si>
  <si>
    <t>Political affiliation                                                                     </t>
  </si>
  <si>
    <t>Religion </t>
  </si>
  <si>
    <t>Sexual Orientation</t>
  </si>
  <si>
    <t>Reasons why social tension or discrimination impacted households' sense of safety broken down by age of respondents on the admin of overall</t>
  </si>
  <si>
    <t>Reasons why social tension or discrimination impacted households' sense of safety broken down by rural / urban on the admin of overall</t>
  </si>
  <si>
    <t>Reasons why social tension or discrimination impacted households' sense of safety broken down by proximity to the Frontline / Russian border on the admin of overall</t>
  </si>
  <si>
    <t>Reasons why social tension or discrimination impacted households' sense of safety broken down by member with WGSS disability on the admin of overall</t>
  </si>
  <si>
    <t>Reasons why social tension or discrimination impacted households' sense of safety broken down by displacement status of HoH on the admin of overall</t>
  </si>
  <si>
    <t>Reasons why social tension or discrimination impacted households' sense of safety broken down by household size on the admin of overall</t>
  </si>
  <si>
    <t>Reasons why social tension or discrimination impacted households' sense of safety broken down by single/joint headed HHs on the admin of overall</t>
  </si>
  <si>
    <t>Households that reported being concerned about having any HH member engaging in risky activities due to the economic needs broken down by gender of respondent on the admin of overall</t>
  </si>
  <si>
    <t xml:space="preserve">Always </t>
  </si>
  <si>
    <t>Don't know</t>
  </si>
  <si>
    <t xml:space="preserve">Just once or twice </t>
  </si>
  <si>
    <t xml:space="preserve">Never </t>
  </si>
  <si>
    <t xml:space="preserve">Several times </t>
  </si>
  <si>
    <t>Households that reported being concerned about having any HH member engaging in risky activities due to the economic needs broken down by age of respondents on the admin of overall</t>
  </si>
  <si>
    <t>Households that reported being concerned about having any HH member engaging in risky activities due to the economic needs broken down by rural / urban on the admin of overall</t>
  </si>
  <si>
    <t>Households that reported being concerned about having any HH member engaging in risky activities due to the economic needs broken down by proximity to the Frontline / Russian border on the admin of overall</t>
  </si>
  <si>
    <t>Households that reported being concerned about having any HH member engaging in risky activities due to the economic needs broken down by member with WGSS disability on the admin of overall</t>
  </si>
  <si>
    <t>Households that reported being concerned about having any HH member engaging in risky activities due to the economic needs broken down by displacement status of HoH on the admin of overall</t>
  </si>
  <si>
    <t>Households that reported being concerned about having any HH member engaging in risky activities due to the economic needs broken down by household size on the admin of overall</t>
  </si>
  <si>
    <t>Households that reported being concerned about having any HH member engaging in risky activities due to the economic needs broken down by single/joint headed HHs on the admin of overall</t>
  </si>
  <si>
    <t>Households that reported being concerned about being forced to flee their home broken down by gender of respondent on the admin of overall</t>
  </si>
  <si>
    <t>Households that reported being concerned about being forced to flee their home broken down by age of respondents on the admin of overall</t>
  </si>
  <si>
    <t>Households that reported being concerned about being forced to flee their home broken down by rural / urban on the admin of overall</t>
  </si>
  <si>
    <t>Households that reported being concerned about being forced to flee their home broken down by proximity to the Frontline / Russian border on the admin of overall</t>
  </si>
  <si>
    <t>Households that reported being concerned about being forced to flee their home broken down by member with WGSS disability on the admin of overall</t>
  </si>
  <si>
    <t>Households that reported being concerned about being forced to flee their home broken down by displacement status of HoH on the admin of overall</t>
  </si>
  <si>
    <t>Households that reported being concerned about being forced to flee their home broken down by household size on the admin of overall</t>
  </si>
  <si>
    <t>Households that reported being concerned about being forced to flee their home broken down by single/joint headed HHs on the admin of overall</t>
  </si>
  <si>
    <t>Security factors that reportedly influenced sense of safety of WOMEN in community broken down by gender of respondent on the admin of overall</t>
  </si>
  <si>
    <t>Being robbed</t>
  </si>
  <si>
    <t>Security factors that reportedly influenced sense of safety of WOMEN in community broken down by age of respondents on the admin of overall</t>
  </si>
  <si>
    <t>Security factors that reportedly influenced sense of safety of WOMEN in community broken down by rural / urban on the admin of overall</t>
  </si>
  <si>
    <t>Security factors that reportedly influenced sense of safety of WOMEN in community broken down by proximity to the Frontline / Russian border on the admin of overall</t>
  </si>
  <si>
    <t>Security factors that reportedly influenced sense of safety of WOMEN in community broken down by member with WGSS disability on the admin of overall</t>
  </si>
  <si>
    <t>Security factors that reportedly influenced sense of safety of WOMEN in community broken down by displacement status of HoH on the admin of overall</t>
  </si>
  <si>
    <t>Security factors that reportedly influenced sense of safety of WOMEN in community broken down by household size on the admin of overall</t>
  </si>
  <si>
    <t>Security factors that reportedly influenced sense of safety of WOMEN in community broken down by single/joint headed HHs on the admin of overall</t>
  </si>
  <si>
    <t>Households with women that reportedly feel unsafe walking in community broken down by gender of respondent on the admin of overall</t>
  </si>
  <si>
    <t>Always</t>
  </si>
  <si>
    <t>Never</t>
  </si>
  <si>
    <t>Often</t>
  </si>
  <si>
    <t>Sometimes</t>
  </si>
  <si>
    <t>Households with women that reportedly feel unsafe walking in community broken down by age of respondents on the admin of overall</t>
  </si>
  <si>
    <t>Households with women that reportedly feel unsafe walking in community broken down by rural / urban on the admin of overall</t>
  </si>
  <si>
    <t>Households with women that reportedly feel unsafe walking in community broken down by proximity to the Frontline / Russian border on the admin of overall</t>
  </si>
  <si>
    <t>Households with women that reportedly feel unsafe walking in community broken down by member with WGSS disability on the admin of overall</t>
  </si>
  <si>
    <t>Households with women that reportedly feel unsafe walking in community broken down by displacement status of HoH on the admin of overall</t>
  </si>
  <si>
    <t>Households with women that reportedly feel unsafe walking in community broken down by household size on the admin of overall</t>
  </si>
  <si>
    <t>Households with women that reportedly feel unsafe walking in community broken down by single/joint headed HHs on the admin of overall</t>
  </si>
  <si>
    <t>Places women reportedly avoid because of security concerns broken down by gender of respondent on the admin of overall</t>
  </si>
  <si>
    <t xml:space="preserve">Aid distribution points </t>
  </si>
  <si>
    <t>Communal heating points</t>
  </si>
  <si>
    <t>Communal water points</t>
  </si>
  <si>
    <t>Indoor public spaces used for recreation (e.g. community centers)</t>
  </si>
  <si>
    <t>Isolated areas within your living space such as elevators/staircases</t>
  </si>
  <si>
    <t>Long or isolated underground passages</t>
  </si>
  <si>
    <t>Outdoor public spaces used for recreation (e.g. parks)</t>
  </si>
  <si>
    <t>Poorly lit outdoor areas</t>
  </si>
  <si>
    <t>Public markets</t>
  </si>
  <si>
    <t>Public transport (e.g. bus stops, train stations, trains, subways, etc.)</t>
  </si>
  <si>
    <t xml:space="preserve">Spaces with high military presence </t>
  </si>
  <si>
    <t>Places women reportedly avoid because of security concerns broken down by age of respondents on the admin of overall</t>
  </si>
  <si>
    <t>Places women reportedly avoid because of security concerns broken down by rural / urban on the admin of overall</t>
  </si>
  <si>
    <t>Places women reportedly avoid because of security concerns broken down by proximity to the Frontline / Russian border on the admin of overall</t>
  </si>
  <si>
    <t>Places women reportedly avoid because of security concerns broken down by member with WGSS disability on the admin of overall</t>
  </si>
  <si>
    <t>Places women reportedly avoid because of security concerns broken down by displacement status of HoH on the admin of overall</t>
  </si>
  <si>
    <t>Places women reportedly avoid because of security concerns broken down by household size on the admin of overall</t>
  </si>
  <si>
    <t>Places women reportedly avoid because of security concerns broken down by single/joint headed HHs on the admin of overall</t>
  </si>
  <si>
    <t>Security factors that reportedly influenced sense of safety of MEN in community broken down by gender of respondent on the admin of overall</t>
  </si>
  <si>
    <t>Security factors that reportedly influenced sense of safety of MEN in community broken down by age of respondents on the admin of overall</t>
  </si>
  <si>
    <t>Security factors that reportedly influenced sense of safety of MEN in community broken down by rural / urban on the admin of overall</t>
  </si>
  <si>
    <t>Security factors that reportedly influenced sense of safety of MEN in community broken down by proximity to the Frontline / Russian border on the admin of overall</t>
  </si>
  <si>
    <t>Security factors that reportedly influenced sense of safety of MEN in community broken down by member with WGSS disability on the admin of overall</t>
  </si>
  <si>
    <t>Security factors that reportedly influenced sense of safety of MEN in community broken down by displacement status of HoH on the admin of overall</t>
  </si>
  <si>
    <t>Security factors that reportedly influenced sense of safety of MEN in community broken down by household size on the admin of overall</t>
  </si>
  <si>
    <t>Security factors that reportedly influenced sense of safety of MEN in community broken down by single/joint headed HHs on the admin of overall</t>
  </si>
  <si>
    <t>Security factors that reportedly influenced sense of safety of CHILDREN in community broken down by gender of respondent on the admin of overall</t>
  </si>
  <si>
    <t>Exploitation (human trafficking)</t>
  </si>
  <si>
    <t>Unsafe roads</t>
  </si>
  <si>
    <t>Security factors that reportedly influenced sense of safety of CHILDREN in community broken down by presence of children on the admin of overall</t>
  </si>
  <si>
    <t>Security factors that reportedly influenced sense of safety of CHILDREN in community broken down by age of respondents on the admin of overall</t>
  </si>
  <si>
    <t>Security factors that reportedly influenced sense of safety of CHILDREN in community broken down by rural / urban on the admin of overall</t>
  </si>
  <si>
    <t>Security factors that reportedly influenced sense of safety of CHILDREN in community broken down by proximity to the Frontline / Russian border on the admin of overall</t>
  </si>
  <si>
    <t>Security factors that reportedly influenced sense of safety of CHILDREN in community broken down by member with WGSS disability on the admin of overall</t>
  </si>
  <si>
    <t>Security factors that reportedly influenced sense of safety of CHILDREN in community broken down by displacement status of HoH on the admin of overall</t>
  </si>
  <si>
    <t>Security factors that reportedly influenced sense of safety of CHILDREN in community broken down by household size on the admin of overall</t>
  </si>
  <si>
    <t>Security factors that reportedly influenced sense of safety of CHILDREN in community broken down by single/joint headed HHs on the admin of overall</t>
  </si>
  <si>
    <t>Housing/land/property (HLP) concerns households reported experiencing broken down by rural / urban on the admin of overall</t>
  </si>
  <si>
    <t>Damage or destroyed property other than housing</t>
  </si>
  <si>
    <t>Damaged or destroyed housing in area NOT occupied by the Russian Federation</t>
  </si>
  <si>
    <t>Damaged or destroyed housing in area occupied by the Russian Federation</t>
  </si>
  <si>
    <t>Eviction from rented housing</t>
  </si>
  <si>
    <t>Housing and/or land is not accessible due to military restrictions, active hostilities</t>
  </si>
  <si>
    <t>Housing and/or land is used for military purposes</t>
  </si>
  <si>
    <t>Lack of access to / eligibility for compensation mechanisms</t>
  </si>
  <si>
    <t>Lack of compensation through compensation mechanisms</t>
  </si>
  <si>
    <t>Lack of documents / lack of access to documents proving ownership of housing / land</t>
  </si>
  <si>
    <t>Lack of information on compensation mechanisms</t>
  </si>
  <si>
    <t>Land contaminated with EOs</t>
  </si>
  <si>
    <t>Looting of private property</t>
  </si>
  <si>
    <t>No social / affordable housing available in the area</t>
  </si>
  <si>
    <t>Property is occupied by others</t>
  </si>
  <si>
    <t>Rental disputes (landlord/tenant problems)</t>
  </si>
  <si>
    <t>Housing/land/property (HLP) concerns households reported experiencing broken down by proximity to the Frontline / Russian border on the admin of overall</t>
  </si>
  <si>
    <t>Housing/land/property (HLP) concerns households reported experiencing broken down by member with WGSS disability on the admin of overall</t>
  </si>
  <si>
    <t>Housing/land/property (HLP) concerns households reported experiencing broken down by displacement status of HoH on the admin of overall</t>
  </si>
  <si>
    <t>Housing/land/property (HLP) concerns households reported experiencing broken down by household size on the admin of overall</t>
  </si>
  <si>
    <t>Housing/land/property (HLP) concerns households reported experiencing broken down by single/joint headed HHs on the admin of overall</t>
  </si>
  <si>
    <t>Number of times Household members reportedly were trained on safe behaviours towards Explosive Ordnances  broken down by rural / urban on the admin of overall</t>
  </si>
  <si>
    <t>Number of times Household members reportedly were trained on safe behaviours towards Explosive Ordnances  broken down by proximity to the Frontline / Russian border on the admin of overall</t>
  </si>
  <si>
    <t>Number of times Household members reportedly were trained on safe behaviours towards Explosive Ordnances  broken down by member with WGSS disability on the admin of overall</t>
  </si>
  <si>
    <t>Number of times Household members reportedly were trained on safe behaviours towards Explosive Ordnances  broken down by displacement status of HoH on the admin of overall</t>
  </si>
  <si>
    <t>Number of times Household members reportedly were trained on safe behaviours towards Explosive Ordnances  broken down by household size on the admin of overall</t>
  </si>
  <si>
    <t>Number of times Household members reportedly were trained on safe behaviours towards Explosive Ordnances  broken down by single/joint headed HHs on the admin of overall</t>
  </si>
  <si>
    <t>Households Reporting Explosive Ordnance Currently Present in their Community broken down by rural / urban on the admin of overall</t>
  </si>
  <si>
    <t>Prefer not to Answer</t>
  </si>
  <si>
    <t>Yes, I or a member of my household believes they are present</t>
  </si>
  <si>
    <t>Yes, I or a member of my household has seen them</t>
  </si>
  <si>
    <t>Households Reporting Explosive Ordnance Currently Present in their Community broken down by proximity to the Frontline / Russian border on the admin of overall</t>
  </si>
  <si>
    <t>Households Reporting Explosive Ordnance Currently Present in their Community broken down by member with WGSS disability on the admin of overall</t>
  </si>
  <si>
    <t>Households Reporting Explosive Ordnance Currently Present in their Community broken down by displacement status of HoH on the admin of overall</t>
  </si>
  <si>
    <t>Households Reporting Explosive Ordnance Currently Present in their Community broken down by household size on the admin of overall</t>
  </si>
  <si>
    <t>Households Reporting Explosive Ordnance Currently Present in their Community broken down by single/joint headed HHs on the admin of overall</t>
  </si>
  <si>
    <t>Households Reporting that Explosive Ordnance Affect the Livelihoods of People within their Community broken down by rural / urban on the admin of overall</t>
  </si>
  <si>
    <t>No, presence of EO is not affecting anyone's livelihood in the community</t>
  </si>
  <si>
    <t>Yes, presence of EO is affecting people's livelihood in the community</t>
  </si>
  <si>
    <t>Households Reporting that Explosive Ordnance Affect the Livelihoods of People within their Community broken down by proximity to the Frontline / Russian border on the admin of overall</t>
  </si>
  <si>
    <t>Households Reporting that Explosive Ordnance Affect the Livelihoods of People within their Community broken down by member with WGSS disability on the admin of overall</t>
  </si>
  <si>
    <t>Households Reporting that Explosive Ordnance Affect the Livelihoods of People within their Community broken down by displacement status of HoH on the admin of overall</t>
  </si>
  <si>
    <t>Households Reporting that Explosive Ordnance Affect the Livelihoods of People within their Community broken down by household size on the admin of overall</t>
  </si>
  <si>
    <t>Households Reporting that Explosive Ordnance Affect the Livelihoods of People within their Community broken down by single/joint headed HHs on the admin of overall</t>
  </si>
  <si>
    <t>Households describing their shelter situation broken down by rural / urban on the admin of overall</t>
  </si>
  <si>
    <t>Collective site</t>
  </si>
  <si>
    <t>Hosted by friends/relatives</t>
  </si>
  <si>
    <t>Hosting at least one other household in own home</t>
  </si>
  <si>
    <t>Individual shelter (for this household only)</t>
  </si>
  <si>
    <t>Individual shelter (shared with others)</t>
  </si>
  <si>
    <t>No shelter (sleeping in the open)</t>
  </si>
  <si>
    <t>Households describing their shelter situation broken down by proximity to the Frontline / Russian border on the admin of overall</t>
  </si>
  <si>
    <t>Households describing their shelter situation broken down by member with WGSS disability on the admin of overall</t>
  </si>
  <si>
    <t>Households describing their shelter situation broken down by displacement status of HoH on the admin of overall</t>
  </si>
  <si>
    <t>Households describing their shelter situation broken down by household size on the admin of overall</t>
  </si>
  <si>
    <t>Households describing their shelter situation broken down by single/joint headed HHs on the admin of overall</t>
  </si>
  <si>
    <t>Households reporting type of shelter they live in broken down by rural / urban on the admin of overall</t>
  </si>
  <si>
    <t>Makeshift shelter</t>
  </si>
  <si>
    <t>Solid / finished apartment</t>
  </si>
  <si>
    <t>Solid / finished house</t>
  </si>
  <si>
    <t>Tent</t>
  </si>
  <si>
    <t>Unfinished / non-enclosed building</t>
  </si>
  <si>
    <t>Households reporting type of shelter they live in broken down by proximity to the Frontline / Russian border on the admin of overall</t>
  </si>
  <si>
    <t>Households reporting type of shelter they live in broken down by member with WGSS disability on the admin of overall</t>
  </si>
  <si>
    <t>Households reporting type of shelter they live in broken down by displacement status of HoH on the admin of overall</t>
  </si>
  <si>
    <t>Households reporting type of shelter they live in broken down by household size on the admin of overall</t>
  </si>
  <si>
    <t>Households reporting type of shelter they live in broken down by single/joint headed HHs on the admin of overall</t>
  </si>
  <si>
    <t>Households reporting number of square meters in their shelter broken down by rural / urban on the admin of overall</t>
  </si>
  <si>
    <t>Households reporting number of square meters in their shelter broken down by proximity to the Frontline / Russian border on the admin of overall</t>
  </si>
  <si>
    <t>Households reporting number of square meters in their shelter broken down by member with WGSS disability on the admin of overall</t>
  </si>
  <si>
    <t>Households reporting number of square meters in their shelter broken down by displacement status of HoH on the admin of overall</t>
  </si>
  <si>
    <t>Households reporting number of square meters in their shelter broken down by household size on the admin of overall</t>
  </si>
  <si>
    <t>Households reporting number of square meters in their shelter broken down by single/joint headed HHs on the admin of overall</t>
  </si>
  <si>
    <t>Households reporting number of individuals living in their current shelter broken down by rural / urban on the admin of overall</t>
  </si>
  <si>
    <t>Households reporting number of individuals living in their current shelter broken down by proximity to the Frontline / Russian border on the admin of overall</t>
  </si>
  <si>
    <t>Households reporting number of individuals living in their current shelter broken down by member with WGSS disability on the admin of overall</t>
  </si>
  <si>
    <t>Households reporting number of individuals living in their current shelter broken down by displacement status of HoH on the admin of overall</t>
  </si>
  <si>
    <t>Households reporting number of individuals living in their current shelter broken down by household size on the admin of overall</t>
  </si>
  <si>
    <t>Households reporting number of individuals living in their current shelter broken down by single/joint headed HHs on the admin of overall</t>
  </si>
  <si>
    <t>Shelter overcrowding broken down by rural / urban on the admin of overall</t>
  </si>
  <si>
    <t>Shelter overcrowding broken down by proximity to the Frontline / Russian border on the admin of overall</t>
  </si>
  <si>
    <t>Shelter overcrowding broken down by member with WGSS disability on the admin of overall</t>
  </si>
  <si>
    <t>Shelter overcrowding broken down by displacement status of HoH on the admin of overall</t>
  </si>
  <si>
    <t>Shelter overcrowding broken down by household size on the admin of overall</t>
  </si>
  <si>
    <t>Shelter overcrowding broken down by single/joint headed HHs on the admin of overall</t>
  </si>
  <si>
    <t>Households reporting occupancy arrangement of their shelter broken down by rural / urban on the admin of overall</t>
  </si>
  <si>
    <t>Hosted for free</t>
  </si>
  <si>
    <t>No occupancy agreement, squatting</t>
  </si>
  <si>
    <t xml:space="preserve">Owned property </t>
  </si>
  <si>
    <t>Rented</t>
  </si>
  <si>
    <t>Households reporting occupancy arrangement of their shelter broken down by proximity to the Frontline / Russian border on the admin of overall</t>
  </si>
  <si>
    <t>Households reporting occupancy arrangement of their shelter broken down by member with WGSS disability on the admin of overall</t>
  </si>
  <si>
    <t>Households reporting occupancy arrangement of their shelter broken down by displacement status of HoH on the admin of overall</t>
  </si>
  <si>
    <t>Households reporting occupancy arrangement of their shelter broken down by household size on the admin of overall</t>
  </si>
  <si>
    <t>Households reporting occupancy arrangement of their shelter broken down by single/joint headed HHs on the admin of overall</t>
  </si>
  <si>
    <t>Households reporting risk of being evicted from their shelter broken down by rural / urban on the admin of overall</t>
  </si>
  <si>
    <t>Households reporting risk of being evicted from their shelter broken down by proximity to the Frontline / Russian border on the admin of overall</t>
  </si>
  <si>
    <t>Households reporting risk of being evicted from their shelter broken down by member with WGSS disability on the admin of overall</t>
  </si>
  <si>
    <t>Households reporting risk of being evicted from their shelter broken down by displacement status of HoH on the admin of overall</t>
  </si>
  <si>
    <t>Households reporting risk of being evicted from their shelter broken down by household size on the admin of overall</t>
  </si>
  <si>
    <t>Households reporting risk of being evicted from their shelter broken down by single/joint headed HHs on the admin of overall</t>
  </si>
  <si>
    <t>Households reporting shelter issues that were NOT caused by the war broken down by rural / urban on the admin of overall</t>
  </si>
  <si>
    <t xml:space="preserve">It is often too hot or too cold inside dwelling / shelter  </t>
  </si>
  <si>
    <t>Lack of lighting inside the dwelling / shelter</t>
  </si>
  <si>
    <t>Lack of lighting outside the dwelling / shelter</t>
  </si>
  <si>
    <t>Lack of privacy (e.g. no doors)</t>
  </si>
  <si>
    <t xml:space="preserve">Lack of space inside dwelling / shelter  </t>
  </si>
  <si>
    <t>Leaks when it rains</t>
  </si>
  <si>
    <t>Limited ventilation (e.g. no or poor air circulation) inside dwelling / shelter</t>
  </si>
  <si>
    <t>Some members of the household have difficulties moving inside or outside the dwelling</t>
  </si>
  <si>
    <t xml:space="preserve">Unable to lock the dwelling / shelter  </t>
  </si>
  <si>
    <t>Households reporting shelter issues that were NOT caused by the war broken down by proximity to the Frontline / Russian border on the admin of overall</t>
  </si>
  <si>
    <t>Households reporting shelter issues that were NOT caused by the war broken down by member with WGSS disability on the admin of overall</t>
  </si>
  <si>
    <t>Households reporting shelter issues that were NOT caused by the war broken down by displacement status of HoH on the admin of overall</t>
  </si>
  <si>
    <t>Households reporting shelter issues that were NOT caused by the war broken down by household size on the admin of overall</t>
  </si>
  <si>
    <t>Households reporting shelter issues that were NOT caused by the war broken down by single/joint headed HHs on the admin of overall</t>
  </si>
  <si>
    <t>Households reporting damage to their current shelter (caused by the war) broken down by rural / urban on the admin of overall</t>
  </si>
  <si>
    <t>Doors</t>
  </si>
  <si>
    <t>Roof</t>
  </si>
  <si>
    <t>Walls</t>
  </si>
  <si>
    <t>Windows</t>
  </si>
  <si>
    <t>Households reporting damage to their current shelter (caused by the war) broken down by proximity to the Frontline / Russian border on the admin of overall</t>
  </si>
  <si>
    <t>Households reporting damage to their current shelter (caused by the war) broken down by member with WGSS disability on the admin of overall</t>
  </si>
  <si>
    <t>Households reporting damage to their current shelter (caused by the war) broken down by displacement status of HoH on the admin of overall</t>
  </si>
  <si>
    <t>Households reporting damage to their current shelter (caused by the war) broken down by household size on the admin of overall</t>
  </si>
  <si>
    <t>Households reporting damage to their current shelter (caused by the war) broken down by single/joint headed HHs on the admin of overall</t>
  </si>
  <si>
    <t>Households assessing shelter damage in their current shelter broken down by rural / urban on the admin of overall</t>
  </si>
  <si>
    <t>Catastrophic / complete</t>
  </si>
  <si>
    <t>Insignificant</t>
  </si>
  <si>
    <t>Major</t>
  </si>
  <si>
    <t>Minor</t>
  </si>
  <si>
    <t>Moderate</t>
  </si>
  <si>
    <t>Households assessing shelter damage in their current shelter broken down by proximity to the Frontline / Russian border on the admin of overall</t>
  </si>
  <si>
    <t>Households assessing shelter damage in their current shelter broken down by member with WGSS disability on the admin of overall</t>
  </si>
  <si>
    <t>Households assessing shelter damage in their current shelter broken down by displacement status of HoH on the admin of overall</t>
  </si>
  <si>
    <t>Households assessing shelter damage in their current shelter broken down by household size on the admin of overall</t>
  </si>
  <si>
    <t>Households assessing shelter damage in their current shelter broken down by single/joint headed HHs on the admin of overall</t>
  </si>
  <si>
    <t>Households reportedly experiencing issues while cooking broken down by rural / urban on the admin of overall</t>
  </si>
  <si>
    <t>No, cannot do</t>
  </si>
  <si>
    <t>No, do not need to cook in current shelter</t>
  </si>
  <si>
    <t>Yes, with issues</t>
  </si>
  <si>
    <t>Yes, without any issues</t>
  </si>
  <si>
    <t>Households reportedly experiencing issues while cooking broken down by proximity to the Frontline / Russian border on the admin of overall</t>
  </si>
  <si>
    <t>Households reportedly experiencing issues while cooking broken down by member with WGSS disability on the admin of overall</t>
  </si>
  <si>
    <t>Households reportedly experiencing issues while cooking broken down by displacement status of HoH on the admin of overall</t>
  </si>
  <si>
    <t>Households reportedly experiencing issues while cooking broken down by household size on the admin of overall</t>
  </si>
  <si>
    <t>Households reportedly experiencing issues while cooking broken down by single/joint headed HHs on the admin of overall</t>
  </si>
  <si>
    <t>Households reportedly experiencing issues while sleeping broken down by rural / urban on the admin of overall</t>
  </si>
  <si>
    <t>Households reportedly experiencing issues while sleeping broken down by proximity to the Frontline / Russian border on the admin of overall</t>
  </si>
  <si>
    <t>Households reportedly experiencing issues while sleeping broken down by member with WGSS disability on the admin of overall</t>
  </si>
  <si>
    <t>Households reportedly experiencing issues while sleeping broken down by displacement status of HoH on the admin of overall</t>
  </si>
  <si>
    <t>Households reportedly experiencing issues while sleeping broken down by household size on the admin of overall</t>
  </si>
  <si>
    <t>Households reportedly experiencing issues while sleeping broken down by single/joint headed HHs on the admin of overall</t>
  </si>
  <si>
    <t>Households reporting main heating source last winter broken down by rural / urban on the admin of overall</t>
  </si>
  <si>
    <t>Briquettes</t>
  </si>
  <si>
    <t>Distrcit heating (centralized, through gas or electricity)</t>
  </si>
  <si>
    <t>Electricity (decentralized)</t>
  </si>
  <si>
    <t>Gas (decentralized)</t>
  </si>
  <si>
    <t>Wood or coal</t>
  </si>
  <si>
    <t>Households reporting main heating source last winter broken down by proximity to the Frontline / Russian border on the admin of overall</t>
  </si>
  <si>
    <t>Households reporting main heating source last winter broken down by member with WGSS disability on the admin of overall</t>
  </si>
  <si>
    <t>Households reporting main heating source last winter broken down by displacement status of HoH on the admin of overall</t>
  </si>
  <si>
    <t>Households reporting main heating source last winter broken down by household size on the admin of overall</t>
  </si>
  <si>
    <t>Households reporting main heating source last winter broken down by single/joint headed HHs on the admin of overall</t>
  </si>
  <si>
    <t>Households reportedly experiencing issues while storing food broken down by rural / urban on the admin of overall</t>
  </si>
  <si>
    <t>Households reportedly experiencing issues while storing food broken down by proximity to the Frontline / Russian border on the admin of overall</t>
  </si>
  <si>
    <t>Households reportedly experiencing issues while storing food broken down by member with WGSS disability on the admin of overall</t>
  </si>
  <si>
    <t>Households reportedly experiencing issues while storing food broken down by displacement status of HoH on the admin of overall</t>
  </si>
  <si>
    <t>Households reportedly experiencing issues while storing food broken down by household size on the admin of overall</t>
  </si>
  <si>
    <t>Households reportedly experiencing issues while storing food broken down by single/joint headed HHs on the admin of overall</t>
  </si>
  <si>
    <t>Households reportedly experiencing issues with electricity broken down by rural / urban on the admin of overall</t>
  </si>
  <si>
    <t xml:space="preserve">Insufficient electricity in terms of strength </t>
  </si>
  <si>
    <t>Intermittent electricity in terms of supply</t>
  </si>
  <si>
    <t>No electricity</t>
  </si>
  <si>
    <t>Households reportedly experiencing issues with electricity broken down by proximity to the Frontline / Russian border on the admin of overall</t>
  </si>
  <si>
    <t>Households reportedly experiencing issues with electricity broken down by member with WGSS disability on the admin of overall</t>
  </si>
  <si>
    <t>Households reportedly experiencing issues with electricity broken down by displacement status of HoH on the admin of overall</t>
  </si>
  <si>
    <t>Households reportedly experiencing issues with electricity broken down by household size on the admin of overall</t>
  </si>
  <si>
    <t>Households reportedly experiencing issues with electricity broken down by single/joint headed HHs on the admin of overall</t>
  </si>
  <si>
    <t>Households reportedly experiencing utility interruptions broken down by rural / urban on the admin of overall</t>
  </si>
  <si>
    <t>Cold water supply</t>
  </si>
  <si>
    <t>Gas (decentralized or centralized)</t>
  </si>
  <si>
    <t>Hot water supply</t>
  </si>
  <si>
    <t>Internet</t>
  </si>
  <si>
    <t>Sewage</t>
  </si>
  <si>
    <t>Households reportedly experiencing utility interruptions broken down by proximity to the Frontline / Russian border on the admin of overall</t>
  </si>
  <si>
    <t>Households reportedly experiencing utility interruptions broken down by member with WGSS disability on the admin of overall</t>
  </si>
  <si>
    <t>Households reportedly experiencing utility interruptions broken down by displacement status of HoH on the admin of overall</t>
  </si>
  <si>
    <t>Households reportedly experiencing utility interruptions broken down by household size on the admin of overall</t>
  </si>
  <si>
    <t>Households reportedly experiencing utility interruptions broken down by single/joint headed HHs on the admin of overall</t>
  </si>
  <si>
    <t>Households reportedly having alternative energy sources  broken down by rural / urban on the admin of overall</t>
  </si>
  <si>
    <t>Households reportedly having alternative energy sources  broken down by proximity to the Frontline / Russian border on the admin of overall</t>
  </si>
  <si>
    <t>Households reportedly having alternative energy sources  broken down by member with WGSS disability on the admin of overall</t>
  </si>
  <si>
    <t>Households reportedly having alternative energy sources  broken down by displacement status of HoH on the admin of overall</t>
  </si>
  <si>
    <t>Households reportedly having alternative energy sources  broken down by household size on the admin of overall</t>
  </si>
  <si>
    <t>Households reportedly having alternative energy sources  broken down by single/joint headed HHs on the admin of overall</t>
  </si>
  <si>
    <t>Households reportedly having access to the Internet broken down by rural / urban on the admin of overall</t>
  </si>
  <si>
    <t xml:space="preserve">Always: 24hrs </t>
  </si>
  <si>
    <t>Never: 0hrs</t>
  </si>
  <si>
    <t>Often: 12-23hrs</t>
  </si>
  <si>
    <t>Sometimes: 1-11hrs</t>
  </si>
  <si>
    <t>Households reportedly having access to the Internet broken down by proximity to the Frontline / Russian border on the admin of overall</t>
  </si>
  <si>
    <t>Households reportedly having access to the Internet broken down by member with WGSS disability on the admin of overall</t>
  </si>
  <si>
    <t>Households reportedly having access to the Internet broken down by displacement status of HoH on the admin of overall</t>
  </si>
  <si>
    <t>Households reportedly having access to the Internet broken down by household size on the admin of overall</t>
  </si>
  <si>
    <t>Households reportedly having access to the Internet broken down by single/joint headed HHs on the admin of overall</t>
  </si>
  <si>
    <t>Households reporting main source of access to the Internet broken down by rural / urban on the admin of overall</t>
  </si>
  <si>
    <t>At community center Wi-Fi/computer</t>
  </si>
  <si>
    <t>At library Wi-Fi/computer</t>
  </si>
  <si>
    <t>From home Wi-Fi/computer</t>
  </si>
  <si>
    <t>From mobile internet network</t>
  </si>
  <si>
    <t>From work Wi-Fi/computer</t>
  </si>
  <si>
    <t>Other public space Wi-Fi/computer</t>
  </si>
  <si>
    <t>Households reporting main source of access to the Internet broken down by proximity to the Frontline / Russian border on the admin of overall</t>
  </si>
  <si>
    <t>Households reporting main source of access to the Internet broken down by member with WGSS disability on the admin of overall</t>
  </si>
  <si>
    <t>Households reporting main source of access to the Internet broken down by displacement status of HoH on the admin of overall</t>
  </si>
  <si>
    <t>Households reporting main source of access to the Internet broken down by household size on the admin of overall</t>
  </si>
  <si>
    <t>Households reporting main source of access to the Internet broken down by single/joint headed HHs on the admin of overall</t>
  </si>
  <si>
    <t>Households reporting distance to the nearest bomb shelter broken down by rural / urban on the admin of overall</t>
  </si>
  <si>
    <t>I am not aware of the location of the nearest bomb shelter</t>
  </si>
  <si>
    <t>Public bomb shelter is more than a 10-minute walk away from the shelter</t>
  </si>
  <si>
    <t>Public bomb shelter located less than a 10-min walk from the shelter</t>
  </si>
  <si>
    <t xml:space="preserve">There is no bomb shelter available </t>
  </si>
  <si>
    <t>Households reporting distance to the nearest bomb shelter broken down by proximity to the Frontline / Russian border on the admin of overall</t>
  </si>
  <si>
    <t>Households reporting distance to the nearest bomb shelter broken down by member with WGSS disability on the admin of overall</t>
  </si>
  <si>
    <t>Households reporting distance to the nearest bomb shelter broken down by displacement status of HoH on the admin of overall</t>
  </si>
  <si>
    <t>Households reporting distance to the nearest bomb shelter broken down by household size on the admin of overall</t>
  </si>
  <si>
    <t>Households reporting distance to the nearest bomb shelter broken down by single/joint headed HHs on the admin of overall</t>
  </si>
  <si>
    <t>Households reporting damage to the shelter in their area of origin (for IDP members) broken down by rural / urban on the admin of overall</t>
  </si>
  <si>
    <t>Nobody in the household is displaced</t>
  </si>
  <si>
    <t>Households reporting damage to the shelter in their area of origin (for IDP members) broken down by proximity to the Frontline / Russian border on the admin of overall</t>
  </si>
  <si>
    <t>Households reporting damage to the shelter in their area of origin (for IDP members) broken down by member with WGSS disability on the admin of overall</t>
  </si>
  <si>
    <t>Households reporting damage to the shelter in their area of origin (for IDP members) broken down by displacement status of HoH on the admin of overall</t>
  </si>
  <si>
    <t>Households reporting damage to the shelter in their area of origin (for IDP members) broken down by household size on the admin of overall</t>
  </si>
  <si>
    <t>Households reporting damage to the shelter in their area of origin (for IDP members) broken down by single/joint headed HHs on the admin of overall</t>
  </si>
  <si>
    <t>Households assessing shelter damage in their shelter in area of origin broken down by rural / urban on the admin of overall</t>
  </si>
  <si>
    <t>Households assessing shelter damage in their shelter in area of origin broken down by proximity to the Frontline / Russian border on the admin of overall</t>
  </si>
  <si>
    <t>Households assessing shelter damage in their shelter in area of origin broken down by member with WGSS disability on the admin of overall</t>
  </si>
  <si>
    <t>Households assessing shelter damage in their shelter in area of origin broken down by displacement status of HoH on the admin of overall</t>
  </si>
  <si>
    <t>Households assessing shelter damage in their shelter in area of origin broken down by household size on the admin of overall</t>
  </si>
  <si>
    <t>Households assessing shelter damage in their shelter in area of origin broken down by single/joint headed HHs on the admin of overall</t>
  </si>
  <si>
    <t>Households reporting their main source of drinking water broken down by rural / urban on the admin of overall</t>
  </si>
  <si>
    <t xml:space="preserve">Bottled water (water purchased in bottles) </t>
  </si>
  <si>
    <t>Cart with small tank / drum</t>
  </si>
  <si>
    <t>Piped into compound, yard or plot</t>
  </si>
  <si>
    <t>Piped to neighbour</t>
  </si>
  <si>
    <t>Protected spring</t>
  </si>
  <si>
    <t xml:space="preserve">Protected well </t>
  </si>
  <si>
    <t>Public tap/standpipe</t>
  </si>
  <si>
    <t xml:space="preserve">Public well or boreholes (shared access) </t>
  </si>
  <si>
    <t>Rainwater collection</t>
  </si>
  <si>
    <t>Sachet water</t>
  </si>
  <si>
    <t xml:space="preserve">Surface water (river, dam, lake, pond, stream, canal, irrigation channel) </t>
  </si>
  <si>
    <t>Tap drinking water / Piped into dwelling</t>
  </si>
  <si>
    <t>Technical piped water</t>
  </si>
  <si>
    <t xml:space="preserve">Trucked in water (truck with a tank etc) </t>
  </si>
  <si>
    <t xml:space="preserve">Unprotected spring </t>
  </si>
  <si>
    <t>Unprotected well</t>
  </si>
  <si>
    <t>Water kiosk (booth with water for bottling)</t>
  </si>
  <si>
    <t>Households reporting their main source of drinking water broken down by proximity to the Frontline / Russian border on the admin of overall</t>
  </si>
  <si>
    <t>Households reporting their main source of drinking water broken down by member with WGSS disability on the admin of overall</t>
  </si>
  <si>
    <t>Households reporting their main source of drinking water broken down by displacement status of HoH on the admin of overall</t>
  </si>
  <si>
    <t>Households reporting their main source of drinking water broken down by household size on the admin of overall</t>
  </si>
  <si>
    <t>Households reporting their main source of drinking water broken down by single/joint headed HHs on the admin of overall</t>
  </si>
  <si>
    <t>Time reported by Households to Fetch Water from Main Source of Water used for Drinking overall broken down by rural / urban on the admin of overall</t>
  </si>
  <si>
    <t>Time reported by Households to Fetch Water from Main Source of Water used for Drinking overall broken down by proximity to the Frontline / Russian border on the admin of overall</t>
  </si>
  <si>
    <t>Time reported by Households to Fetch Water from Main Source of Water used for Drinking overall broken down by member with WGSS disability on the admin of overall</t>
  </si>
  <si>
    <t>Time reported by Households to Fetch Water from Main Source of Water used for Drinking overall broken down by displacement status of HoH on the admin of overall</t>
  </si>
  <si>
    <t>Time reported by Households to Fetch Water from Main Source of Water used for Drinking overall broken down by household size on the admin of overall</t>
  </si>
  <si>
    <t>Time reported by Households to Fetch Water from Main Source of Water used for Drinking overall broken down by single/joint headed HHs on the admin of overall</t>
  </si>
  <si>
    <t>Households assessing drinking water from their main source broken down by rural / urban on the admin of overall</t>
  </si>
  <si>
    <t>Bad</t>
  </si>
  <si>
    <t>Good</t>
  </si>
  <si>
    <t>Neither good nor bad</t>
  </si>
  <si>
    <t>Very bad</t>
  </si>
  <si>
    <t>Very good</t>
  </si>
  <si>
    <t>Households assessing drinking water from their main source broken down by proximity to the Frontline / Russian border on the admin of overall</t>
  </si>
  <si>
    <t>Households assessing drinking water from their main source broken down by member with WGSS disability on the admin of overall</t>
  </si>
  <si>
    <t>Households assessing drinking water from their main source broken down by displacement status of HoH on the admin of overall</t>
  </si>
  <si>
    <t>Households assessing drinking water from their main source broken down by household size on the admin of overall</t>
  </si>
  <si>
    <t>Households assessing drinking water from their main source broken down by single/joint headed HHs on the admin of overall</t>
  </si>
  <si>
    <t>Households reportedly treating drinking water from their main source broken down by rural / urban on the admin of overall</t>
  </si>
  <si>
    <t>No, need to but cannot treat the water</t>
  </si>
  <si>
    <t xml:space="preserve">No, no need to treat the water </t>
  </si>
  <si>
    <t>Households reportedly treating drinking water from their main source broken down by proximity to the Frontline / Russian border on the admin of overall</t>
  </si>
  <si>
    <t>Households reportedly treating drinking water from their main source broken down by member with WGSS disability on the admin of overall</t>
  </si>
  <si>
    <t>Households reportedly treating drinking water from their main source broken down by displacement status of HoH on the admin of overall</t>
  </si>
  <si>
    <t>Households reportedly treating drinking water from their main source broken down by household size on the admin of overall</t>
  </si>
  <si>
    <t>Households reportedly treating drinking water from their main source broken down by single/joint headed HHs on the admin of overall</t>
  </si>
  <si>
    <t>Households reporting days without sufficient drinking water in the last 4 weeks broken down by rural / urban on the admin of overall</t>
  </si>
  <si>
    <t>Households reporting days without sufficient drinking water in the last 4 weeks broken down by proximity to the Frontline / Russian border on the admin of overall</t>
  </si>
  <si>
    <t>Households reporting days without sufficient drinking water in the last 4 weeks broken down by member with WGSS disability on the admin of overall</t>
  </si>
  <si>
    <t>Households reporting days without sufficient drinking water in the last 4 weeks broken down by displacement status of HoH on the admin of overall</t>
  </si>
  <si>
    <t>Households reporting days without sufficient drinking water in the last 4 weeks broken down by household size on the admin of overall</t>
  </si>
  <si>
    <t>Households reporting days without sufficient drinking water in the last 4 weeks broken down by single/joint headed HHs on the admin of overall</t>
  </si>
  <si>
    <t>Households reporting sources of water for domestic purposes broken down by rural / urban on the admin of overall</t>
  </si>
  <si>
    <t>Tanker-truck</t>
  </si>
  <si>
    <t>Households reporting sources of water for domestic purposes broken down by proximity to the Frontline / Russian border on the admin of overall</t>
  </si>
  <si>
    <t>Households reporting sources of water for domestic purposes broken down by member with WGSS disability on the admin of overall</t>
  </si>
  <si>
    <t>Households reporting sources of water for domestic purposes broken down by displacement status of HoH on the admin of overall</t>
  </si>
  <si>
    <t>Households reporting sources of water for domestic purposes broken down by household size on the admin of overall</t>
  </si>
  <si>
    <t>Households reporting sources of water for domestic purposes broken down by single/joint headed HHs on the admin of overall</t>
  </si>
  <si>
    <t>Households reporting having enough water for technical needs broken down by rural / urban on the admin of overall</t>
  </si>
  <si>
    <t>Cooking</t>
  </si>
  <si>
    <t>Flushing toilet</t>
  </si>
  <si>
    <t>Laundry and cleaning</t>
  </si>
  <si>
    <t>Personal hygiene</t>
  </si>
  <si>
    <t>Households reporting having enough water for technical needs broken down by proximity to the Frontline / Russian border on the admin of overall</t>
  </si>
  <si>
    <t>Households reporting having enough water for technical needs broken down by member with WGSS disability on the admin of overall</t>
  </si>
  <si>
    <t>Households reporting having enough water for technical needs broken down by displacement status of HoH on the admin of overall</t>
  </si>
  <si>
    <t>Households reporting having enough water for technical needs broken down by household size on the admin of overall</t>
  </si>
  <si>
    <t>Households reporting having enough water for technical needs broken down by single/joint headed HHs on the admin of overall</t>
  </si>
  <si>
    <t>Households reportedly having issues with performing personal hygiene broken down by rural / urban on the admin of overall</t>
  </si>
  <si>
    <t>Households reportedly having issues with performing personal hygiene broken down by proximity to the Frontline / Russian border on the admin of overall</t>
  </si>
  <si>
    <t>Households reportedly having issues with performing personal hygiene broken down by member with WGSS disability on the admin of overall</t>
  </si>
  <si>
    <t>Households reportedly having issues with performing personal hygiene broken down by displacement status of HoH on the admin of overall</t>
  </si>
  <si>
    <t>Households reportedly having issues with performing personal hygiene broken down by household size on the admin of overall</t>
  </si>
  <si>
    <t>Households reportedly having issues with performing personal hygiene broken down by single/joint headed HHs on the admin of overall</t>
  </si>
  <si>
    <t>Reasons why households reported issues with performing personal hygiene broken down by rural / urban on the admin of overall</t>
  </si>
  <si>
    <t>Availability of hot water</t>
  </si>
  <si>
    <t>Availability of water</t>
  </si>
  <si>
    <t>Inadequate space (e.g. not covered space, leaks when it rains, space not meant for washing)</t>
  </si>
  <si>
    <t>Insufficient essential household items for hygiene (e.g. soap, etc.)</t>
  </si>
  <si>
    <t>Insufficient space (e.g. lack of privacy, partitions)</t>
  </si>
  <si>
    <t>No hygiene facility within the shelter</t>
  </si>
  <si>
    <t>Unsafe space</t>
  </si>
  <si>
    <t>Reasons why households reported issues with performing personal hygiene broken down by proximity to the Frontline / Russian border on the admin of overall</t>
  </si>
  <si>
    <t>Reasons why households reported issues with performing personal hygiene broken down by member with WGSS disability on the admin of overall</t>
  </si>
  <si>
    <t>Reasons why households reported issues with performing personal hygiene broken down by displacement status of HoH on the admin of overall</t>
  </si>
  <si>
    <t>Reasons why households reported issues with performing personal hygiene broken down by household size on the admin of overall</t>
  </si>
  <si>
    <t>Reasons why households reported issues with performing personal hygiene broken down by single/joint headed HHs on the admin of overall</t>
  </si>
  <si>
    <t>Main handwashing facilities reported by households broken down by rural / urban on the admin of overall</t>
  </si>
  <si>
    <t>Fixed facility reported (sink/tap) in dwelling</t>
  </si>
  <si>
    <t>Fixed facility reported (sink/tap) in yard/plot</t>
  </si>
  <si>
    <t>Mobile object reported (bucket/jug/kettle)</t>
  </si>
  <si>
    <t>No handwashing place in dwelling/yard/plot</t>
  </si>
  <si>
    <t>Main handwashing facilities reported by households broken down by proximity to the Frontline / Russian border on the admin of overall</t>
  </si>
  <si>
    <t>Main handwashing facilities reported by households broken down by member with WGSS disability on the admin of overall</t>
  </si>
  <si>
    <t>Main handwashing facilities reported by households broken down by displacement status of HoH on the admin of overall</t>
  </si>
  <si>
    <t>Main handwashing facilities reported by households broken down by household size on the admin of overall</t>
  </si>
  <si>
    <t>Main handwashing facilities reported by households broken down by single/joint headed HHs on the admin of overall</t>
  </si>
  <si>
    <t>Households reportedly having soap in their household broken down by rural / urban on the admin of overall</t>
  </si>
  <si>
    <t>Households reportedly having soap in their household broken down by proximity to the Frontline / Russian border on the admin of overall</t>
  </si>
  <si>
    <t>Households reportedly having soap in their household broken down by member with WGSS disability on the admin of overall</t>
  </si>
  <si>
    <t>Households reportedly having soap in their household broken down by displacement status of HoH on the admin of overall</t>
  </si>
  <si>
    <t>Households reportedly having soap in their household broken down by household size on the admin of overall</t>
  </si>
  <si>
    <t>Households reportedly having soap in their household broken down by single/joint headed HHs on the admin of overall</t>
  </si>
  <si>
    <t>Households reporting main toilet facility in their household broken down by rural / urban on the admin of overall</t>
  </si>
  <si>
    <t xml:space="preserve">Bucket </t>
  </si>
  <si>
    <t>Composting toilet</t>
  </si>
  <si>
    <t xml:space="preserve">Flush to don’t know where </t>
  </si>
  <si>
    <t xml:space="preserve">Flush to elsewhere </t>
  </si>
  <si>
    <t xml:space="preserve">Flush to open drain </t>
  </si>
  <si>
    <t xml:space="preserve">Flush to piped sewer system </t>
  </si>
  <si>
    <t xml:space="preserve">Flush to pit latrine </t>
  </si>
  <si>
    <t xml:space="preserve">Flush to septic tank </t>
  </si>
  <si>
    <t xml:space="preserve">Hanging toilet/hanging latrine </t>
  </si>
  <si>
    <t xml:space="preserve">Pit latrine with slab </t>
  </si>
  <si>
    <t xml:space="preserve">Pit latrine without slab / open pit </t>
  </si>
  <si>
    <t>Households reporting main toilet facility in their household broken down by proximity to the Frontline / Russian border on the admin of overall</t>
  </si>
  <si>
    <t>Households reporting main toilet facility in their household broken down by member with WGSS disability on the admin of overall</t>
  </si>
  <si>
    <t>Households reporting main toilet facility in their household broken down by displacement status of HoH on the admin of overall</t>
  </si>
  <si>
    <t>Households reporting main toilet facility in their household broken down by household size on the admin of overall</t>
  </si>
  <si>
    <t>Households reporting main toilet facility in their household broken down by single/joint headed HHs on the admin of overall</t>
  </si>
  <si>
    <t>Households that reportedly share their sanitation facility broken down by rural / urban on the admin of overall</t>
  </si>
  <si>
    <t>Households that reportedly share their sanitation facility broken down by proximity to the Frontline / Russian border on the admin of overall</t>
  </si>
  <si>
    <t>Households that reportedly share their sanitation facility broken down by member with WGSS disability on the admin of overall</t>
  </si>
  <si>
    <t>Households that reportedly share their sanitation facility broken down by displacement status of HoH on the admin of overall</t>
  </si>
  <si>
    <t>Households that reportedly share their sanitation facility broken down by household size on the admin of overall</t>
  </si>
  <si>
    <t>Households that reportedly share their sanitation facility broken down by single/joint headed HHs on the admin of overall</t>
  </si>
  <si>
    <t>Number of Households Sharing Sanitation Facility Reported overall broken down by rural / urban on the admin of overall</t>
  </si>
  <si>
    <t>Number of Households Sharing Sanitation Facility Reported overall broken down by proximity to the Frontline / Russian border on the admin of overall</t>
  </si>
  <si>
    <t>Number of Households Sharing Sanitation Facility Reported overall broken down by member with WGSS disability on the admin of overall</t>
  </si>
  <si>
    <t>Number of Households Sharing Sanitation Facility Reported overall broken down by displacement status of HoH on the admin of overall</t>
  </si>
  <si>
    <t>Number of Households Sharing Sanitation Facility Reported overall broken down by household size on the admin of overall</t>
  </si>
  <si>
    <t>Number of Households Sharing Sanitation Facility Reported overall broken down by single/joint headed HHs on the admin of overall</t>
  </si>
  <si>
    <t>Households reportedly having access to adequate toilets broken down by rural / urban on the admin of overall</t>
  </si>
  <si>
    <t>Households reportedly having access to adequate toilets broken down by proximity to the Frontline / Russian border on the admin of overall</t>
  </si>
  <si>
    <t>Households reportedly having access to adequate toilets broken down by member with WGSS disability on the admin of overall</t>
  </si>
  <si>
    <t>Households reportedly having access to adequate toilets broken down by displacement status of HoH on the admin of overall</t>
  </si>
  <si>
    <t>Households reportedly having access to adequate toilets broken down by household size on the admin of overall</t>
  </si>
  <si>
    <t>Households reportedly having access to adequate toilets broken down by single/joint headed HHs on the admin of overall</t>
  </si>
  <si>
    <t>Most Common Garbage Disposal Method Reported by Households broken down by rural / urban on the admin of overall</t>
  </si>
  <si>
    <t>We burn all the garbage</t>
  </si>
  <si>
    <t>We dispose of garbage in unauthorized places (like forests, fields, etc.)</t>
  </si>
  <si>
    <t>We partially burn garbage and dispose of the rest in a pit latrine or similar</t>
  </si>
  <si>
    <t>We sort waste and recycle</t>
  </si>
  <si>
    <t>We take the garbage to a designated dumpsite ourselves</t>
  </si>
  <si>
    <t>We use a specialized waste collection service for regular disposal</t>
  </si>
  <si>
    <t>Most Common Garbage Disposal Method Reported by Households broken down by proximity to the Frontline / Russian border on the admin of overall</t>
  </si>
  <si>
    <t>Most Common Garbage Disposal Method Reported by Households broken down by member with WGSS disability on the admin of overall</t>
  </si>
  <si>
    <t>Most Common Garbage Disposal Method Reported by Households broken down by displacement status of HoH on the admin of overall</t>
  </si>
  <si>
    <t>Most Common Garbage Disposal Method Reported by Households broken down by household size on the admin of overall</t>
  </si>
  <si>
    <t>Most Common Garbage Disposal Method Reported by Households broken down by single/joint headed HHs on the admin of overall</t>
  </si>
  <si>
    <t>Households reportedly facing issues with their sewage broken down by rural / urban on the admin of overall</t>
  </si>
  <si>
    <t>No, my household does not handle this service</t>
  </si>
  <si>
    <t>No, there are no problems</t>
  </si>
  <si>
    <t xml:space="preserve">Yes, emptying the sewage is not possible due to technical reasons (peculiarities of construction, it is impossible to reach it by car, etc.) </t>
  </si>
  <si>
    <t>Yes, it is dirty</t>
  </si>
  <si>
    <t xml:space="preserve">Yes, it is expensive, high price of the service </t>
  </si>
  <si>
    <t>Yes, other (specify)</t>
  </si>
  <si>
    <t xml:space="preserve">Yes, pumping services are not available in the area </t>
  </si>
  <si>
    <t xml:space="preserve">Yes, special car/service refuses to come </t>
  </si>
  <si>
    <t>Households reportedly facing issues with their sewage broken down by proximity to the Frontline / Russian border on the admin of overall</t>
  </si>
  <si>
    <t>Households reportedly facing issues with their sewage broken down by member with WGSS disability on the admin of overall</t>
  </si>
  <si>
    <t>Households reportedly facing issues with their sewage broken down by displacement status of HoH on the admin of overall</t>
  </si>
  <si>
    <t>Households reportedly facing issues with their sewage broken down by household size on the admin of overall</t>
  </si>
  <si>
    <t>Households reportedly facing issues with their sewage broken down by single/joint headed HHs on the admin of overall</t>
  </si>
  <si>
    <t>Households reportedly struggling to obtain enough money to cover basic needs broken down by rural / urban on the admin of overall</t>
  </si>
  <si>
    <t>Households reportedly struggling to obtain enough money to cover basic needs broken down by proximity to the Frontline / Russian border on the admin of overall</t>
  </si>
  <si>
    <t>Households reportedly struggling to obtain enough money to cover basic needs broken down by member with WGSS disability on the admin of overall</t>
  </si>
  <si>
    <t>Households reportedly struggling to obtain enough money to cover basic needs broken down by displacement status of HoH on the admin of overall</t>
  </si>
  <si>
    <t>Households reportedly struggling to obtain enough money to cover basic needs broken down by household size on the admin of overall</t>
  </si>
  <si>
    <t>Households reportedly struggling to obtain enough money to cover basic needs broken down by single/joint headed HHs on the admin of overall</t>
  </si>
  <si>
    <t>Main Challenges Reported by Households to Obtain Money to Meet Basic Needs broken down by rural / urban on the admin of overall</t>
  </si>
  <si>
    <t>Did not receive pensions / social benefits</t>
  </si>
  <si>
    <t>Did not receive salary or wages</t>
  </si>
  <si>
    <t>Lack of livelihood opportunities / unemployment</t>
  </si>
  <si>
    <t>Pensions / social benefit amounts were too low</t>
  </si>
  <si>
    <t>Prices increased</t>
  </si>
  <si>
    <t>Salary or wages were too low</t>
  </si>
  <si>
    <t>Unable to access money because could not travel to financial institution (e.g. due to safety concerns, no transportation, etc.)</t>
  </si>
  <si>
    <t>Unable to access money because financial institution not functioning or partially functioning (e.g. banks closed)</t>
  </si>
  <si>
    <t>Main Challenges Reported by Households to Obtain Money to Meet Basic Needs broken down by proximity to the Frontline / Russian border on the admin of overall</t>
  </si>
  <si>
    <t>Main Challenges Reported by Households to Obtain Money to Meet Basic Needs broken down by member with WGSS disability on the admin of overall</t>
  </si>
  <si>
    <t>Main Challenges Reported by Households to Obtain Money to Meet Basic Needs broken down by displacement status of HoH on the admin of overall</t>
  </si>
  <si>
    <t>Main Challenges Reported by Households to Obtain Money to Meet Basic Needs broken down by household size on the admin of overall</t>
  </si>
  <si>
    <t>Main Challenges Reported by Households to Obtain Money to Meet Basic Needs broken down by single/joint headed HHs on the admin of overall</t>
  </si>
  <si>
    <t>Reduced Coping Strategies Index (rCSI) broken down by rural / urban on the admin of overall</t>
  </si>
  <si>
    <t>High</t>
  </si>
  <si>
    <t>Low</t>
  </si>
  <si>
    <t>Medium</t>
  </si>
  <si>
    <t>Reduced Coping Strategies Index (rCSI) broken down by proximity to the Frontline / Russian border on the admin of overall</t>
  </si>
  <si>
    <t>Reduced Coping Strategies Index (rCSI) broken down by member with WGSS disability on the admin of overall</t>
  </si>
  <si>
    <t>Reduced Coping Strategies Index (rCSI) broken down by displacement status of HoH on the admin of overall</t>
  </si>
  <si>
    <t>Reduced Coping Strategies Index (rCSI) broken down by household size on the admin of overall</t>
  </si>
  <si>
    <t>Reduced Coping Strategies Index (rCSI) broken down by single/joint headed HHs on the admin of overall</t>
  </si>
  <si>
    <t>Household Hunger Scale (HHS) broken down by rural / urban on the admin of overall</t>
  </si>
  <si>
    <t>No or little</t>
  </si>
  <si>
    <t>Severe</t>
  </si>
  <si>
    <t>Household Hunger Scale (HHS) broken down by proximity to the Frontline / Russian border on the admin of overall</t>
  </si>
  <si>
    <t>Household Hunger Scale (HHS) broken down by member with WGSS disability on the admin of overall</t>
  </si>
  <si>
    <t>Household Hunger Scale (HHS) broken down by displacement status of HoH on the admin of overall</t>
  </si>
  <si>
    <t>Household Hunger Scale (HHS) broken down by household size on the admin of overall</t>
  </si>
  <si>
    <t>Household Hunger Scale (HHS) broken down by single/joint headed HHs on the admin of overall</t>
  </si>
  <si>
    <t>K_2 Households reporting first most significant challenge their household currently faces broken down by gender of respondents on the admin of overall</t>
  </si>
  <si>
    <t>perc_K_2 Households reporting first most significant challenge their household currently faces</t>
  </si>
  <si>
    <t>perc_K_2 Households reporting second most significant challenge their household currently faces</t>
  </si>
  <si>
    <t>perc_K_2 Households reporting third most significant challenge their household currently faces</t>
  </si>
  <si>
    <t>Children in household not attending school or receiving insufficient education</t>
  </si>
  <si>
    <t>Household members feeling very distressed, upset, sad, worried, scared, or angry</t>
  </si>
  <si>
    <t>Lack of /insufficient access a suitable living space (e.g. housing is damaged, housing is sub-standard, etc.)</t>
  </si>
  <si>
    <t>Lack of /insufficient access to a clean toilet and washing place</t>
  </si>
  <si>
    <t>Lack of /insufficient access to adequate healthcare</t>
  </si>
  <si>
    <t>Lack of /insufficient access to communication means</t>
  </si>
  <si>
    <t>Lack of /insufficient access to energy (e.g. heating, lighting, electricity, cooking fuels, etc.)</t>
  </si>
  <si>
    <t>Lack of /insufficient access to enough water for drinking</t>
  </si>
  <si>
    <t xml:space="preserve">Lack of /insufficient access to enough water for non-drinking purposes </t>
  </si>
  <si>
    <t>Lack of /insufficient access to government social services</t>
  </si>
  <si>
    <t>Lack of /insufficient access to humanitarian aid</t>
  </si>
  <si>
    <t>Lack of /insufficient access to job / livelihoods</t>
  </si>
  <si>
    <t>Lack of /insufficient access to legal system</t>
  </si>
  <si>
    <t>Lack of /insufficient access to necessary non-food items (e.g. winter clothing, light bulbs, etc.)</t>
  </si>
  <si>
    <t>Lack of /insufficient access to productive assets (e.g. any items used to help generate income, ex. sewing machine, tools)</t>
  </si>
  <si>
    <t>Lack of /insufficient access to sufficient quantity or quality of food</t>
  </si>
  <si>
    <t>Lack of / insufficient heating during the winter</t>
  </si>
  <si>
    <t xml:space="preserve">Lack of /insufficient income or money </t>
  </si>
  <si>
    <t>Lack of safety or protection due to conflict, violence, or crime</t>
  </si>
  <si>
    <t>Women do not feel safe enough in the community</t>
  </si>
  <si>
    <t>Lack of /insufficient access to hygiene materials (e.g. cleaning products, soap, etc.)</t>
  </si>
  <si>
    <t>K_2 Households reporting first most significant challenge their household currently faces broken down by age of respondents on the admin of overall</t>
  </si>
  <si>
    <t>K_2 Households reporting first most significant challenge their household currently faces broken down by rural / urban on the admin of overall</t>
  </si>
  <si>
    <t>K_2 Households reporting first most significant challenge their household currently faces broken down by proximity to the Frontline / Russian border on the admin of overall</t>
  </si>
  <si>
    <t>K_2 Households reporting first most significant challenge their household currently faces broken down by member with WGSS disability on the admin of overall</t>
  </si>
  <si>
    <t>K_2 Households reporting first most significant challenge their household currently faces broken down by displacement status of HoH on the admin of overall</t>
  </si>
  <si>
    <t>K_2 Households reporting first most significant challenge their household currently faces broken down by household size on the admin of overall</t>
  </si>
  <si>
    <t>K_2 Households reporting first most significant challenge their household currently faces broken down by single/joint headed HHs on the admin of overall</t>
  </si>
  <si>
    <t>Support households reportedly would like to receive broken down by gender of respondent on the admin of overall</t>
  </si>
  <si>
    <t>Access to energy (lighting, electricity, cooking fuels) </t>
  </si>
  <si>
    <t>Access to fuel sources for winter heating </t>
  </si>
  <si>
    <t>Cash </t>
  </si>
  <si>
    <t>Communication means </t>
  </si>
  <si>
    <t>Dignity kits </t>
  </si>
  <si>
    <t>E-recovery programme (benefits for damaged housing) </t>
  </si>
  <si>
    <t>Education for children under 18 </t>
  </si>
  <si>
    <t>Feminine hygiene products </t>
  </si>
  <si>
    <t>Food </t>
  </si>
  <si>
    <t>Healthcare </t>
  </si>
  <si>
    <t>Legal services (e.g. access to civil documentation) </t>
  </si>
  <si>
    <t>Livelihoods support / employment </t>
  </si>
  <si>
    <t>Monthly assistance to IDPs </t>
  </si>
  <si>
    <t>Nutrition (e.g. special nutritious foods for child/PLW, infant formula, nutrition supplements)</t>
  </si>
  <si>
    <t>One-time cash assistance to injured persons and IDPs </t>
  </si>
  <si>
    <t>Other essential household and personal items (clothes, blanket, cooking items, sleeping items, storing food) </t>
  </si>
  <si>
    <t>Other essential hygiene items (e.g. cleaning products, soap, etc.) </t>
  </si>
  <si>
    <t>Psychosocial support </t>
  </si>
  <si>
    <t>Sanitation services (e.g. toilets, waste collection) </t>
  </si>
  <si>
    <t>Shelter / housing (excluding E-recovery programme) </t>
  </si>
  <si>
    <t>Support debt repayment</t>
  </si>
  <si>
    <t>Support for protection / safety (e.g. training on mines and UXOs) </t>
  </si>
  <si>
    <t>Water for drinking</t>
  </si>
  <si>
    <t>Water for non-drinking purposes</t>
  </si>
  <si>
    <t>Support households reportedly would like to receive broken down by age of respondents on the admin of overall</t>
  </si>
  <si>
    <t>Support households reportedly would like to receive broken down by rural / urban on the admin of overall</t>
  </si>
  <si>
    <t>Support households reportedly would like to receive broken down by proximity to the Frontline / Russian border on the admin of overall</t>
  </si>
  <si>
    <t>Support households reportedly would like to receive broken down by member with WGSS disability on the admin of overall</t>
  </si>
  <si>
    <t>Support households reportedly would like to receive broken down by displacement status of HoH on the admin of overall</t>
  </si>
  <si>
    <t>Support households reportedly would like to receive broken down by household size on the admin of overall</t>
  </si>
  <si>
    <t>Support households reportedly would like to receive broken down by single/joint headed HHs on the admin of overall</t>
  </si>
  <si>
    <t>Aid households reportedly would like to receive broken down by gender of respondent on the admin of overall</t>
  </si>
  <si>
    <t>Cash (one multipurpose payment)</t>
  </si>
  <si>
    <t>Cash (separate payments)</t>
  </si>
  <si>
    <t>In-kind</t>
  </si>
  <si>
    <t>Other modality (specify)</t>
  </si>
  <si>
    <t>Services</t>
  </si>
  <si>
    <t>Vouchers</t>
  </si>
  <si>
    <t>Aid households reportedly would like to receive broken down by age of respondents on the admin of overall</t>
  </si>
  <si>
    <t>Aid households reportedly would like to receive broken down by rural / urban on the admin of overall</t>
  </si>
  <si>
    <t>Aid households reportedly would like to receive broken down by proximity to the Frontline / Russian border on the admin of overall</t>
  </si>
  <si>
    <t>Aid households reportedly would like to receive broken down by member with WGSS disability on the admin of overall</t>
  </si>
  <si>
    <t>Aid households reportedly would like to receive broken down by displacement status of HoH on the admin of overall</t>
  </si>
  <si>
    <t>Aid households reportedly would like to receive broken down by household size on the admin of overall</t>
  </si>
  <si>
    <t>Aid households reportedly would like to receive broken down by single/joint headed HHs on the admin of overall</t>
  </si>
  <si>
    <t>Preferred modality of assistance per aid type broken down by gender of respondent on the admin of overall</t>
  </si>
  <si>
    <t>perc_K_6 Type of assisstance (feminine hygiene aid) households would like to receive</t>
  </si>
  <si>
    <t>perc_K_7 Type of assisstance (other hygiene items) households would like to receive</t>
  </si>
  <si>
    <t>perc_K_8 Type of assisstance (non-food items) households would like to receive</t>
  </si>
  <si>
    <t>perc_K_9 Type of assisstance (education) households would like to receive</t>
  </si>
  <si>
    <t>perc_K_10 Type of assisstance (fuel sources for heating) households would like to receive</t>
  </si>
  <si>
    <t>Yes, in-cash</t>
  </si>
  <si>
    <t>Yes, in-kind</t>
  </si>
  <si>
    <t>Yes, services</t>
  </si>
  <si>
    <t>K_11 Households Reported to have Received Humanitarian Assistance in the Last 12 months broken down by gender of respondent on the admin of overall</t>
  </si>
  <si>
    <t>1 to 3 months ago</t>
  </si>
  <si>
    <t>4 to 6 months ago</t>
  </si>
  <si>
    <t>7 to 12 months ago</t>
  </si>
  <si>
    <t>In the past 30 days</t>
  </si>
  <si>
    <t>More than 12 months ago</t>
  </si>
  <si>
    <t>Never receieved aid</t>
  </si>
  <si>
    <t>Preferred modality of assistance per aid type broken down by age of respondents on the admin of overall</t>
  </si>
  <si>
    <t>K_11 Households Reported to have Received Humanitarian Assistance in the Last 12 months broken down by age of respondents on the admin of overall</t>
  </si>
  <si>
    <t>Preferred modality of assistance per aid type broken down by rural / urban on the admin of overall</t>
  </si>
  <si>
    <t>K_11 Households Reported to have Received Humanitarian Assistance in the Last 12 months broken down by rural / urban on the admin of overall</t>
  </si>
  <si>
    <t>Preferred modality of assistance per aid type broken down by proximity to the Frontline / Russian border on the admin of overall</t>
  </si>
  <si>
    <t>K_11 Households Reported to have Received Humanitarian Assistance in the Last 12 months broken down by proximity to the Frontline / Russian border on the admin of overall</t>
  </si>
  <si>
    <t>Preferred modality of assistance per aid type broken down by member with WGSS disability on the admin of overall</t>
  </si>
  <si>
    <t>K_11 Households Reported to have Received Humanitarian Assistance in the Last 12 months broken down by member with WGSS disability on the admin of overall</t>
  </si>
  <si>
    <t>Preferred modality of assistance per aid type broken down by displacement status of HoH on the admin of overall</t>
  </si>
  <si>
    <t>K_11 Households Reported to have Received Humanitarian Assistance in the Last 12 months broken down by displacement status of HoH on the admin of overall</t>
  </si>
  <si>
    <t>Preferred modality of assistance per aid type broken down by household size on the admin of overall</t>
  </si>
  <si>
    <t>K_11 Households Reported to have Received Humanitarian Assistance in the Last 12 months broken down by household size on the admin of overall</t>
  </si>
  <si>
    <t>Preferred modality of assistance per aid type broken down by single/joint headed HHs on the admin of overall</t>
  </si>
  <si>
    <t>K_11 Households Reported to have Received Humanitarian Assistance in the Last 12 months broken down by single/joint headed HHs on the admin of overall</t>
  </si>
  <si>
    <t>Barriers Households reportedly faced during accessing aid broken down by gender of respondent on the admin of overall</t>
  </si>
  <si>
    <t>Did not attempt to receive any assistance in the past 12 months</t>
  </si>
  <si>
    <t>Yes, assistance not (regularly) available or functioning in area</t>
  </si>
  <si>
    <t>Yes, assistance not meeting household's needs</t>
  </si>
  <si>
    <t xml:space="preserve">Yes, difficulty to physically access assistance (e.g. long distances) </t>
  </si>
  <si>
    <t>Yes, discrimination</t>
  </si>
  <si>
    <t xml:space="preserve">Yes, do not have enough information on how assistance works and/or is provided </t>
  </si>
  <si>
    <t xml:space="preserve">Yes, do not have enough information on how to register for assistance </t>
  </si>
  <si>
    <t>Yes, do not have necessary documents</t>
  </si>
  <si>
    <t>Yes, fear of conscription</t>
  </si>
  <si>
    <t>Yes, feeling unsafe accessing assistance</t>
  </si>
  <si>
    <t>Yes, limited access to transport to access assistance</t>
  </si>
  <si>
    <t>Yes, not considered as eligible</t>
  </si>
  <si>
    <t>Yes, quality of assistance is poor</t>
  </si>
  <si>
    <t>Yes, registration process is too long/complicated</t>
  </si>
  <si>
    <t xml:space="preserve">Yes, request for bribe or other corruption challenges </t>
  </si>
  <si>
    <t>Barriers Households reportedly faced during accessing aid broken down by age of respondents on the admin of overall</t>
  </si>
  <si>
    <t>Barriers Households reportedly faced during accessing aid broken down by rural / urban on the admin of overall</t>
  </si>
  <si>
    <t>Barriers Households reportedly faced during accessing aid broken down by proximity to the Frontline / Russian border on the admin of overall</t>
  </si>
  <si>
    <t>Barriers Households reportedly faced during accessing aid broken down by member with WGSS disability on the admin of overall</t>
  </si>
  <si>
    <t>Barriers Households reportedly faced during accessing aid broken down by displacement status of HoH on the admin of overall</t>
  </si>
  <si>
    <t>Barriers Households reportedly faced during accessing aid broken down by household size on the admin of overall</t>
  </si>
  <si>
    <t>Barriers Households reportedly faced during accessing aid broken down by single/joint headed HHs on the admin of overall</t>
  </si>
  <si>
    <t>Aid satisfaction reported by households broken down by gender of respondent on the admin of overall</t>
  </si>
  <si>
    <t>Dissatisfied</t>
  </si>
  <si>
    <t xml:space="preserve">Neither satisfied nor dissatisfied </t>
  </si>
  <si>
    <t>Satisfied</t>
  </si>
  <si>
    <t xml:space="preserve">Very Dissatisfied </t>
  </si>
  <si>
    <t>Very satisfied</t>
  </si>
  <si>
    <t>Aid satisfaction reported by households broken down by age of respondents on the admin of overall</t>
  </si>
  <si>
    <t>Aid satisfaction reported by households broken down by rural / urban on the admin of overall</t>
  </si>
  <si>
    <t>Aid satisfaction reported by households broken down by proximity to the Frontline / Russian border on the admin of overall</t>
  </si>
  <si>
    <t>Aid satisfaction reported by households broken down by member with WGSS disability on the admin of overall</t>
  </si>
  <si>
    <t>Aid satisfaction reported by households broken down by displacement status of HoH on the admin of overall</t>
  </si>
  <si>
    <t>Aid satisfaction reported by households broken down by household size on the admin of overall</t>
  </si>
  <si>
    <t>Aid satisfaction reported by households broken down by single/joint headed HHs on the admin of overall</t>
  </si>
  <si>
    <t>Information Households would like to receive from aid providers broken down by gender of respondent on the admin of overall</t>
  </si>
  <si>
    <t xml:space="preserve">Finding missing people </t>
  </si>
  <si>
    <t>How to find work</t>
  </si>
  <si>
    <t>How to get healthcare/medical attention</t>
  </si>
  <si>
    <t>How to get help and stay safe from attack or harassment</t>
  </si>
  <si>
    <t>How to get more money/financial support</t>
  </si>
  <si>
    <t>How to get shelter/accommodation/shelter materials</t>
  </si>
  <si>
    <t>How to get water, food or nutrition</t>
  </si>
  <si>
    <t>How to register for aid</t>
  </si>
  <si>
    <t>How to replace personal documentation (e.g. birth certificate, ID)</t>
  </si>
  <si>
    <t>Information about possible return to place of origin</t>
  </si>
  <si>
    <t>Information about relocation (abroad or within Ukraine) and/or evacuation</t>
  </si>
  <si>
    <t>Information on how to complain about aid / aid providers</t>
  </si>
  <si>
    <t>Legal rights to housing, land and property</t>
  </si>
  <si>
    <t>Security situation and general updates on Ukraine</t>
  </si>
  <si>
    <t>Information Households would like to receive from aid providers broken down by age of respondents on the admin of overall</t>
  </si>
  <si>
    <t>Information Households would like to receive from aid providers broken down by rural / urban on the admin of overall</t>
  </si>
  <si>
    <t>Information Households would like to receive from aid providers broken down by proximity to the Frontline / Russian border on the admin of overall</t>
  </si>
  <si>
    <t>Information Households would like to receive from aid providers broken down by member with WGSS disability on the admin of overall</t>
  </si>
  <si>
    <t>Information Households would like to receive from aid providers broken down by displacement status of HoH on the admin of overall</t>
  </si>
  <si>
    <t>Information Households would like to receive from aid providers broken down by household size on the admin of overall</t>
  </si>
  <si>
    <t>Information Households would like to receive from aid providers broken down by single/joint headed HHs on the admin of overall</t>
  </si>
  <si>
    <t>Peferred mean of communication reported by households broken down by gender of respondent on the admin of overall</t>
  </si>
  <si>
    <t>Billboards, posters, leaflets</t>
  </si>
  <si>
    <t>Email</t>
  </si>
  <si>
    <t>Face-to-face (community leader/neighbors, family, friends/church, or religious leader</t>
  </si>
  <si>
    <t>Government Websites</t>
  </si>
  <si>
    <t>Messaging (including Viper, Telegram, etc.)</t>
  </si>
  <si>
    <t>Online news sites/newspapers/magazines</t>
  </si>
  <si>
    <t>Other internet platforms</t>
  </si>
  <si>
    <t>Phone call</t>
  </si>
  <si>
    <t>Printed newspapers/magazines</t>
  </si>
  <si>
    <t>Radio</t>
  </si>
  <si>
    <t>Social Media</t>
  </si>
  <si>
    <t xml:space="preserve">TV Station/Channel </t>
  </si>
  <si>
    <t>Peferred mean of communication reported by households broken down by age of respondents on the admin of overall</t>
  </si>
  <si>
    <t>Peferred mean of communication reported by households broken down by rural / urban on the admin of overall</t>
  </si>
  <si>
    <t>Peferred mean of communication reported by households broken down by proximity to the Frontline / Russian border on the admin of overall</t>
  </si>
  <si>
    <t>Peferred mean of communication reported by households broken down by member with WGSS disability on the admin of overall</t>
  </si>
  <si>
    <t>Peferred mean of communication reported by households broken down by displacement status of HoH on the admin of overall</t>
  </si>
  <si>
    <t>Peferred mean of communication reported by households broken down by household size on the admin of overall</t>
  </si>
  <si>
    <t>Peferred mean of communication reported by households broken down by single/joint headed HHs on the admin of overall</t>
  </si>
  <si>
    <t>Households reportedly feeling involved in aid distribution broken down by gender of respondent on the admin of overall</t>
  </si>
  <si>
    <t>Households reportedly feeling involved in aid distribution broken down by age of respondents on the admin of overall</t>
  </si>
  <si>
    <t>Households reportedly feeling involved in aid distribution broken down by rural / urban on the admin of overall</t>
  </si>
  <si>
    <t>Households reportedly feeling involved in aid distribution broken down by proximity to the Frontline / Russian border on the admin of overall</t>
  </si>
  <si>
    <t>Households reportedly feeling involved in aid distribution broken down by member with WGSS disability on the admin of overall</t>
  </si>
  <si>
    <t>Households reportedly feeling involved in aid distribution broken down by displacement status of HoH on the admin of overall</t>
  </si>
  <si>
    <t>Households reportedly feeling involved in aid distribution broken down by household size on the admin of overall</t>
  </si>
  <si>
    <t>Households reportedly feeling involved in aid distribution broken down by single/joint headed HHs on the admin of overall</t>
  </si>
  <si>
    <t>Preferred language of communication with aid providers broken down by gender of respondent on the admin of overall</t>
  </si>
  <si>
    <t>Bulgarian</t>
  </si>
  <si>
    <t>Gagauz</t>
  </si>
  <si>
    <t>Hungarian</t>
  </si>
  <si>
    <t>Moldovan</t>
  </si>
  <si>
    <t>Romani</t>
  </si>
  <si>
    <t>Romanian</t>
  </si>
  <si>
    <t>Russian</t>
  </si>
  <si>
    <t xml:space="preserve">Ukrainian </t>
  </si>
  <si>
    <t>Preferred language of communication with aid providers broken down by age of respondents on the admin of overall</t>
  </si>
  <si>
    <t>Preferred language of communication with aid providers broken down by rural / urban on the admin of overall</t>
  </si>
  <si>
    <t>Preferred language of communication with aid providers broken down by proximity to the Frontline / Russian border on the admin of overall</t>
  </si>
  <si>
    <t>Preferred language of communication with aid providers broken down by member with WGSS disability on the admin of overall</t>
  </si>
  <si>
    <t>Preferred language of communication with aid providers broken down by displacement status of HoH on the admin of overall</t>
  </si>
  <si>
    <t>Preferred language of communication with aid providers broken down by household size on the admin of overall</t>
  </si>
  <si>
    <t>Preferred language of communication with aid providers broken down by single/joint headed HHs on the admin of overall</t>
  </si>
  <si>
    <t>Households reporting to experience cuts in assisstance from the government broken down by gender of respondent on the admin of overall</t>
  </si>
  <si>
    <t>Other(specify)</t>
  </si>
  <si>
    <t>Yes pensions for people with disabilities</t>
  </si>
  <si>
    <t>Yes retirement pension</t>
  </si>
  <si>
    <t>Yes, IDP allowance, </t>
  </si>
  <si>
    <t>Yes, social assistance for families with low income</t>
  </si>
  <si>
    <t>Yes, social payments for the unemployed</t>
  </si>
  <si>
    <t>Households reporting to experience cuts in assisstance from the government broken down by age of respondents on the admin of overall</t>
  </si>
  <si>
    <t>Households reporting to experience cuts in assisstance from the government broken down by rural / urban on the admin of overall</t>
  </si>
  <si>
    <t>Households reporting to experience cuts in assisstance from the government broken down by proximity to the Frontline / Russian border on the admin of overall</t>
  </si>
  <si>
    <t>Households reporting to experience cuts in assisstance from the government broken down by member with WGSS disability on the admin of overall</t>
  </si>
  <si>
    <t>Households reporting to experience cuts in assisstance from the government broken down by displacement status of HoH on the admin of overall</t>
  </si>
  <si>
    <t>Households reporting to experience cuts in assisstance from the government broken down by household size on the admin of overall</t>
  </si>
  <si>
    <t>Households reporting to experience cuts in assisstance from the government broken down by single/joint headed HHs on the admin of overall</t>
  </si>
  <si>
    <t>Households reportedly requiring legal assisstance broken down by gender of respondent on the admin of overall</t>
  </si>
  <si>
    <t>Yes, other reason (specify)</t>
  </si>
  <si>
    <t>Yes, to access pensions for IDPs</t>
  </si>
  <si>
    <t>Yes, to access social benefits</t>
  </si>
  <si>
    <t>Yes, to apply for IDP allowance</t>
  </si>
  <si>
    <t>Yes, to apply for compensation for damaged or destroyed property</t>
  </si>
  <si>
    <t>Yes, to apply for utility subsidies</t>
  </si>
  <si>
    <t>Yes, to obtain civil documents (birth, death, marriage, divorce)</t>
  </si>
  <si>
    <t>Yes, to obtain identity documents</t>
  </si>
  <si>
    <t>Yes, to obtain property documentation</t>
  </si>
  <si>
    <t>Yes, to resolve issues related to labour law</t>
  </si>
  <si>
    <t>Households reportedly requiring legal assisstance broken down by age of respondents on the admin of overall</t>
  </si>
  <si>
    <t>Households reportedly requiring legal assisstance broken down by rural / urban on the admin of overall</t>
  </si>
  <si>
    <t>Households reportedly requiring legal assisstance broken down by proximity to the Frontline / Russian border on the admin of overall</t>
  </si>
  <si>
    <t>Households reportedly requiring legal assisstance broken down by member with WGSS disability on the admin of overall</t>
  </si>
  <si>
    <t>Households reportedly requiring legal assisstance broken down by displacement status of HoH on the admin of overall</t>
  </si>
  <si>
    <t>Households reportedly requiring legal assisstance broken down by household size on the admin of overall</t>
  </si>
  <si>
    <t>Households reportedly requiring legal assisstance broken down by single/joint headed HHs on the admin of overall</t>
  </si>
  <si>
    <t>Households reportedly requiring services provided by the government broken down by gender of respondent on the admin of overall</t>
  </si>
  <si>
    <t>Households reportedly requiring services provided by the government broken down by age of respondents on the admin of overall</t>
  </si>
  <si>
    <t>Households reportedly requiring services provided by the government broken down by rural / urban on the admin of overall</t>
  </si>
  <si>
    <t>Households reportedly requiring services provided by the government broken down by proximity to the Frontline / Russian border on the admin of overall</t>
  </si>
  <si>
    <t>Households reportedly requiring services provided by the government broken down by member with WGSS disability on the admin of overall</t>
  </si>
  <si>
    <t>Households reportedly requiring services provided by the government broken down by displacement status of HoH on the admin of overall</t>
  </si>
  <si>
    <t>Households reportedly requiring services provided by the government broken down by household size on the admin of overall</t>
  </si>
  <si>
    <t>Households reportedly requiring services provided by the government broken down by single/joint headed HHs on the admin of overall</t>
  </si>
  <si>
    <t>Households reportedly facing barriers while accessing services provided by the government broken down by gender of respondent on the admin of overall</t>
  </si>
  <si>
    <t>Yes, discrimination against specific social groups</t>
  </si>
  <si>
    <t xml:space="preserve">Yes, distance, lack of, or cost for transportation to relevant facilities  </t>
  </si>
  <si>
    <t xml:space="preserve">Yes, insufficient number of social workers to provide services </t>
  </si>
  <si>
    <t>Yes, lack of available services</t>
  </si>
  <si>
    <t>Yes, lack of information about available services</t>
  </si>
  <si>
    <t>Yes, limited services for people with disability</t>
  </si>
  <si>
    <t>Yes, services are not always functional</t>
  </si>
  <si>
    <t>Yes, social workers from State institutions do not visit location often</t>
  </si>
  <si>
    <t>Yes, the quality of services is not adequate</t>
  </si>
  <si>
    <t>Households reportedly facing barriers while accessing services provided by the government broken down by age of respondents on the admin of overall</t>
  </si>
  <si>
    <t>Households reportedly facing barriers while accessing services provided by the government broken down by rural / urban on the admin of overall</t>
  </si>
  <si>
    <t>Households reportedly facing barriers while accessing services provided by the government broken down by proximity to the Frontline / Russian border on the admin of overall</t>
  </si>
  <si>
    <t>Households reportedly facing barriers while accessing services provided by the government broken down by member with WGSS disability on the admin of overall</t>
  </si>
  <si>
    <t>Households reportedly facing barriers while accessing services provided by the government broken down by displacement status of HoH on the admin of overall</t>
  </si>
  <si>
    <t>Households reportedly facing barriers while accessing services provided by the government broken down by household size on the admin of overall</t>
  </si>
  <si>
    <t>Households reportedly facing barriers while accessing services provided by the government broken down by single/joint headed HHs on the admin of overall</t>
  </si>
  <si>
    <t>Households reporting available services for women in their community broken down by gender of respondent on the admin of overall</t>
  </si>
  <si>
    <t>Childcare or elderly care support</t>
  </si>
  <si>
    <t>Educational support</t>
  </si>
  <si>
    <t>Health services, not including reproductive health</t>
  </si>
  <si>
    <t xml:space="preserve">Legal </t>
  </si>
  <si>
    <t>Livelihood services, excluding vocational training</t>
  </si>
  <si>
    <t>Psychosocial support</t>
  </si>
  <si>
    <t xml:space="preserve">Recreational activities </t>
  </si>
  <si>
    <t>Reproductive health services</t>
  </si>
  <si>
    <t>Services for victims of violence</t>
  </si>
  <si>
    <t>Support for care providers for children or elderly</t>
  </si>
  <si>
    <t>Support for persons with disabilities</t>
  </si>
  <si>
    <t>Vocational training</t>
  </si>
  <si>
    <t>Households reporting available services for women in their community broken down by age of respondents on the admin of overall</t>
  </si>
  <si>
    <t>Households reporting available services for women in their community broken down by rural / urban on the admin of overall</t>
  </si>
  <si>
    <t>Households reporting available services for women in their community broken down by proximity to the Frontline / Russian border on the admin of overall</t>
  </si>
  <si>
    <t>Households reporting available services for women in their community broken down by member with WGSS disability on the admin of overall</t>
  </si>
  <si>
    <t>Households reporting available services for women in their community broken down by displacement status of HoH on the admin of overall</t>
  </si>
  <si>
    <t>Households reporting available services for women in their community broken down by household size on the admin of overall</t>
  </si>
  <si>
    <t>Households reporting available services for women in their community broken down by single/joint headed HHs on the admin of overall</t>
  </si>
  <si>
    <t>Households reporting needed services related to children's well-being  broken down by gender of respondent on the admin of overall</t>
  </si>
  <si>
    <t>Childcare (incl. nursery, pre-school)</t>
  </si>
  <si>
    <t>Health services</t>
  </si>
  <si>
    <t>Legal</t>
  </si>
  <si>
    <t>Mental health and psychosocial support</t>
  </si>
  <si>
    <t>Social support for families</t>
  </si>
  <si>
    <t>Households reporting needed services related to children's well-being  broken down by age of respondents on the admin of overall</t>
  </si>
  <si>
    <t>Households reporting needed services related to children's well-being  broken down by rural / urban on the admin of overall</t>
  </si>
  <si>
    <t>Households reporting needed services related to children's well-being  broken down by proximity to the Frontline / Russian border on the admin of overall</t>
  </si>
  <si>
    <t>Households reporting needed services related to children's well-being  broken down by member with WGSS disability on the admin of overall</t>
  </si>
  <si>
    <t>Households reporting needed services related to children's well-being  broken down by displacement status of HoH on the admin of overall</t>
  </si>
  <si>
    <t>Households reporting needed services related to children's well-being  broken down by household size on the admin of overall</t>
  </si>
  <si>
    <t>Households reporting needed services related to children's well-being  broken down by single/joint headed HHs on the admin of overall</t>
  </si>
  <si>
    <t>Percentage of households adopting reduced coping strategies, by strategy (rCSI) broken down by rural / urban on the admin of overall</t>
  </si>
  <si>
    <t>perc_Households relying on less preferred and less expensive food to cope wLM Over the Last 7 Days</t>
  </si>
  <si>
    <t>perc_Households that had to borrow food or rely on help from a relative or friend to cope wLM Over the Last 7 Days</t>
  </si>
  <si>
    <t>perc_Households that had to limit portion size of meals at meal times to cope wLM Over the Last 7 Days</t>
  </si>
  <si>
    <t>perc_Households that had to restrict consumption by adults in order for small children to eat to cope wLM Over the Last 7 Days Prior</t>
  </si>
  <si>
    <t xml:space="preserve">perc_Households that had to reduce number of meals eaten in a day to cope wLM Over the Last 7 Days </t>
  </si>
  <si>
    <t>no</t>
  </si>
  <si>
    <t>yes</t>
  </si>
  <si>
    <t>Percentage of households adopting reduced coping strategies, by strategy (rCSI) broken down by proximity to the Frontline / Russian border on the admin of overall</t>
  </si>
  <si>
    <t>Percentage of households adopting reduced coping strategies, by strategy (rCSI) broken down by member with WGSS disability on the admin of overall</t>
  </si>
  <si>
    <t>Percentage of households adopting reduced coping strategies, by strategy (rCSI) broken down by IDP household on the admin of overall</t>
  </si>
  <si>
    <t>IDP</t>
  </si>
  <si>
    <t>Percentage of households adopting reduced coping strategies, by strategy (rCSI) broken down by household size on the admin of overall</t>
  </si>
  <si>
    <t>Percentage of households adopting reduced coping strategies, by strategy (rCSI) broken down by single/joint headed HHs on the admin of overall</t>
  </si>
  <si>
    <t>Household income Per Capita over the 30 days prior to data collection, by types of income source broken down by rural / urban on the admin of overall</t>
  </si>
  <si>
    <t>mean_J_29 Estimated Household's Income (Salaried work) Over the Last 30 days by Types of Income Source Per Capita</t>
  </si>
  <si>
    <t>median_J_29 Estimated Household's Income (Salaried work) Over the Last 30 days by Types of Income Source Per Capita</t>
  </si>
  <si>
    <t>min_J_29 Estimated Household's Income (Salaried work) Over the Last 30 days by Types of Income Source Per Capita</t>
  </si>
  <si>
    <t>max_J_29 Estimated Household's Income (Salaried work) Over the Last 30 days by Types of Income Source Per Capita</t>
  </si>
  <si>
    <t>mean_J_30 Estimated Household's Income (Casual or daily labour) Over the Last 30 days by Types of Income Source Per Capita</t>
  </si>
  <si>
    <t>median_J_30 Estimated Household's Income (Casual or daily labour) Over the Last 30 days by Types of Income Source Per Capita</t>
  </si>
  <si>
    <t>min_J_30 Estimated Household's Income (Casual or daily labour) Over the Last 30 days by Types of Income Source Per Capita</t>
  </si>
  <si>
    <t>max_J_30 Estimated Household's Income (Casual or daily labour) Over the Last 30 days by Types of Income Source Per Capita</t>
  </si>
  <si>
    <t>mean_J_31 Estimated Household's Income (Own business or regular trade) Over the Last 30 days by Types of Income Source Per Capita</t>
  </si>
  <si>
    <t>median_J_31 Estimated Household's Income (Own business or regular trade) Over the Last 30 days by Types of Income Source Per Capita</t>
  </si>
  <si>
    <t>min_J_31 Estimated Household's Income (Own business or regular trade) Over the Last 30 days by Types of Income Source Per Capita</t>
  </si>
  <si>
    <t>max_J_31 Estimated Household's Income (Own business or regular trade) Over the Last 30 days by Types of Income Source Per Capita</t>
  </si>
  <si>
    <t>mean_J_32 Estimated Household's Income (Own production) Over the Last 30 days by Types of Income Source Per Capita</t>
  </si>
  <si>
    <t>median_J_32 Estimated Household's Income (Own production) Over the Last 30 days by Types of Income Source Per Capita</t>
  </si>
  <si>
    <t>min_J_32 Estimated Household's Income (Own production) Over the Last 30 days by Types of Income Source Per Capita</t>
  </si>
  <si>
    <t>max_J_32 Estimated Household's Income (Own production) Over the Last 30 days by Types of Income Source Per Capita</t>
  </si>
  <si>
    <t>mean_J_33 Estimated Household's Income (IDP benefits from government) Over the Last 30 days by Types of Income Source Per Capita</t>
  </si>
  <si>
    <t>median_J_33 Estimated Household's Income (IDP benefits from government) Over the Last 30 days by Types of Income Source Per Capita</t>
  </si>
  <si>
    <t>min_J_33 Estimated Household's Income (IDP benefits from government) Over the Last 30 days by Types of Income Source Per Capita</t>
  </si>
  <si>
    <t>max_J_33 Estimated Household's Income (IDP benefits from government) Over the Last 30 days by Types of Income Source Per Capita</t>
  </si>
  <si>
    <t>mean_J_34 Estimated Household's Income (Pension) Over the Last 30 days by Types of Income Source Per Capita</t>
  </si>
  <si>
    <t>median_J_34 Estimated Household's Income (Pension) Over the Last 30 days by Types of Income Source Per Capita</t>
  </si>
  <si>
    <t>min_J_34 Estimated Household's Income (Pension) Over the Last 30 days by Types of Income Source Per Capita</t>
  </si>
  <si>
    <t>max_J_34 Estimated Household's Income (Pension) Over the Last 30 days by Types of Income Source Per Capita</t>
  </si>
  <si>
    <t>mean_J_35 Estimated Household's Income (Other government social benefits or assistance) Over the Last 30 days by Types of Income Source Per Capita</t>
  </si>
  <si>
    <t>median_J_35 Estimated Household's Income (Other government social benefits or assistance) Over the Last 30 days by Types of Income Source Per Capita</t>
  </si>
  <si>
    <t>min_J_35 Estimated Household's Income (Other government social benefits or assistance) Over the Last 30 days by Types of Income Source Per Capita</t>
  </si>
  <si>
    <t>max_J_35 Estimated Household's Income (Other government social benefits or assistance) Over the Last 30 days by Types of Income Source Per Capita</t>
  </si>
  <si>
    <t>mean_J_36 Estimated Household's Income (Rent) Over the Last 30 days by Types of Income Source Per Capita</t>
  </si>
  <si>
    <t>median_J_36 Estimated Household's Income (Rent) Over the Last 30 days by Types of Income Source Per Capita</t>
  </si>
  <si>
    <t>min_J_36 Estimated Household's Income (Rent) Over the Last 30 days by Types of Income Source Per Capita</t>
  </si>
  <si>
    <t>max_J_36 Estimated Household's Income (Rent) Over the Last 30 days by Types of Income Source Per Capita</t>
  </si>
  <si>
    <t>mean_J_37 Estimated Household's Income (Remittances) Over the Last 30 days by Types of Income Source Per Capita</t>
  </si>
  <si>
    <t>median_J_37 Estimated Household's Income (Remittances) Over the Last 30 days by Types of Income Source Per Capita</t>
  </si>
  <si>
    <t>min_J_37 Estimated Household's Income (Remittances) Over the Last 30 days by Types of Income Source Per Capita</t>
  </si>
  <si>
    <t>max_J_37 Estimated Household's Income (Remittances) Over the Last 30 days by Types of Income Source Per Capita</t>
  </si>
  <si>
    <t>mean_J_38 Estimated Household's Income (Humanitarian aid) Over the Last 30 days by Types of Income Source Per Capita</t>
  </si>
  <si>
    <t>median_J_38 Estimated Household's Income (Humanitarian aid) Over the Last 30 days by Types of Income Source Per Capita</t>
  </si>
  <si>
    <t>min_J_38 Estimated Household's Income (Humanitarian aid) Over the Last 30 days by Types of Income Source Per Capita</t>
  </si>
  <si>
    <t>max_J_38 Estimated Household's Income (Humanitarian aid) Over the Last 30 days by Types of Income Source Per Capita</t>
  </si>
  <si>
    <t>mean_J_39 Estimated Household's Income (Loans or support from family and friends within Ukraine) Over the Last 30 days by Types of Income Source Per Capita</t>
  </si>
  <si>
    <t>median_J_39 Estimated Household's Income (Loans or support from family and friends within Ukraine) Over the Last 30 days by Types of Income Source Per Capita</t>
  </si>
  <si>
    <t>min_J_39 Estimated Household's Income (Loans or support from family and friends within Ukraine) Over the Last 30 days by Types of Income Source Per Capita</t>
  </si>
  <si>
    <t>max_J_39 Estimated Household's Income (Loans or support from family and friends within Ukraine) Over the Last 30 days by Types of Income Source Per Capita</t>
  </si>
  <si>
    <t>mean_J_40 Estimated Household's Income (Loans, support, or charitable donations from community members) Over the Last 30 days by Types of Income Source Per Capita</t>
  </si>
  <si>
    <t>median_J_40 Estimated Household's Income (Loans, support, or charitable donations from community members) Over the Last 30 days by Types of Income Source Per Capita</t>
  </si>
  <si>
    <t>min_J_40 Estimated Household's Income (Loans, support, or charitable donations from community members) Over the Last 30 days by Types of Income Source Per Capita</t>
  </si>
  <si>
    <t>max_J_40 Estimated Household's Income (Loans, support, or charitable donations from community members) Over the Last 30 days by Types of Income Source Per Capita</t>
  </si>
  <si>
    <t>mean_J_41 Estimated Household's Income (Other) Over the Last 30 days by Types of Income Source Per Capita</t>
  </si>
  <si>
    <t>median_J_41 Estimated Household's Income (Other) Over the Last 30 days by Types of Income Source Per Capita</t>
  </si>
  <si>
    <t>min_J_41 Estimated Household's Income (Other) Over the Last 30 days by Types of Income Source Per Capita</t>
  </si>
  <si>
    <t>max_J_41 Estimated Household's Income (Other) Over the Last 30 days by Types of Income Source Per Capita</t>
  </si>
  <si>
    <t>Household income Per Capita over the 30 days prior to data collection, by types of income source broken down by proximity to the Frontline / Russian border on the admin of overall</t>
  </si>
  <si>
    <t>Household income Per Capita over the 30 days prior to data collection, by types of income source broken down by member with WGSS disability on the admin of overall</t>
  </si>
  <si>
    <t>Household income Per Capita over the 30 days prior to data collection, by types of income source broken down by displacement status of HoH on the admin of overall</t>
  </si>
  <si>
    <t>Household income Per Capita over the 30 days prior to data collection, by types of income source broken down by household size on the admin of overall</t>
  </si>
  <si>
    <t>Household income Per Capita over the 30 days prior to data collection, by types of income source broken down by single/joint headed HHs on the admin of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</si>
</sst>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rgb="FF0000FF"/>
      <name val="Calibri"/>
      <family val="2"/>
      <charset val="204"/>
    </font>
    <font>
      <b/>
      <sz val="11"/>
      <name val="Calibri"/>
      <family val="2"/>
      <charset val="204"/>
    </font>
    <font>
      <sz val="11"/>
      <color theme="1"/>
      <name val="Calibri"/>
      <family val="2"/>
      <scheme val="minor"/>
    </font>
    <font>
      <b/>
      <sz val="11"/>
      <color theme="1"/>
      <name val="Calibri"/>
      <family val="2"/>
      <scheme val="minor"/>
    </font>
    <font>
      <b/>
      <sz val="18"/>
      <color rgb="FF000000"/>
      <name val="Arial Narrow"/>
      <family val="2"/>
    </font>
    <font>
      <b/>
      <sz val="11"/>
      <color rgb="FFFFFFFF"/>
      <name val="Arial Narrow"/>
      <family val="2"/>
    </font>
    <font>
      <b/>
      <sz val="10"/>
      <name val="Arial Narrow"/>
      <family val="2"/>
    </font>
    <font>
      <sz val="10"/>
      <name val="Arial Narrow"/>
      <family val="2"/>
    </font>
    <font>
      <sz val="11"/>
      <color rgb="FF000000"/>
      <name val="Arial Narrow"/>
      <family val="2"/>
    </font>
    <font>
      <b/>
      <sz val="16"/>
      <color rgb="FFFFFFFF"/>
      <name val="Calibri"/>
      <family val="2"/>
      <scheme val="minor"/>
    </font>
    <font>
      <b/>
      <sz val="12"/>
      <name val="Calibri"/>
      <family val="2"/>
    </font>
    <font>
      <b/>
      <sz val="20"/>
      <color rgb="FF000000"/>
      <name val="Arial Narrow"/>
      <family val="2"/>
    </font>
    <font>
      <b/>
      <u/>
      <sz val="14"/>
      <color rgb="FF000000"/>
      <name val="Arial Narrow"/>
      <family val="2"/>
    </font>
    <font>
      <b/>
      <sz val="14"/>
      <color theme="1"/>
      <name val="Calibri"/>
      <family val="2"/>
      <scheme val="minor"/>
    </font>
    <font>
      <b/>
      <sz val="14"/>
      <color rgb="FFFF000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 fillId="0" borderId="0"/>
  </cellStyleXfs>
  <cellXfs count="32">
    <xf numFmtId="0" fontId="0" fillId="0" borderId="0" xfId="0"/>
    <xf numFmtId="10" fontId="0" fillId="0" borderId="0" xfId="0" applyNumberFormat="1"/>
    <xf numFmtId="0" fontId="6" fillId="2" borderId="1" xfId="1" applyFont="1" applyFill="1" applyBorder="1" applyAlignment="1">
      <alignment horizontal="left" vertical="top" wrapText="1"/>
    </xf>
    <xf numFmtId="0" fontId="7" fillId="3" borderId="1" xfId="1" applyFont="1" applyFill="1" applyBorder="1" applyAlignment="1">
      <alignment horizontal="center" vertical="center" wrapText="1"/>
    </xf>
    <xf numFmtId="0" fontId="8" fillId="3" borderId="1" xfId="1" applyFont="1" applyFill="1" applyBorder="1" applyAlignment="1">
      <alignment horizontal="left" vertical="top" wrapText="1"/>
    </xf>
    <xf numFmtId="0" fontId="7" fillId="0" borderId="1" xfId="1" applyFont="1" applyBorder="1" applyAlignment="1">
      <alignment horizontal="center" vertical="center" wrapText="1"/>
    </xf>
    <xf numFmtId="0" fontId="8" fillId="0" borderId="1" xfId="1" applyFont="1" applyBorder="1" applyAlignment="1">
      <alignment horizontal="left" vertical="top" wrapText="1"/>
    </xf>
    <xf numFmtId="0" fontId="8" fillId="4" borderId="1" xfId="1" applyFont="1" applyFill="1" applyBorder="1" applyAlignment="1">
      <alignment horizontal="left" vertical="top"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4" xfId="1" applyFont="1" applyBorder="1" applyAlignment="1">
      <alignment horizontal="left" vertical="top" wrapText="1"/>
    </xf>
    <xf numFmtId="0" fontId="8" fillId="0" borderId="0" xfId="1" applyFont="1" applyAlignment="1">
      <alignment horizontal="left" vertical="top" wrapText="1"/>
    </xf>
    <xf numFmtId="0" fontId="4" fillId="0" borderId="0" xfId="0" applyFont="1"/>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1" fillId="0" borderId="0" xfId="0" applyFont="1"/>
    <xf numFmtId="0" fontId="12" fillId="0" borderId="0" xfId="1" applyFont="1" applyAlignment="1">
      <alignment horizontal="center" vertical="center" wrapText="1"/>
    </xf>
    <xf numFmtId="0" fontId="13" fillId="0" borderId="0" xfId="1"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wrapText="1"/>
    </xf>
    <xf numFmtId="0" fontId="18" fillId="0" borderId="0" xfId="0" applyFont="1" applyAlignment="1">
      <alignment horizontal="center" vertical="center"/>
    </xf>
    <xf numFmtId="0" fontId="18" fillId="0" borderId="0" xfId="0" applyFont="1" applyAlignment="1">
      <alignment vertical="center"/>
    </xf>
    <xf numFmtId="0" fontId="5" fillId="0" borderId="1" xfId="1" applyFont="1" applyBorder="1" applyAlignment="1">
      <alignment horizontal="center" vertical="center" wrapText="1"/>
    </xf>
    <xf numFmtId="14" fontId="7" fillId="0" borderId="1" xfId="1" applyNumberFormat="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cellXfs>
  <cellStyles count="2">
    <cellStyle name="Normal" xfId="0" builtinId="0"/>
    <cellStyle name="Normal 2" xfId="1" xr:uid="{9ABF3DAF-CBD3-44E7-94C0-7808AA4E660C}"/>
  </cellStyles>
  <dxfs count="8">
    <dxf>
      <font>
        <b/>
        <i val="0"/>
        <color theme="0"/>
      </font>
      <fill>
        <patternFill>
          <bgColor rgb="FFFF5050"/>
        </patternFill>
      </fill>
    </dxf>
    <dxf>
      <font>
        <b/>
        <i val="0"/>
        <strike val="0"/>
        <condense val="0"/>
        <extend val="0"/>
        <outline val="0"/>
        <shadow val="0"/>
        <u val="none"/>
        <vertAlign val="baseline"/>
        <sz val="11"/>
        <color rgb="FF0000FF"/>
        <name val="Calibri"/>
        <family val="2"/>
        <charset val="204"/>
        <scheme val="none"/>
      </font>
    </dxf>
    <dxf>
      <font>
        <b/>
        <i val="0"/>
        <strike val="0"/>
        <condense val="0"/>
        <extend val="0"/>
        <outline val="0"/>
        <shadow val="0"/>
        <u val="none"/>
        <vertAlign val="baseline"/>
        <sz val="11"/>
        <color auto="1"/>
        <name val="Calibri"/>
        <family val="2"/>
        <charset val="204"/>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rgb="FFFFFFFF"/>
        <name val="Calibri"/>
        <family val="2"/>
        <scheme val="minor"/>
      </font>
      <fill>
        <patternFill patternType="solid">
          <fgColor rgb="FFD63F40"/>
          <bgColor rgb="FFEE585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597647</xdr:colOff>
      <xdr:row>0</xdr:row>
      <xdr:rowOff>254000</xdr:rowOff>
    </xdr:from>
    <xdr:to>
      <xdr:col>7</xdr:col>
      <xdr:colOff>283509</xdr:colOff>
      <xdr:row>2</xdr:row>
      <xdr:rowOff>443753</xdr:rowOff>
    </xdr:to>
    <xdr:pic>
      <xdr:nvPicPr>
        <xdr:cNvPr id="2" name="Picture 1">
          <a:extLst>
            <a:ext uri="{FF2B5EF4-FFF2-40B4-BE49-F238E27FC236}">
              <a16:creationId xmlns:a16="http://schemas.microsoft.com/office/drawing/2014/main" id="{FEDD355A-D0DA-91E0-9C8A-7C15E4CAC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6059" y="254000"/>
          <a:ext cx="2748803"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11140</xdr:colOff>
      <xdr:row>4</xdr:row>
      <xdr:rowOff>223</xdr:rowOff>
    </xdr:from>
    <xdr:to>
      <xdr:col>2</xdr:col>
      <xdr:colOff>4545263</xdr:colOff>
      <xdr:row>4</xdr:row>
      <xdr:rowOff>2617983</xdr:rowOff>
    </xdr:to>
    <mc:AlternateContent xmlns:mc="http://schemas.openxmlformats.org/markup-compatibility/2006" xmlns:sle15="http://schemas.microsoft.com/office/drawing/2012/slicer">
      <mc:Choice Requires="sle15">
        <xdr:graphicFrame macro="">
          <xdr:nvGraphicFramePr>
            <xdr:cNvPr id="4" name="Sector">
              <a:extLst>
                <a:ext uri="{FF2B5EF4-FFF2-40B4-BE49-F238E27FC236}">
                  <a16:creationId xmlns:a16="http://schemas.microsoft.com/office/drawing/2014/main" id="{14151956-649A-C9A7-9C7D-6CBA9CE40F8B}"/>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623859" y="1593293"/>
              <a:ext cx="6149474" cy="2617760"/>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22280</xdr:colOff>
      <xdr:row>4</xdr:row>
      <xdr:rowOff>78206</xdr:rowOff>
    </xdr:from>
    <xdr:to>
      <xdr:col>4</xdr:col>
      <xdr:colOff>6027599</xdr:colOff>
      <xdr:row>4</xdr:row>
      <xdr:rowOff>2602331</xdr:rowOff>
    </xdr:to>
    <mc:AlternateContent xmlns:mc="http://schemas.openxmlformats.org/markup-compatibility/2006" xmlns:sle15="http://schemas.microsoft.com/office/drawing/2012/slicer">
      <mc:Choice Requires="sle15">
        <xdr:graphicFrame macro="">
          <xdr:nvGraphicFramePr>
            <xdr:cNvPr id="5" name="Indicator">
              <a:extLst>
                <a:ext uri="{FF2B5EF4-FFF2-40B4-BE49-F238E27FC236}">
                  <a16:creationId xmlns:a16="http://schemas.microsoft.com/office/drawing/2014/main" id="{C14B6BE0-60BD-6C07-0F6B-3C4E46AA9D19}"/>
                </a:ext>
              </a:extLst>
            </xdr:cNvPr>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7753684" y="1671276"/>
              <a:ext cx="7152106" cy="2524125"/>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9F0ED968-106B-4150-80F5-DC0FC0BACBBB}" sourceName="Sector">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75615CDC-EE8D-4F45-8DB5-D9A04A5C8596}" sourceName="Indicator">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or" xr10:uid="{DE47EB42-F7C2-411C-B46F-AB2BEC676051}" cache="Slicer_Sector" caption="Sector" startItem="4" style="SlicerStyleLight2" rowHeight="241300"/>
  <slicer name="Indicator" xr10:uid="{62FFF021-8F13-439E-9347-D0F16E05A7EB}" cache="Slicer_Indicator" caption="Indicator" startItem="15"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E1284A-67D7-44FC-9A5D-5BE746F39A0D}" name="Table2" displayName="Table2" ref="B6:E942" totalsRowShown="0" headerRowDxfId="7" headerRowBorderDxfId="5" tableBorderDxfId="6" headerRowCellStyle="Normal 2">
  <autoFilter ref="B6:E942" xr:uid="{E4E1284A-67D7-44FC-9A5D-5BE746F39A0D}">
    <filterColumn colId="0">
      <filters>
        <filter val="Livelihoods"/>
      </filters>
    </filterColumn>
    <filterColumn colId="1">
      <filters>
        <filter val="Total income per capita among those who reported any income"/>
      </filters>
    </filterColumn>
  </autoFilter>
  <tableColumns count="4">
    <tableColumn id="1" xr3:uid="{C71E77A2-261E-4CF6-A64D-6B252C6BF6F3}" name="Sector" dataDxfId="4"/>
    <tableColumn id="2" xr3:uid="{EFB21A2A-F1CE-4C34-B7B3-27BCB22A7954}" name="Indicator" dataDxfId="3"/>
    <tableColumn id="3" xr3:uid="{44E14C69-48D4-47A4-A296-EC685761A07F}" name="Table ID" dataDxfId="2"/>
    <tableColumn id="4" xr3:uid="{91810FB1-1634-4C29-A0F6-84D894D48E85}" name="Link to Frequency Tab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7E79-705A-44EB-80AD-73F369E25FD5}">
  <dimension ref="A1:B12"/>
  <sheetViews>
    <sheetView topLeftCell="A3" zoomScale="85" zoomScaleNormal="80" workbookViewId="0">
      <selection activeCell="H3" sqref="H3"/>
    </sheetView>
  </sheetViews>
  <sheetFormatPr defaultRowHeight="14.45"/>
  <cols>
    <col min="1" max="1" width="32.85546875" customWidth="1"/>
    <col min="2" max="2" width="145.5703125" bestFit="1" customWidth="1"/>
  </cols>
  <sheetData>
    <row r="1" spans="1:2" ht="22.5">
      <c r="A1" s="28" t="s">
        <v>0</v>
      </c>
      <c r="B1" s="28"/>
    </row>
    <row r="2" spans="1:2">
      <c r="A2" s="2" t="s">
        <v>1</v>
      </c>
      <c r="B2" s="2" t="s">
        <v>2</v>
      </c>
    </row>
    <row r="3" spans="1:2" ht="409.5">
      <c r="A3" s="3" t="s">
        <v>3</v>
      </c>
      <c r="B3" s="4" t="s">
        <v>4</v>
      </c>
    </row>
    <row r="4" spans="1:2" ht="156.94999999999999" customHeight="1">
      <c r="A4" s="5" t="s">
        <v>5</v>
      </c>
      <c r="B4" s="6" t="s">
        <v>6</v>
      </c>
    </row>
    <row r="5" spans="1:2" ht="261" customHeight="1" thickBot="1">
      <c r="A5" s="3" t="s">
        <v>7</v>
      </c>
      <c r="B5" s="7" t="s">
        <v>8</v>
      </c>
    </row>
    <row r="6" spans="1:2">
      <c r="A6" s="29" t="s">
        <v>9</v>
      </c>
      <c r="B6" s="8" t="s">
        <v>10</v>
      </c>
    </row>
    <row r="7" spans="1:2" ht="15" thickBot="1">
      <c r="A7" s="29"/>
      <c r="B7" s="9" t="s">
        <v>11</v>
      </c>
    </row>
    <row r="8" spans="1:2">
      <c r="A8" s="10"/>
      <c r="B8" s="11"/>
    </row>
    <row r="9" spans="1:2">
      <c r="A9" s="2" t="s">
        <v>12</v>
      </c>
      <c r="B9" s="2" t="s">
        <v>2</v>
      </c>
    </row>
    <row r="10" spans="1:2">
      <c r="A10" s="4" t="s">
        <v>13</v>
      </c>
      <c r="B10" s="4" t="s">
        <v>14</v>
      </c>
    </row>
    <row r="11" spans="1:2" ht="26.1">
      <c r="A11" s="4" t="s">
        <v>15</v>
      </c>
      <c r="B11" s="4" t="s">
        <v>16</v>
      </c>
    </row>
    <row r="12" spans="1:2">
      <c r="A12" s="4" t="s">
        <v>17</v>
      </c>
      <c r="B12" s="4" t="s">
        <v>18</v>
      </c>
    </row>
  </sheetData>
  <mergeCells count="2">
    <mergeCell ref="A1:B1"/>
    <mergeCell ref="A6:A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42"/>
  <sheetViews>
    <sheetView showGridLines="0" topLeftCell="C5" zoomScale="84" zoomScaleNormal="85" workbookViewId="0">
      <selection activeCell="E390" sqref="E390"/>
    </sheetView>
  </sheetViews>
  <sheetFormatPr defaultRowHeight="14.45"/>
  <cols>
    <col min="2" max="2" width="23.140625" customWidth="1"/>
    <col min="3" max="3" width="78.7109375" customWidth="1"/>
    <col min="4" max="4" width="12.5703125" customWidth="1"/>
    <col min="5" max="5" width="90.42578125" customWidth="1"/>
  </cols>
  <sheetData>
    <row r="1" spans="1:5" ht="38.450000000000003" customHeight="1">
      <c r="A1" s="30" t="s">
        <v>19</v>
      </c>
      <c r="B1" s="31"/>
      <c r="C1" s="31"/>
      <c r="D1" s="31"/>
      <c r="E1" s="31"/>
    </row>
    <row r="2" spans="1:5" ht="38.450000000000003" customHeight="1">
      <c r="A2" s="19"/>
      <c r="B2" s="20" t="s">
        <v>20</v>
      </c>
      <c r="C2" s="19"/>
      <c r="D2" s="19"/>
      <c r="E2" s="19"/>
    </row>
    <row r="3" spans="1:5" ht="32.450000000000003" customHeight="1">
      <c r="B3" s="21" t="s">
        <v>21</v>
      </c>
      <c r="D3" s="21" t="s">
        <v>22</v>
      </c>
      <c r="E3" s="12"/>
    </row>
    <row r="4" spans="1:5" ht="15.6" customHeight="1">
      <c r="B4" s="21"/>
      <c r="D4" s="22" t="s">
        <v>23</v>
      </c>
      <c r="E4" s="12"/>
    </row>
    <row r="5" spans="1:5" ht="210.6" customHeight="1">
      <c r="B5" s="23"/>
      <c r="D5" s="23"/>
      <c r="E5" s="12"/>
    </row>
    <row r="6" spans="1:5" ht="21">
      <c r="B6" s="14" t="s">
        <v>24</v>
      </c>
      <c r="C6" s="13" t="s">
        <v>25</v>
      </c>
      <c r="D6" s="13" t="s">
        <v>26</v>
      </c>
      <c r="E6" s="15" t="s">
        <v>27</v>
      </c>
    </row>
    <row r="7" spans="1:5" ht="15.6" hidden="1">
      <c r="B7" s="16" t="s">
        <v>28</v>
      </c>
      <c r="C7" s="17" t="s">
        <v>29</v>
      </c>
      <c r="D7" s="24">
        <v>2</v>
      </c>
      <c r="E7" s="18" t="str">
        <f>HYPERLINK("#'Data'!A1", "Age of respondents broken down by rural / urban on the admin of overall mean")</f>
        <v>Age of respondents broken down by rural / urban on the admin of overall mean</v>
      </c>
    </row>
    <row r="8" spans="1:5" ht="15.6" hidden="1">
      <c r="B8" s="16" t="s">
        <v>28</v>
      </c>
      <c r="C8" s="17" t="s">
        <v>29</v>
      </c>
      <c r="D8" s="24">
        <v>3</v>
      </c>
      <c r="E8" s="18" t="str">
        <f>HYPERLINK("#'Data'!A7", "Age of respondents broken down by proximity to the Frontline / Russian border on the admin of overall mean")</f>
        <v>Age of respondents broken down by proximity to the Frontline / Russian border on the admin of overall mean</v>
      </c>
    </row>
    <row r="9" spans="1:5" ht="15.6" hidden="1">
      <c r="B9" s="16" t="s">
        <v>28</v>
      </c>
      <c r="C9" s="17" t="s">
        <v>29</v>
      </c>
      <c r="D9" s="24">
        <v>4</v>
      </c>
      <c r="E9" s="18" t="str">
        <f>HYPERLINK("#'Data'!A14", "Age of respondents broken down by member with WGSS disability on the admin of overall mean")</f>
        <v>Age of respondents broken down by member with WGSS disability on the admin of overall mean</v>
      </c>
    </row>
    <row r="10" spans="1:5" ht="15.6" hidden="1">
      <c r="B10" s="16" t="s">
        <v>28</v>
      </c>
      <c r="C10" s="17" t="s">
        <v>29</v>
      </c>
      <c r="D10" s="24">
        <v>5</v>
      </c>
      <c r="E10" s="18" t="str">
        <f>HYPERLINK("#'Data'!A20", "Age of respondents broken down by displacement status of HoH on the admin of overall mean")</f>
        <v>Age of respondents broken down by displacement status of HoH on the admin of overall mean</v>
      </c>
    </row>
    <row r="11" spans="1:5" ht="15.6" hidden="1">
      <c r="B11" s="16" t="s">
        <v>28</v>
      </c>
      <c r="C11" s="17" t="s">
        <v>29</v>
      </c>
      <c r="D11" s="24">
        <v>6</v>
      </c>
      <c r="E11" s="18" t="str">
        <f>HYPERLINK("#'Data'!A29", "Age of respondents broken down by household size on the admin of overall mean")</f>
        <v>Age of respondents broken down by household size on the admin of overall mean</v>
      </c>
    </row>
    <row r="12" spans="1:5" ht="15.6" hidden="1">
      <c r="B12" s="16" t="s">
        <v>28</v>
      </c>
      <c r="C12" s="17" t="s">
        <v>29</v>
      </c>
      <c r="D12" s="24">
        <v>7</v>
      </c>
      <c r="E12" s="18" t="str">
        <f>HYPERLINK("#'Data'!A36", "Age of respondents broken down by single/joint headed HHs on the admin of overall mean")</f>
        <v>Age of respondents broken down by single/joint headed HHs on the admin of overall mean</v>
      </c>
    </row>
    <row r="13" spans="1:5" ht="15.6" hidden="1">
      <c r="B13" s="16" t="s">
        <v>28</v>
      </c>
      <c r="C13" s="17" t="s">
        <v>29</v>
      </c>
      <c r="D13" s="24">
        <v>8</v>
      </c>
      <c r="E13" s="18" t="str">
        <f>HYPERLINK("#'Data'!A43", "Age of respondents broken down by gender of respondent on the admin of overall mean")</f>
        <v>Age of respondents broken down by gender of respondent on the admin of overall mean</v>
      </c>
    </row>
    <row r="14" spans="1:5" ht="15.6" hidden="1">
      <c r="B14" s="16" t="s">
        <v>28</v>
      </c>
      <c r="C14" s="17" t="s">
        <v>30</v>
      </c>
      <c r="D14" s="24">
        <v>10</v>
      </c>
      <c r="E14" s="18" t="str">
        <f>HYPERLINK("#'Data'!A50", "A_18 Respondents Reportedly being Head of the Household (HoH)  broken down by gender of respondent on the admin of overall perc")</f>
        <v>A_18 Respondents Reportedly being Head of the Household (HoH)  broken down by gender of respondent on the admin of overall perc</v>
      </c>
    </row>
    <row r="15" spans="1:5" ht="15.6" hidden="1">
      <c r="B15" s="16" t="s">
        <v>28</v>
      </c>
      <c r="C15" s="17" t="s">
        <v>30</v>
      </c>
      <c r="D15" s="24">
        <v>11</v>
      </c>
      <c r="E15" s="18" t="str">
        <f>HYPERLINK("#'Data'!A57", "A_18 Respondents Reportedly being Head of the Household (HoH)  broken down by age of respondents on the admin of overall perc")</f>
        <v>A_18 Respondents Reportedly being Head of the Household (HoH)  broken down by age of respondents on the admin of overall perc</v>
      </c>
    </row>
    <row r="16" spans="1:5" ht="15.6" hidden="1">
      <c r="B16" s="16" t="s">
        <v>28</v>
      </c>
      <c r="C16" s="17" t="s">
        <v>31</v>
      </c>
      <c r="D16" s="24">
        <v>13</v>
      </c>
      <c r="E16" s="18" t="str">
        <f>HYPERLINK("#'Data'!A65", "B_2 Household size broken down by rural / urban on the admin of overall mean")</f>
        <v>B_2 Household size broken down by rural / urban on the admin of overall mean</v>
      </c>
    </row>
    <row r="17" spans="2:5" ht="15.6" hidden="1">
      <c r="B17" s="16" t="s">
        <v>28</v>
      </c>
      <c r="C17" s="17" t="s">
        <v>31</v>
      </c>
      <c r="D17" s="24">
        <v>14</v>
      </c>
      <c r="E17" s="18" t="str">
        <f>HYPERLINK("#'Data'!A71", "B_2 Household size broken down by proximity to the Frontline / Russian border on the admin of overall mean")</f>
        <v>B_2 Household size broken down by proximity to the Frontline / Russian border on the admin of overall mean</v>
      </c>
    </row>
    <row r="18" spans="2:5" ht="15.6" hidden="1">
      <c r="B18" s="16" t="s">
        <v>28</v>
      </c>
      <c r="C18" s="17" t="s">
        <v>31</v>
      </c>
      <c r="D18" s="24">
        <v>15</v>
      </c>
      <c r="E18" s="18" t="str">
        <f>HYPERLINK("#'Data'!A78", "B_2 Household size broken down by member with WGSS disability on the admin of overall mean")</f>
        <v>B_2 Household size broken down by member with WGSS disability on the admin of overall mean</v>
      </c>
    </row>
    <row r="19" spans="2:5" ht="15.6" hidden="1">
      <c r="B19" s="16" t="s">
        <v>28</v>
      </c>
      <c r="C19" s="17" t="s">
        <v>31</v>
      </c>
      <c r="D19" s="24">
        <v>16</v>
      </c>
      <c r="E19" s="18" t="str">
        <f>HYPERLINK("#'Data'!A84", "B_2 Household size broken down by displacement status of HoH on the admin of overall mean")</f>
        <v>B_2 Household size broken down by displacement status of HoH on the admin of overall mean</v>
      </c>
    </row>
    <row r="20" spans="2:5" ht="15.6" hidden="1">
      <c r="B20" s="16" t="s">
        <v>28</v>
      </c>
      <c r="C20" s="17" t="s">
        <v>31</v>
      </c>
      <c r="D20" s="24">
        <v>17</v>
      </c>
      <c r="E20" s="18" t="str">
        <f>HYPERLINK("#'Data'!A93", "B_2 Household size broken down by single/joint headed HHs on the admin of overall mean")</f>
        <v>B_2 Household size broken down by single/joint headed HHs on the admin of overall mean</v>
      </c>
    </row>
    <row r="21" spans="2:5" ht="15.6" hidden="1">
      <c r="B21" s="16" t="s">
        <v>28</v>
      </c>
      <c r="C21" s="17" t="s">
        <v>31</v>
      </c>
      <c r="D21" s="24">
        <v>18</v>
      </c>
      <c r="E21" s="18" t="str">
        <f>HYPERLINK("#'Data'!A100", "B_2 Household size broken down by gender of respondent on the admin of overall mean")</f>
        <v>B_2 Household size broken down by gender of respondent on the admin of overall mean</v>
      </c>
    </row>
    <row r="22" spans="2:5" ht="15.6" hidden="1">
      <c r="B22" s="16" t="s">
        <v>28</v>
      </c>
      <c r="C22" s="17" t="s">
        <v>32</v>
      </c>
      <c r="D22" s="24">
        <v>20</v>
      </c>
      <c r="E22" s="18" t="str">
        <f>HYPERLINK("#'Data'!A107", "B_5 Age of Household members broken down by rural / urban on the admin of overall mean")</f>
        <v>B_5 Age of Household members broken down by rural / urban on the admin of overall mean</v>
      </c>
    </row>
    <row r="23" spans="2:5" ht="15.6" hidden="1">
      <c r="B23" s="16" t="s">
        <v>28</v>
      </c>
      <c r="C23" s="17" t="s">
        <v>32</v>
      </c>
      <c r="D23" s="24">
        <v>21</v>
      </c>
      <c r="E23" s="18" t="str">
        <f>HYPERLINK("#'Data'!A113", "B_5 Age of Household members broken down by proximity to the Frontline / Russian border on the admin of overall mean")</f>
        <v>B_5 Age of Household members broken down by proximity to the Frontline / Russian border on the admin of overall mean</v>
      </c>
    </row>
    <row r="24" spans="2:5" ht="15.6" hidden="1">
      <c r="B24" s="16" t="s">
        <v>28</v>
      </c>
      <c r="C24" s="17" t="s">
        <v>32</v>
      </c>
      <c r="D24" s="24">
        <v>22</v>
      </c>
      <c r="E24" s="18" t="str">
        <f>HYPERLINK("#'Data'!A120", "B_5 Age of Household members broken down by member with WGSS disability on the admin of overall mean")</f>
        <v>B_5 Age of Household members broken down by member with WGSS disability on the admin of overall mean</v>
      </c>
    </row>
    <row r="25" spans="2:5" ht="15.6" hidden="1">
      <c r="B25" s="16" t="s">
        <v>28</v>
      </c>
      <c r="C25" s="17" t="s">
        <v>32</v>
      </c>
      <c r="D25" s="24">
        <v>23</v>
      </c>
      <c r="E25" s="18" t="str">
        <f>HYPERLINK("#'Data'!A126", "B_5 Age of Household members broken down by displacement status of HoH on the admin of overall mean")</f>
        <v>B_5 Age of Household members broken down by displacement status of HoH on the admin of overall mean</v>
      </c>
    </row>
    <row r="26" spans="2:5" ht="15.6" hidden="1">
      <c r="B26" s="16" t="s">
        <v>28</v>
      </c>
      <c r="C26" s="17" t="s">
        <v>32</v>
      </c>
      <c r="D26" s="24">
        <v>24</v>
      </c>
      <c r="E26" s="18" t="str">
        <f>HYPERLINK("#'Data'!A135", "B_5 Age of Household members broken down by household size on the admin of overall mean")</f>
        <v>B_5 Age of Household members broken down by household size on the admin of overall mean</v>
      </c>
    </row>
    <row r="27" spans="2:5" ht="15.6" hidden="1">
      <c r="B27" s="16" t="s">
        <v>28</v>
      </c>
      <c r="C27" s="17" t="s">
        <v>32</v>
      </c>
      <c r="D27" s="24">
        <v>25</v>
      </c>
      <c r="E27" s="18" t="str">
        <f>HYPERLINK("#'Data'!A142", "B_5 Age of Household members broken down by single/joint headed HHs on the admin of overall mean")</f>
        <v>B_5 Age of Household members broken down by single/joint headed HHs on the admin of overall mean</v>
      </c>
    </row>
    <row r="28" spans="2:5" ht="15.6" hidden="1">
      <c r="B28" s="16" t="s">
        <v>28</v>
      </c>
      <c r="C28" s="17" t="s">
        <v>33</v>
      </c>
      <c r="D28" s="24">
        <v>27</v>
      </c>
      <c r="E28" s="18" t="str">
        <f>HYPERLINK("#'Data'!A149", "B_7 Gender of Household members broken down by rural / urban on the admin of overall perc")</f>
        <v>B_7 Gender of Household members broken down by rural / urban on the admin of overall perc</v>
      </c>
    </row>
    <row r="29" spans="2:5" ht="15.6" hidden="1">
      <c r="B29" s="16" t="s">
        <v>28</v>
      </c>
      <c r="C29" s="17" t="s">
        <v>33</v>
      </c>
      <c r="D29" s="24">
        <v>28</v>
      </c>
      <c r="E29" s="18" t="str">
        <f>HYPERLINK("#'Data'!A155", "B_7 Gender of Household members broken down by proximity to the Frontline / Russian border on the admin of overall perc")</f>
        <v>B_7 Gender of Household members broken down by proximity to the Frontline / Russian border on the admin of overall perc</v>
      </c>
    </row>
    <row r="30" spans="2:5" ht="15.6" hidden="1">
      <c r="B30" s="16" t="s">
        <v>28</v>
      </c>
      <c r="C30" s="17" t="s">
        <v>33</v>
      </c>
      <c r="D30" s="24">
        <v>29</v>
      </c>
      <c r="E30" s="18" t="str">
        <f>HYPERLINK("#'Data'!A162", "B_7 Gender of Household members broken down by member with WGSS disability on the admin of overall perc")</f>
        <v>B_7 Gender of Household members broken down by member with WGSS disability on the admin of overall perc</v>
      </c>
    </row>
    <row r="31" spans="2:5" ht="15.6" hidden="1">
      <c r="B31" s="16" t="s">
        <v>28</v>
      </c>
      <c r="C31" s="17" t="s">
        <v>33</v>
      </c>
      <c r="D31" s="24">
        <v>30</v>
      </c>
      <c r="E31" s="18" t="str">
        <f>HYPERLINK("#'Data'!A168", "B_7 Gender of Household members broken down by displacement status of HoH on the admin of overall perc")</f>
        <v>B_7 Gender of Household members broken down by displacement status of HoH on the admin of overall perc</v>
      </c>
    </row>
    <row r="32" spans="2:5" ht="15.6" hidden="1">
      <c r="B32" s="16" t="s">
        <v>28</v>
      </c>
      <c r="C32" s="17" t="s">
        <v>33</v>
      </c>
      <c r="D32" s="24">
        <v>31</v>
      </c>
      <c r="E32" s="18" t="str">
        <f>HYPERLINK("#'Data'!A177", "B_7 Gender of Household members broken down by household size on the admin of overall perc")</f>
        <v>B_7 Gender of Household members broken down by household size on the admin of overall perc</v>
      </c>
    </row>
    <row r="33" spans="2:5" ht="15.6" hidden="1">
      <c r="B33" s="16" t="s">
        <v>28</v>
      </c>
      <c r="C33" s="17" t="s">
        <v>33</v>
      </c>
      <c r="D33" s="24">
        <v>32</v>
      </c>
      <c r="E33" s="18" t="str">
        <f>HYPERLINK("#'Data'!A184", "B_7 Gender of Household members broken down by single/joint headed HHs on the admin of overall perc")</f>
        <v>B_7 Gender of Household members broken down by single/joint headed HHs on the admin of overall perc</v>
      </c>
    </row>
    <row r="34" spans="2:5" ht="15.6" hidden="1">
      <c r="B34" s="16" t="s">
        <v>28</v>
      </c>
      <c r="C34" s="17" t="s">
        <v>34</v>
      </c>
      <c r="D34" s="24">
        <v>35</v>
      </c>
      <c r="E34" s="18" t="str">
        <f>HYPERLINK("#'Data'!A191", "B_12 Education of Heads of Households broken down by rural / urban on the admin of overall perc")</f>
        <v>B_12 Education of Heads of Households broken down by rural / urban on the admin of overall perc</v>
      </c>
    </row>
    <row r="35" spans="2:5" ht="15.6" hidden="1">
      <c r="B35" s="16" t="s">
        <v>28</v>
      </c>
      <c r="C35" s="17" t="s">
        <v>34</v>
      </c>
      <c r="D35" s="24">
        <v>36</v>
      </c>
      <c r="E35" s="18" t="str">
        <f>HYPERLINK("#'Data'!A197", "B_12 Education of Heads of Households broken down by proximity to the Frontline / Russian border on the admin of overall perc")</f>
        <v>B_12 Education of Heads of Households broken down by proximity to the Frontline / Russian border on the admin of overall perc</v>
      </c>
    </row>
    <row r="36" spans="2:5" ht="15.6" hidden="1">
      <c r="B36" s="16" t="s">
        <v>28</v>
      </c>
      <c r="C36" s="17" t="s">
        <v>34</v>
      </c>
      <c r="D36" s="24">
        <v>37</v>
      </c>
      <c r="E36" s="18" t="str">
        <f>HYPERLINK("#'Data'!A204", "B_12 Education of Heads of Households broken down by member with WGSS disability on the admin of overall perc")</f>
        <v>B_12 Education of Heads of Households broken down by member with WGSS disability on the admin of overall perc</v>
      </c>
    </row>
    <row r="37" spans="2:5" ht="15.6" hidden="1">
      <c r="B37" s="16" t="s">
        <v>28</v>
      </c>
      <c r="C37" s="17" t="s">
        <v>34</v>
      </c>
      <c r="D37" s="24">
        <v>38</v>
      </c>
      <c r="E37" s="18" t="str">
        <f>HYPERLINK("#'Data'!A210", "B_12 Education of Heads of Households broken down by displacement status of HoH on the admin of overall perc")</f>
        <v>B_12 Education of Heads of Households broken down by displacement status of HoH on the admin of overall perc</v>
      </c>
    </row>
    <row r="38" spans="2:5" ht="15.6" hidden="1">
      <c r="B38" s="16" t="s">
        <v>28</v>
      </c>
      <c r="C38" s="17" t="s">
        <v>34</v>
      </c>
      <c r="D38" s="24">
        <v>39</v>
      </c>
      <c r="E38" s="18" t="str">
        <f>HYPERLINK("#'Data'!A219", "B_12 Education of Heads of Households broken down by household size on the admin of overall perc")</f>
        <v>B_12 Education of Heads of Households broken down by household size on the admin of overall perc</v>
      </c>
    </row>
    <row r="39" spans="2:5" ht="15.6" hidden="1">
      <c r="B39" s="16" t="s">
        <v>28</v>
      </c>
      <c r="C39" s="17" t="s">
        <v>34</v>
      </c>
      <c r="D39" s="24">
        <v>40</v>
      </c>
      <c r="E39" s="18" t="str">
        <f>HYPERLINK("#'Data'!A226", "B_12 Education of Heads of Households broken down by single/joint headed HHs on the admin of overall perc")</f>
        <v>B_12 Education of Heads of Households broken down by single/joint headed HHs on the admin of overall perc</v>
      </c>
    </row>
    <row r="40" spans="2:5" ht="15.6" hidden="1">
      <c r="B40" s="16" t="s">
        <v>28</v>
      </c>
      <c r="C40" s="17" t="s">
        <v>35</v>
      </c>
      <c r="D40" s="24">
        <v>42</v>
      </c>
      <c r="E40" s="18" t="str">
        <f>HYPERLINK("#'Data'!A233", "E_2 Employment status of Household members broken down by age of household members of employment age on the admin of overall perc")</f>
        <v>E_2 Employment status of Household members broken down by age of household members of employment age on the admin of overall perc</v>
      </c>
    </row>
    <row r="41" spans="2:5" ht="15.6" hidden="1">
      <c r="B41" s="16" t="s">
        <v>28</v>
      </c>
      <c r="C41" s="17" t="s">
        <v>35</v>
      </c>
      <c r="D41" s="24">
        <v>43</v>
      </c>
      <c r="E41" s="18" t="str">
        <f>HYPERLINK("#'Data'!A242", "E_2 Employment status of Household members broken down by gender and age of household members of employment age on the admin of overall perc")</f>
        <v>E_2 Employment status of Household members broken down by gender and age of household members of employment age on the admin of overall perc</v>
      </c>
    </row>
    <row r="42" spans="2:5" ht="15.6" hidden="1">
      <c r="B42" s="16" t="s">
        <v>28</v>
      </c>
      <c r="C42" s="17" t="s">
        <v>35</v>
      </c>
      <c r="D42" s="24">
        <v>44</v>
      </c>
      <c r="E42" s="18" t="str">
        <f>HYPERLINK("#'Data'!A259", "E_2 Employment status of Household members broken down by rural / urban on the admin of overall perc")</f>
        <v>E_2 Employment status of Household members broken down by rural / urban on the admin of overall perc</v>
      </c>
    </row>
    <row r="43" spans="2:5" ht="15.6" hidden="1">
      <c r="B43" s="16" t="s">
        <v>28</v>
      </c>
      <c r="C43" s="17" t="s">
        <v>35</v>
      </c>
      <c r="D43" s="24">
        <v>45</v>
      </c>
      <c r="E43" s="18" t="str">
        <f>HYPERLINK("#'Data'!A265", "E_2 Employment status of Household members broken down by proximity to the Frontline / Russian border on the admin of overall perc")</f>
        <v>E_2 Employment status of Household members broken down by proximity to the Frontline / Russian border on the admin of overall perc</v>
      </c>
    </row>
    <row r="44" spans="2:5" ht="15.6" hidden="1">
      <c r="B44" s="16" t="s">
        <v>28</v>
      </c>
      <c r="C44" s="17" t="s">
        <v>35</v>
      </c>
      <c r="D44" s="24">
        <v>46</v>
      </c>
      <c r="E44" s="18" t="str">
        <f>HYPERLINK("#'Data'!A272", "E_2 Employment status of Household members broken down by member with WGSS disability on the admin of overall perc")</f>
        <v>E_2 Employment status of Household members broken down by member with WGSS disability on the admin of overall perc</v>
      </c>
    </row>
    <row r="45" spans="2:5" ht="15.6" hidden="1">
      <c r="B45" s="16" t="s">
        <v>28</v>
      </c>
      <c r="C45" s="17" t="s">
        <v>35</v>
      </c>
      <c r="D45" s="24">
        <v>47</v>
      </c>
      <c r="E45" s="18" t="str">
        <f>HYPERLINK("#'Data'!A278", "E_2 Employment status of Household members broken down by displacement status of HoH on the admin of overall perc")</f>
        <v>E_2 Employment status of Household members broken down by displacement status of HoH on the admin of overall perc</v>
      </c>
    </row>
    <row r="46" spans="2:5" ht="15.6" hidden="1">
      <c r="B46" s="16" t="s">
        <v>28</v>
      </c>
      <c r="C46" s="17" t="s">
        <v>35</v>
      </c>
      <c r="D46" s="24">
        <v>48</v>
      </c>
      <c r="E46" s="18" t="str">
        <f>HYPERLINK("#'Data'!A287", "E_2 Employment status of Household members broken down by household size on the admin of overall perc")</f>
        <v>E_2 Employment status of Household members broken down by household size on the admin of overall perc</v>
      </c>
    </row>
    <row r="47" spans="2:5" ht="15.6" hidden="1">
      <c r="B47" s="16" t="s">
        <v>28</v>
      </c>
      <c r="C47" s="17" t="s">
        <v>35</v>
      </c>
      <c r="D47" s="24">
        <v>49</v>
      </c>
      <c r="E47" s="18" t="str">
        <f>HYPERLINK("#'Data'!A294", "E_2 Employment status of Household members broken down by single/joint headed HHs on the admin of overall perc")</f>
        <v>E_2 Employment status of Household members broken down by single/joint headed HHs on the admin of overall perc</v>
      </c>
    </row>
    <row r="48" spans="2:5" ht="15.6" hidden="1">
      <c r="B48" s="16" t="s">
        <v>28</v>
      </c>
      <c r="C48" s="17" t="s">
        <v>35</v>
      </c>
      <c r="D48" s="24">
        <v>50</v>
      </c>
      <c r="E48" s="18" t="str">
        <f>HYPERLINK("#'Data'!A301", "E_2 Employment status of Household members broken down by presence of children on the admin of overall perc")</f>
        <v>E_2 Employment status of Household members broken down by presence of children on the admin of overall perc</v>
      </c>
    </row>
    <row r="49" spans="2:5" ht="15.6" hidden="1">
      <c r="B49" s="16" t="s">
        <v>28</v>
      </c>
      <c r="C49" s="17" t="s">
        <v>35</v>
      </c>
      <c r="D49" s="24">
        <v>51</v>
      </c>
      <c r="E49" s="18" t="str">
        <f>HYPERLINK("#'Data'!A307", "E_2 Employment status of Household members broken down by single care provider on the admin of overall perc")</f>
        <v>E_2 Employment status of Household members broken down by single care provider on the admin of overall perc</v>
      </c>
    </row>
    <row r="50" spans="2:5" ht="15.6" hidden="1">
      <c r="B50" s="16" t="s">
        <v>28</v>
      </c>
      <c r="C50" s="17" t="s">
        <v>36</v>
      </c>
      <c r="D50" s="24">
        <v>53</v>
      </c>
      <c r="E50" s="18" t="str">
        <f>HYPERLINK("#'Data'!A315", "E_3 Household members who reportedly sought job in the past 4 weeks  broken down by age of household members of employment age on the admin of over...")</f>
        <v>E_3 Household members who reportedly sought job in the past 4 weeks  broken down by age of household members of employment age on the admin of over...</v>
      </c>
    </row>
    <row r="51" spans="2:5" ht="15.6" hidden="1">
      <c r="B51" s="16" t="s">
        <v>28</v>
      </c>
      <c r="C51" s="17" t="s">
        <v>36</v>
      </c>
      <c r="D51" s="24">
        <v>54</v>
      </c>
      <c r="E51" s="18" t="str">
        <f>HYPERLINK("#'Data'!A323", "E_3 Household members who reportedly sought job in the past 4 weeks  broken down by gender and age of household members of employment age on the ad...")</f>
        <v>E_3 Household members who reportedly sought job in the past 4 weeks  broken down by gender and age of household members of employment age on the ad...</v>
      </c>
    </row>
    <row r="52" spans="2:5" ht="15.6" hidden="1">
      <c r="B52" s="16" t="s">
        <v>28</v>
      </c>
      <c r="C52" s="17" t="s">
        <v>36</v>
      </c>
      <c r="D52" s="24">
        <v>55</v>
      </c>
      <c r="E52" s="18" t="str">
        <f>HYPERLINK("#'Data'!A338", "E_3 Household members who reportedly sought job in the past 4 weeks  broken down by rural / urban on the admin of overall perc")</f>
        <v>E_3 Household members who reportedly sought job in the past 4 weeks  broken down by rural / urban on the admin of overall perc</v>
      </c>
    </row>
    <row r="53" spans="2:5" ht="15.6" hidden="1">
      <c r="B53" s="16" t="s">
        <v>28</v>
      </c>
      <c r="C53" s="17" t="s">
        <v>36</v>
      </c>
      <c r="D53" s="24">
        <v>56</v>
      </c>
      <c r="E53" s="18" t="str">
        <f>HYPERLINK("#'Data'!A344", "E_3 Household members who reportedly sought job in the past 4 weeks  broken down by proximity to the Frontline / Russian border on the admin of ove...")</f>
        <v>E_3 Household members who reportedly sought job in the past 4 weeks  broken down by proximity to the Frontline / Russian border on the admin of ove...</v>
      </c>
    </row>
    <row r="54" spans="2:5" ht="15.6" hidden="1">
      <c r="B54" s="16" t="s">
        <v>28</v>
      </c>
      <c r="C54" s="17" t="s">
        <v>36</v>
      </c>
      <c r="D54" s="24">
        <v>57</v>
      </c>
      <c r="E54" s="18" t="str">
        <f>HYPERLINK("#'Data'!A351", "E_3 Household members who reportedly sought job in the past 4 weeks  broken down by member with WGSS disability on the admin of overall perc")</f>
        <v>E_3 Household members who reportedly sought job in the past 4 weeks  broken down by member with WGSS disability on the admin of overall perc</v>
      </c>
    </row>
    <row r="55" spans="2:5" ht="15.6" hidden="1">
      <c r="B55" s="16" t="s">
        <v>28</v>
      </c>
      <c r="C55" s="17" t="s">
        <v>36</v>
      </c>
      <c r="D55" s="24">
        <v>58</v>
      </c>
      <c r="E55" s="18" t="str">
        <f>HYPERLINK("#'Data'!A357", "E_3 Household members who reportedly sought job in the past 4 weeks  broken down by displacement status of HoH on the admin of overall perc")</f>
        <v>E_3 Household members who reportedly sought job in the past 4 weeks  broken down by displacement status of HoH on the admin of overall perc</v>
      </c>
    </row>
    <row r="56" spans="2:5" ht="15.6" hidden="1">
      <c r="B56" s="16" t="s">
        <v>28</v>
      </c>
      <c r="C56" s="17" t="s">
        <v>36</v>
      </c>
      <c r="D56" s="24">
        <v>59</v>
      </c>
      <c r="E56" s="18" t="str">
        <f>HYPERLINK("#'Data'!A366", "E_3 Household members who reportedly sought job in the past 4 weeks  broken down by household size on the admin of overall perc")</f>
        <v>E_3 Household members who reportedly sought job in the past 4 weeks  broken down by household size on the admin of overall perc</v>
      </c>
    </row>
    <row r="57" spans="2:5" ht="15.6" hidden="1">
      <c r="B57" s="16" t="s">
        <v>28</v>
      </c>
      <c r="C57" s="17" t="s">
        <v>36</v>
      </c>
      <c r="D57" s="24">
        <v>60</v>
      </c>
      <c r="E57" s="18" t="str">
        <f>HYPERLINK("#'Data'!A373", "E_3 Household members who reportedly sought job in the past 4 weeks  broken down by single/joint headed HHs on the admin of overall perc")</f>
        <v>E_3 Household members who reportedly sought job in the past 4 weeks  broken down by single/joint headed HHs on the admin of overall perc</v>
      </c>
    </row>
    <row r="58" spans="2:5" ht="15.6" hidden="1">
      <c r="B58" s="16" t="s">
        <v>28</v>
      </c>
      <c r="C58" s="17" t="s">
        <v>36</v>
      </c>
      <c r="D58" s="24">
        <v>61</v>
      </c>
      <c r="E58" s="18" t="str">
        <f>HYPERLINK("#'Data'!A380", "E_3 Household members who reportedly sought job in the past 4 weeks  broken down by presence of children on the admin of overall perc")</f>
        <v>E_3 Household members who reportedly sought job in the past 4 weeks  broken down by presence of children on the admin of overall perc</v>
      </c>
    </row>
    <row r="59" spans="2:5" ht="15.6" hidden="1">
      <c r="B59" s="16" t="s">
        <v>28</v>
      </c>
      <c r="C59" s="17" t="s">
        <v>36</v>
      </c>
      <c r="D59" s="24">
        <v>62</v>
      </c>
      <c r="E59" s="18" t="str">
        <f>HYPERLINK("#'Data'!A386", "E_3 Household members who reportedly sought job in the past 4 weeks  broken down by single care provider on the admin of overall perc")</f>
        <v>E_3 Household members who reportedly sought job in the past 4 weeks  broken down by single care provider on the admin of overall perc</v>
      </c>
    </row>
    <row r="60" spans="2:5" ht="15.6" hidden="1">
      <c r="B60" s="16" t="s">
        <v>28</v>
      </c>
      <c r="C60" s="17" t="s">
        <v>36</v>
      </c>
      <c r="D60" s="24">
        <v>64</v>
      </c>
      <c r="E60" s="18" t="str">
        <f>HYPERLINK("#'Data'!A394", "E_4 Employment barriers faced by household members that sought job in the last 4 weeks broken down by age of household members of employment age on...")</f>
        <v>E_4 Employment barriers faced by household members that sought job in the last 4 weeks broken down by age of household members of employment age on...</v>
      </c>
    </row>
    <row r="61" spans="2:5" ht="15.6" hidden="1">
      <c r="B61" s="16" t="s">
        <v>28</v>
      </c>
      <c r="C61" s="17" t="s">
        <v>37</v>
      </c>
      <c r="D61" s="24">
        <v>65</v>
      </c>
      <c r="E61" s="18" t="str">
        <f>HYPERLINK("#'Data'!A402", "E_4 Employment barriers faced by household members that sought job in the last 4 weeks broken down by gender and age of household members of employ...")</f>
        <v>E_4 Employment barriers faced by household members that sought job in the last 4 weeks broken down by gender and age of household members of employ...</v>
      </c>
    </row>
    <row r="62" spans="2:5" ht="15.6" hidden="1">
      <c r="B62" s="16" t="s">
        <v>28</v>
      </c>
      <c r="C62" s="17" t="s">
        <v>37</v>
      </c>
      <c r="D62" s="24">
        <v>66</v>
      </c>
      <c r="E62" s="18" t="str">
        <f>HYPERLINK("#'Data'!A414", "E_4 Employment barriers faced by household members that sought job in the last 4 weeks broken down by rural / urban on the admin of overall perc")</f>
        <v>E_4 Employment barriers faced by household members that sought job in the last 4 weeks broken down by rural / urban on the admin of overall perc</v>
      </c>
    </row>
    <row r="63" spans="2:5" ht="15.6" hidden="1">
      <c r="B63" s="16" t="s">
        <v>28</v>
      </c>
      <c r="C63" s="17" t="s">
        <v>37</v>
      </c>
      <c r="D63" s="24">
        <v>67</v>
      </c>
      <c r="E63" s="18" t="str">
        <f>HYPERLINK("#'Data'!A420", "E_4 Employment barriers faced by household members that sought job in the last 4 weeks broken down by proximity to the Frontline / Russian border o...")</f>
        <v>E_4 Employment barriers faced by household members that sought job in the last 4 weeks broken down by proximity to the Frontline / Russian border o...</v>
      </c>
    </row>
    <row r="64" spans="2:5" ht="15.6" hidden="1">
      <c r="B64" s="16" t="s">
        <v>28</v>
      </c>
      <c r="C64" s="17" t="s">
        <v>37</v>
      </c>
      <c r="D64" s="24">
        <v>68</v>
      </c>
      <c r="E64" s="18" t="str">
        <f>HYPERLINK("#'Data'!A427", "E_4 Employment barriers faced by household members that sought job in the last 4 weeks broken down by member with WGSS disability on the admin of o...")</f>
        <v>E_4 Employment barriers faced by household members that sought job in the last 4 weeks broken down by member with WGSS disability on the admin of o...</v>
      </c>
    </row>
    <row r="65" spans="2:5" ht="15.6" hidden="1">
      <c r="B65" s="16" t="s">
        <v>28</v>
      </c>
      <c r="C65" s="17" t="s">
        <v>37</v>
      </c>
      <c r="D65" s="24">
        <v>69</v>
      </c>
      <c r="E65" s="18" t="str">
        <f>HYPERLINK("#'Data'!A433", "E_4 Employment barriers faced by household members that sought job in the last 4 weeks broken down by displacement status of HoH on the admin of ov...")</f>
        <v>E_4 Employment barriers faced by household members that sought job in the last 4 weeks broken down by displacement status of HoH on the admin of ov...</v>
      </c>
    </row>
    <row r="66" spans="2:5" ht="15.6" hidden="1">
      <c r="B66" s="16" t="s">
        <v>28</v>
      </c>
      <c r="C66" s="17" t="s">
        <v>37</v>
      </c>
      <c r="D66" s="24">
        <v>70</v>
      </c>
      <c r="E66" s="18" t="str">
        <f>HYPERLINK("#'Data'!A442", "E_4 Employment barriers faced by household members that sought job in the last 4 weeks broken down by household size on the admin of overall perc")</f>
        <v>E_4 Employment barriers faced by household members that sought job in the last 4 weeks broken down by household size on the admin of overall perc</v>
      </c>
    </row>
    <row r="67" spans="2:5" ht="15.6" hidden="1">
      <c r="B67" s="16" t="s">
        <v>28</v>
      </c>
      <c r="C67" s="17" t="s">
        <v>37</v>
      </c>
      <c r="D67" s="24">
        <v>71</v>
      </c>
      <c r="E67" s="18" t="str">
        <f>HYPERLINK("#'Data'!A449", "E_4 Employment barriers faced by household members that sought job in the last 4 weeks broken down by single/joint headed HHs on the admin of overa...")</f>
        <v>E_4 Employment barriers faced by household members that sought job in the last 4 weeks broken down by single/joint headed HHs on the admin of overa...</v>
      </c>
    </row>
    <row r="68" spans="2:5" ht="15.6" hidden="1">
      <c r="B68" s="16" t="s">
        <v>28</v>
      </c>
      <c r="C68" s="17" t="s">
        <v>37</v>
      </c>
      <c r="D68" s="24">
        <v>72</v>
      </c>
      <c r="E68" s="18" t="str">
        <f>HYPERLINK("#'Data'!A456", "E_4 Employment barriers faced by household members that sought job in the last 4 weeks broken down by presence of children on the admin of overall ...")</f>
        <v>E_4 Employment barriers faced by household members that sought job in the last 4 weeks broken down by presence of children on the admin of overall ...</v>
      </c>
    </row>
    <row r="69" spans="2:5" ht="15.6" hidden="1">
      <c r="B69" s="16" t="s">
        <v>28</v>
      </c>
      <c r="C69" s="17" t="s">
        <v>37</v>
      </c>
      <c r="D69" s="24">
        <v>73</v>
      </c>
      <c r="E69" s="18" t="str">
        <f>HYPERLINK("#'Data'!A462", "E_4 Employment barriers faced by household members that sought job in the last 4 weeks broken down by single care provider on the admin of overall ...")</f>
        <v>E_4 Employment barriers faced by household members that sought job in the last 4 weeks broken down by single care provider on the admin of overall ...</v>
      </c>
    </row>
    <row r="70" spans="2:5" ht="15.6" hidden="1">
      <c r="B70" s="16" t="s">
        <v>38</v>
      </c>
      <c r="C70" s="17" t="s">
        <v>39</v>
      </c>
      <c r="D70" s="24">
        <v>75</v>
      </c>
      <c r="E70" s="18" t="str">
        <f>HYPERLINK("#'Data'!A470", "B_8 Medical Facility where a newborn was born broken down by rural / urban on the admin of overall perc")</f>
        <v>B_8 Medical Facility where a newborn was born broken down by rural / urban on the admin of overall perc</v>
      </c>
    </row>
    <row r="71" spans="2:5" ht="15.6" hidden="1">
      <c r="B71" s="16" t="s">
        <v>38</v>
      </c>
      <c r="C71" s="17" t="s">
        <v>39</v>
      </c>
      <c r="D71" s="24">
        <v>76</v>
      </c>
      <c r="E71" s="18" t="str">
        <f>HYPERLINK("#'Data'!A476", "B_8 Medical Facility where a newborn was born broken down by proximity to the Frontline / Russian border on the admin of overall perc")</f>
        <v>B_8 Medical Facility where a newborn was born broken down by proximity to the Frontline / Russian border on the admin of overall perc</v>
      </c>
    </row>
    <row r="72" spans="2:5" ht="15.6" hidden="1">
      <c r="B72" s="16" t="s">
        <v>38</v>
      </c>
      <c r="C72" s="17" t="s">
        <v>39</v>
      </c>
      <c r="D72" s="24">
        <v>77</v>
      </c>
      <c r="E72" s="18" t="str">
        <f>HYPERLINK("#'Data'!A483", "B_8 Medical Facility where a newborn was born broken down by member with WGSS disability on the admin of overall perc")</f>
        <v>B_8 Medical Facility where a newborn was born broken down by member with WGSS disability on the admin of overall perc</v>
      </c>
    </row>
    <row r="73" spans="2:5" ht="15.6" hidden="1">
      <c r="B73" s="16" t="s">
        <v>38</v>
      </c>
      <c r="C73" s="17" t="s">
        <v>39</v>
      </c>
      <c r="D73" s="24">
        <v>78</v>
      </c>
      <c r="E73" s="18" t="str">
        <f>HYPERLINK("#'Data'!A489", "B_8 Medical Facility where a newborn was born broken down by displacement status of HoH on the admin of overall perc")</f>
        <v>B_8 Medical Facility where a newborn was born broken down by displacement status of HoH on the admin of overall perc</v>
      </c>
    </row>
    <row r="74" spans="2:5" ht="15.6" hidden="1">
      <c r="B74" s="16" t="s">
        <v>38</v>
      </c>
      <c r="C74" s="17" t="s">
        <v>39</v>
      </c>
      <c r="D74" s="24">
        <v>79</v>
      </c>
      <c r="E74" s="18" t="str">
        <f>HYPERLINK("#'Data'!A498", "B_8 Medical Facility where a newborn was born broken down by household size on the admin of overall perc")</f>
        <v>B_8 Medical Facility where a newborn was born broken down by household size on the admin of overall perc</v>
      </c>
    </row>
    <row r="75" spans="2:5" ht="15.6" hidden="1">
      <c r="B75" s="16" t="s">
        <v>38</v>
      </c>
      <c r="C75" s="17" t="s">
        <v>39</v>
      </c>
      <c r="D75" s="24">
        <v>80</v>
      </c>
      <c r="E75" s="18" t="str">
        <f>HYPERLINK("#'Data'!A504", "B_8 Medical Facility where a newborn was born broken down by single/joint headed HHs on the admin of overall perc")</f>
        <v>B_8 Medical Facility where a newborn was born broken down by single/joint headed HHs on the admin of overall perc</v>
      </c>
    </row>
    <row r="76" spans="2:5" ht="15.6" hidden="1">
      <c r="B76" s="16" t="s">
        <v>38</v>
      </c>
      <c r="C76" s="17" t="s">
        <v>39</v>
      </c>
      <c r="D76" s="24">
        <v>81</v>
      </c>
      <c r="E76" s="18" t="str">
        <f>HYPERLINK("#'Data'!A511", "B_8 Medical Facility where a newborn was born broken down by income per capita (by quartiles) on the admin of overall perc")</f>
        <v>B_8 Medical Facility where a newborn was born broken down by income per capita (by quartiles) on the admin of overall perc</v>
      </c>
    </row>
    <row r="77" spans="2:5" ht="15.6" hidden="1">
      <c r="B77" s="16" t="s">
        <v>38</v>
      </c>
      <c r="C77" s="17" t="s">
        <v>40</v>
      </c>
      <c r="D77" s="24">
        <v>83</v>
      </c>
      <c r="E77" s="18" t="str">
        <f>HYPERLINK("#'Data'!A519", "D_3 Household members that had a medical problem in the last 3 months and needed to access healthcare broken down by age of household members on th...")</f>
        <v>D_3 Household members that had a medical problem in the last 3 months and needed to access healthcare broken down by age of household members on th...</v>
      </c>
    </row>
    <row r="78" spans="2:5" ht="15.6" hidden="1">
      <c r="B78" s="16" t="s">
        <v>38</v>
      </c>
      <c r="C78" s="17" t="s">
        <v>40</v>
      </c>
      <c r="D78" s="24">
        <v>84</v>
      </c>
      <c r="E78" s="18" t="str">
        <f>HYPERLINK("#'Data'!A536", "D_3 Household members that had a medical problem in the last 3 months and needed to access healthcare broken down by age and gender of household me...")</f>
        <v>D_3 Household members that had a medical problem in the last 3 months and needed to access healthcare broken down by age and gender of household me...</v>
      </c>
    </row>
    <row r="79" spans="2:5" ht="15.6" hidden="1">
      <c r="B79" s="16" t="s">
        <v>38</v>
      </c>
      <c r="C79" s="17" t="s">
        <v>40</v>
      </c>
      <c r="D79" s="24">
        <v>85</v>
      </c>
      <c r="E79" s="18" t="str">
        <f>HYPERLINK("#'Data'!A570", "D_3 Household members that had a medical problem in the last 3 months and needed to access healthcare broken down by rural / urban on the admin of ...")</f>
        <v>D_3 Household members that had a medical problem in the last 3 months and needed to access healthcare broken down by rural / urban on the admin of ...</v>
      </c>
    </row>
    <row r="80" spans="2:5" ht="15.6" hidden="1">
      <c r="B80" s="16" t="s">
        <v>38</v>
      </c>
      <c r="C80" s="17" t="s">
        <v>40</v>
      </c>
      <c r="D80" s="24">
        <v>86</v>
      </c>
      <c r="E80" s="18" t="str">
        <f>HYPERLINK("#'Data'!A576", "D_3 Household members that had a medical problem in the last 3 months and needed to access healthcare broken down by proximity to the Frontline / R...")</f>
        <v>D_3 Household members that had a medical problem in the last 3 months and needed to access healthcare broken down by proximity to the Frontline / R...</v>
      </c>
    </row>
    <row r="81" spans="2:5" ht="15.6" hidden="1">
      <c r="B81" s="16" t="s">
        <v>38</v>
      </c>
      <c r="C81" s="17" t="s">
        <v>40</v>
      </c>
      <c r="D81" s="24">
        <v>87</v>
      </c>
      <c r="E81" s="18" t="str">
        <f>HYPERLINK("#'Data'!A583", "D_3 Household members that had a medical problem in the last 3 months and needed to access healthcare broken down by member with WGSS disability on...")</f>
        <v>D_3 Household members that had a medical problem in the last 3 months and needed to access healthcare broken down by member with WGSS disability on...</v>
      </c>
    </row>
    <row r="82" spans="2:5" ht="15.6" hidden="1">
      <c r="B82" s="16" t="s">
        <v>38</v>
      </c>
      <c r="C82" s="17" t="s">
        <v>40</v>
      </c>
      <c r="D82" s="24">
        <v>88</v>
      </c>
      <c r="E82" s="18" t="str">
        <f>HYPERLINK("#'Data'!A589", "D_3 Household members that had a medical problem in the last 3 months and needed to access healthcare broken down by displacement status of HoH on ...")</f>
        <v>D_3 Household members that had a medical problem in the last 3 months and needed to access healthcare broken down by displacement status of HoH on ...</v>
      </c>
    </row>
    <row r="83" spans="2:5" ht="15.6" hidden="1">
      <c r="B83" s="16" t="s">
        <v>38</v>
      </c>
      <c r="C83" s="17" t="s">
        <v>40</v>
      </c>
      <c r="D83" s="24">
        <v>89</v>
      </c>
      <c r="E83" s="18" t="str">
        <f>HYPERLINK("#'Data'!A598", "D_3 Household members that had a medical problem in the last 3 months and needed to access healthcare broken down by household size on the admin of...")</f>
        <v>D_3 Household members that had a medical problem in the last 3 months and needed to access healthcare broken down by household size on the admin of...</v>
      </c>
    </row>
    <row r="84" spans="2:5" ht="15.6" hidden="1">
      <c r="B84" s="16" t="s">
        <v>38</v>
      </c>
      <c r="C84" s="17" t="s">
        <v>40</v>
      </c>
      <c r="D84" s="24">
        <v>90</v>
      </c>
      <c r="E84" s="18" t="str">
        <f>HYPERLINK("#'Data'!A605", "D_3 Household members that had a medical problem in the last 3 months and needed to access healthcare broken down by single/joint headed HHs on the...")</f>
        <v>D_3 Household members that had a medical problem in the last 3 months and needed to access healthcare broken down by single/joint headed HHs on the...</v>
      </c>
    </row>
    <row r="85" spans="2:5" ht="15.6" hidden="1">
      <c r="B85" s="16" t="s">
        <v>38</v>
      </c>
      <c r="C85" s="17" t="s">
        <v>40</v>
      </c>
      <c r="D85" s="24">
        <v>91</v>
      </c>
      <c r="E85" s="18" t="str">
        <f>HYPERLINK("#'Data'!A612", "D_3 Household members that had a medical problem in the last 3 months and needed to access healthcare broken down by income per capita (by quartile...")</f>
        <v>D_3 Household members that had a medical problem in the last 3 months and needed to access healthcare broken down by income per capita (by quartile...</v>
      </c>
    </row>
    <row r="86" spans="2:5" ht="15.6" hidden="1">
      <c r="B86" s="16" t="s">
        <v>38</v>
      </c>
      <c r="C86" s="17" t="s">
        <v>41</v>
      </c>
      <c r="D86" s="24">
        <v>93</v>
      </c>
      <c r="E86" s="18" t="str">
        <f>HYPERLINK("#'Data'!A620", "D_5 Household members by reported ability to obtain healthcare when they needed it broken down by age of household members on the admin of overall ...")</f>
        <v>D_5 Household members by reported ability to obtain healthcare when they needed it broken down by age of household members on the admin of overall ...</v>
      </c>
    </row>
    <row r="87" spans="2:5" ht="15.6" hidden="1">
      <c r="B87" s="16" t="s">
        <v>38</v>
      </c>
      <c r="C87" s="17" t="s">
        <v>41</v>
      </c>
      <c r="D87" s="24">
        <v>94</v>
      </c>
      <c r="E87" s="18" t="str">
        <f>HYPERLINK("#'Data'!A637", "D_5 Household members by reported ability to obtain healthcare when they needed it broken down by age and gender of household members on the admin ...")</f>
        <v>D_5 Household members by reported ability to obtain healthcare when they needed it broken down by age and gender of household members on the admin ...</v>
      </c>
    </row>
    <row r="88" spans="2:5" ht="15.6" hidden="1">
      <c r="B88" s="16" t="s">
        <v>38</v>
      </c>
      <c r="C88" s="17" t="s">
        <v>41</v>
      </c>
      <c r="D88" s="24">
        <v>95</v>
      </c>
      <c r="E88" s="18" t="str">
        <f>HYPERLINK("#'Data'!A670", "D_5 Household members by reported ability to obtain healthcare when they needed it broken down by rural / urban on the admin of overall perc")</f>
        <v>D_5 Household members by reported ability to obtain healthcare when they needed it broken down by rural / urban on the admin of overall perc</v>
      </c>
    </row>
    <row r="89" spans="2:5" ht="15.6" hidden="1">
      <c r="B89" s="16" t="s">
        <v>38</v>
      </c>
      <c r="C89" s="17" t="s">
        <v>41</v>
      </c>
      <c r="D89" s="24">
        <v>96</v>
      </c>
      <c r="E89" s="18" t="str">
        <f>HYPERLINK("#'Data'!A676", "D_5 Household members by reported ability to obtain healthcare when they needed it broken down by proximity to the Frontline / Russian border on th...")</f>
        <v>D_5 Household members by reported ability to obtain healthcare when they needed it broken down by proximity to the Frontline / Russian border on th...</v>
      </c>
    </row>
    <row r="90" spans="2:5" ht="15.6" hidden="1">
      <c r="B90" s="16" t="s">
        <v>38</v>
      </c>
      <c r="C90" s="17" t="s">
        <v>41</v>
      </c>
      <c r="D90" s="24">
        <v>97</v>
      </c>
      <c r="E90" s="18" t="str">
        <f>HYPERLINK("#'Data'!A683", "D_5 Household members by reported ability to obtain healthcare when they needed it broken down by member with WGSS disability on the admin of overa...")</f>
        <v>D_5 Household members by reported ability to obtain healthcare when they needed it broken down by member with WGSS disability on the admin of overa...</v>
      </c>
    </row>
    <row r="91" spans="2:5" ht="15.6" hidden="1">
      <c r="B91" s="16" t="s">
        <v>38</v>
      </c>
      <c r="C91" s="17" t="s">
        <v>41</v>
      </c>
      <c r="D91" s="24">
        <v>98</v>
      </c>
      <c r="E91" s="18" t="str">
        <f>HYPERLINK("#'Data'!A689", "D_5 Household members by reported ability to obtain healthcare when they needed it broken down by displacement status of HoH on the admin of overal...")</f>
        <v>D_5 Household members by reported ability to obtain healthcare when they needed it broken down by displacement status of HoH on the admin of overal...</v>
      </c>
    </row>
    <row r="92" spans="2:5" ht="15.6" hidden="1">
      <c r="B92" s="16" t="s">
        <v>38</v>
      </c>
      <c r="C92" s="17" t="s">
        <v>41</v>
      </c>
      <c r="D92" s="24">
        <v>99</v>
      </c>
      <c r="E92" s="18" t="str">
        <f>HYPERLINK("#'Data'!A698", "D_5 Household members by reported ability to obtain healthcare when they needed it broken down by household size on the admin of overall perc")</f>
        <v>D_5 Household members by reported ability to obtain healthcare when they needed it broken down by household size on the admin of overall perc</v>
      </c>
    </row>
    <row r="93" spans="2:5" ht="15.6" hidden="1">
      <c r="B93" s="16" t="s">
        <v>38</v>
      </c>
      <c r="C93" s="17" t="s">
        <v>41</v>
      </c>
      <c r="D93" s="24">
        <v>100</v>
      </c>
      <c r="E93" s="18" t="str">
        <f>HYPERLINK("#'Data'!A705", "D_5 Household members by reported ability to obtain healthcare when they needed it broken down by single/joint headed HHs on the admin of overall p...")</f>
        <v>D_5 Household members by reported ability to obtain healthcare when they needed it broken down by single/joint headed HHs on the admin of overall p...</v>
      </c>
    </row>
    <row r="94" spans="2:5" ht="15.6" hidden="1">
      <c r="B94" s="16" t="s">
        <v>38</v>
      </c>
      <c r="C94" s="17" t="s">
        <v>41</v>
      </c>
      <c r="D94" s="24">
        <v>101</v>
      </c>
      <c r="E94" s="18" t="str">
        <f>HYPERLINK("#'Data'!A712", "D_5 Household members by reported ability to obtain healthcare when they needed it broken down by income per capita (by quartiles) on the admin of ...")</f>
        <v>D_5 Household members by reported ability to obtain healthcare when they needed it broken down by income per capita (by quartiles) on the admin of ...</v>
      </c>
    </row>
    <row r="95" spans="2:5" ht="15.6" hidden="1">
      <c r="B95" s="16" t="s">
        <v>38</v>
      </c>
      <c r="C95" s="17" t="s">
        <v>42</v>
      </c>
      <c r="D95" s="24">
        <v>103</v>
      </c>
      <c r="E95" s="18" t="str">
        <f>HYPERLINK("#'Data'!A720", "D_4 Household members that reportedly needed healthcare by type of need broken down by age of household members on the admin of overall perc")</f>
        <v>D_4 Household members that reportedly needed healthcare by type of need broken down by age of household members on the admin of overall perc</v>
      </c>
    </row>
    <row r="96" spans="2:5" ht="15.6" hidden="1">
      <c r="B96" s="16" t="s">
        <v>38</v>
      </c>
      <c r="C96" s="17" t="s">
        <v>42</v>
      </c>
      <c r="D96" s="24">
        <v>104</v>
      </c>
      <c r="E96" s="18" t="str">
        <f>HYPERLINK("#'Data'!A737", "D_4 Household members that reportedly needed healthcare by type of need broken down by age and gender of household members on the admin of overall ...")</f>
        <v>D_4 Household members that reportedly needed healthcare by type of need broken down by age and gender of household members on the admin of overall ...</v>
      </c>
    </row>
    <row r="97" spans="2:5" ht="15.6" hidden="1">
      <c r="B97" s="16" t="s">
        <v>38</v>
      </c>
      <c r="C97" s="17" t="s">
        <v>42</v>
      </c>
      <c r="D97" s="24">
        <v>105</v>
      </c>
      <c r="E97" s="18" t="str">
        <f>HYPERLINK("#'Data'!A770", "D_4 Household members that reportedly needed healthcare by type of need broken down by rural / urban on the admin of overall perc")</f>
        <v>D_4 Household members that reportedly needed healthcare by type of need broken down by rural / urban on the admin of overall perc</v>
      </c>
    </row>
    <row r="98" spans="2:5" ht="15.6" hidden="1">
      <c r="B98" s="16" t="s">
        <v>38</v>
      </c>
      <c r="C98" s="17" t="s">
        <v>42</v>
      </c>
      <c r="D98" s="24">
        <v>106</v>
      </c>
      <c r="E98" s="18" t="str">
        <f>HYPERLINK("#'Data'!A776", "D_4 Household members that reportedly needed healthcare by type of need broken down by proximity to the Frontline / Russian border on the admin of ...")</f>
        <v>D_4 Household members that reportedly needed healthcare by type of need broken down by proximity to the Frontline / Russian border on the admin of ...</v>
      </c>
    </row>
    <row r="99" spans="2:5" ht="15.6" hidden="1">
      <c r="B99" s="16" t="s">
        <v>38</v>
      </c>
      <c r="C99" s="17" t="s">
        <v>42</v>
      </c>
      <c r="D99" s="24">
        <v>107</v>
      </c>
      <c r="E99" s="18" t="str">
        <f>HYPERLINK("#'Data'!A783", "D_4 Household members that reportedly needed healthcare by type of need broken down by member with WGSS disability on the admin of overall perc")</f>
        <v>D_4 Household members that reportedly needed healthcare by type of need broken down by member with WGSS disability on the admin of overall perc</v>
      </c>
    </row>
    <row r="100" spans="2:5" ht="15.6" hidden="1">
      <c r="B100" s="16" t="s">
        <v>38</v>
      </c>
      <c r="C100" s="17" t="s">
        <v>42</v>
      </c>
      <c r="D100" s="24">
        <v>108</v>
      </c>
      <c r="E100" s="18" t="str">
        <f>HYPERLINK("#'Data'!A789", "D_4 Household members that reportedly needed healthcare by type of need broken down by displacement status of HoH on the admin of overall perc")</f>
        <v>D_4 Household members that reportedly needed healthcare by type of need broken down by displacement status of HoH on the admin of overall perc</v>
      </c>
    </row>
    <row r="101" spans="2:5" ht="15.6" hidden="1">
      <c r="B101" s="16" t="s">
        <v>38</v>
      </c>
      <c r="C101" s="17" t="s">
        <v>42</v>
      </c>
      <c r="D101" s="24">
        <v>109</v>
      </c>
      <c r="E101" s="18" t="str">
        <f>HYPERLINK("#'Data'!A798", "D_4 Household members that reportedly needed healthcare by type of need broken down by household size on the admin of overall perc")</f>
        <v>D_4 Household members that reportedly needed healthcare by type of need broken down by household size on the admin of overall perc</v>
      </c>
    </row>
    <row r="102" spans="2:5" ht="15.6" hidden="1">
      <c r="B102" s="16" t="s">
        <v>38</v>
      </c>
      <c r="C102" s="17" t="s">
        <v>42</v>
      </c>
      <c r="D102" s="24">
        <v>110</v>
      </c>
      <c r="E102" s="18" t="str">
        <f>HYPERLINK("#'Data'!A805", "D_4 Household members that reportedly needed healthcare by type of need broken down by single/joint headed HHs on the admin of overall perc")</f>
        <v>D_4 Household members that reportedly needed healthcare by type of need broken down by single/joint headed HHs on the admin of overall perc</v>
      </c>
    </row>
    <row r="103" spans="2:5" ht="15.6" hidden="1">
      <c r="B103" s="16" t="s">
        <v>38</v>
      </c>
      <c r="C103" s="17" t="s">
        <v>42</v>
      </c>
      <c r="D103" s="24">
        <v>111</v>
      </c>
      <c r="E103" s="18" t="str">
        <f>HYPERLINK("#'Data'!A812", "D_4 Household members that reportedly needed healthcare by type of need broken down by income per capita (by quartiles) on the admin of overall per...")</f>
        <v>D_4 Household members that reportedly needed healthcare by type of need broken down by income per capita (by quartiles) on the admin of overall per...</v>
      </c>
    </row>
    <row r="104" spans="2:5" ht="15.6" hidden="1">
      <c r="B104" s="16" t="s">
        <v>38</v>
      </c>
      <c r="C104" s="17" t="s">
        <v>43</v>
      </c>
      <c r="D104" s="24">
        <v>113</v>
      </c>
      <c r="E104" s="18" t="str">
        <f>HYPERLINK("#'Data'!A820", "Distance to the nearest medical facility broken down by rural / urban on the admin of overall mean")</f>
        <v>Distance to the nearest medical facility broken down by rural / urban on the admin of overall mean</v>
      </c>
    </row>
    <row r="105" spans="2:5" ht="15.6" hidden="1">
      <c r="B105" s="16" t="s">
        <v>38</v>
      </c>
      <c r="C105" s="17" t="s">
        <v>43</v>
      </c>
      <c r="D105" s="24">
        <v>114</v>
      </c>
      <c r="E105" s="18" t="str">
        <f>HYPERLINK("#'Data'!A826", "Distance to the nearest medical facility broken down by proximity to the Frontline / Russian border on the admin of overall mean")</f>
        <v>Distance to the nearest medical facility broken down by proximity to the Frontline / Russian border on the admin of overall mean</v>
      </c>
    </row>
    <row r="106" spans="2:5" ht="15.6" hidden="1">
      <c r="B106" s="16" t="s">
        <v>38</v>
      </c>
      <c r="C106" s="17" t="s">
        <v>43</v>
      </c>
      <c r="D106" s="24">
        <v>115</v>
      </c>
      <c r="E106" s="18" t="str">
        <f>HYPERLINK("#'Data'!A833", "Distance to the nearest medical facility broken down by member with WGSS disability on the admin of overall mean")</f>
        <v>Distance to the nearest medical facility broken down by member with WGSS disability on the admin of overall mean</v>
      </c>
    </row>
    <row r="107" spans="2:5" ht="15.6" hidden="1">
      <c r="B107" s="16" t="s">
        <v>38</v>
      </c>
      <c r="C107" s="17" t="s">
        <v>43</v>
      </c>
      <c r="D107" s="24">
        <v>116</v>
      </c>
      <c r="E107" s="18" t="str">
        <f>HYPERLINK("#'Data'!A839", "Distance to the nearest medical facility broken down by displacement status of HoH on the admin of overall mean")</f>
        <v>Distance to the nearest medical facility broken down by displacement status of HoH on the admin of overall mean</v>
      </c>
    </row>
    <row r="108" spans="2:5" ht="15.6" hidden="1">
      <c r="B108" s="16" t="s">
        <v>38</v>
      </c>
      <c r="C108" s="17" t="s">
        <v>43</v>
      </c>
      <c r="D108" s="24">
        <v>117</v>
      </c>
      <c r="E108" s="18" t="str">
        <f>HYPERLINK("#'Data'!A848", "Distance to the nearest medical facility broken down by household size on the admin of overall mean")</f>
        <v>Distance to the nearest medical facility broken down by household size on the admin of overall mean</v>
      </c>
    </row>
    <row r="109" spans="2:5" ht="15.6" hidden="1">
      <c r="B109" s="16" t="s">
        <v>38</v>
      </c>
      <c r="C109" s="17" t="s">
        <v>43</v>
      </c>
      <c r="D109" s="24">
        <v>118</v>
      </c>
      <c r="E109" s="18" t="str">
        <f>HYPERLINK("#'Data'!A855", "Distance to the nearest medical facility broken down by single/joint headed HHs on the admin of overall mean")</f>
        <v>Distance to the nearest medical facility broken down by single/joint headed HHs on the admin of overall mean</v>
      </c>
    </row>
    <row r="110" spans="2:5" ht="15.6" hidden="1">
      <c r="B110" s="16" t="s">
        <v>38</v>
      </c>
      <c r="C110" s="17" t="s">
        <v>44</v>
      </c>
      <c r="D110" s="24">
        <v>120</v>
      </c>
      <c r="E110" s="18" t="str">
        <f>HYPERLINK("#'Data'!A862", "Households that reportedly sought any medicine in the last 3 months broken down by rural / urban on the admin of overall perc")</f>
        <v>Households that reportedly sought any medicine in the last 3 months broken down by rural / urban on the admin of overall perc</v>
      </c>
    </row>
    <row r="111" spans="2:5" ht="15.6" hidden="1">
      <c r="B111" s="16" t="s">
        <v>38</v>
      </c>
      <c r="C111" s="17" t="s">
        <v>44</v>
      </c>
      <c r="D111" s="24">
        <v>121</v>
      </c>
      <c r="E111" s="18" t="str">
        <f>HYPERLINK("#'Data'!A868", "Households that reportedly sought any medicine in the last 3 months broken down by proximity to the Frontline / Russian border on the admin of over...")</f>
        <v>Households that reportedly sought any medicine in the last 3 months broken down by proximity to the Frontline / Russian border on the admin of over...</v>
      </c>
    </row>
    <row r="112" spans="2:5" ht="15.6" hidden="1">
      <c r="B112" s="16" t="s">
        <v>38</v>
      </c>
      <c r="C112" s="17" t="s">
        <v>44</v>
      </c>
      <c r="D112" s="24">
        <v>122</v>
      </c>
      <c r="E112" s="18" t="str">
        <f>HYPERLINK("#'Data'!A875", "Households that reportedly sought any medicine in the last 3 months broken down by member with WGSS disability on the admin of overall perc")</f>
        <v>Households that reportedly sought any medicine in the last 3 months broken down by member with WGSS disability on the admin of overall perc</v>
      </c>
    </row>
    <row r="113" spans="2:5" ht="15.6" hidden="1">
      <c r="B113" s="16" t="s">
        <v>38</v>
      </c>
      <c r="C113" s="17" t="s">
        <v>44</v>
      </c>
      <c r="D113" s="24">
        <v>123</v>
      </c>
      <c r="E113" s="18" t="str">
        <f>HYPERLINK("#'Data'!A881", "Households that reportedly sought any medicine in the last 3 months broken down by displacement status of HoH on the admin of overall perc")</f>
        <v>Households that reportedly sought any medicine in the last 3 months broken down by displacement status of HoH on the admin of overall perc</v>
      </c>
    </row>
    <row r="114" spans="2:5" ht="15.6" hidden="1">
      <c r="B114" s="16" t="s">
        <v>38</v>
      </c>
      <c r="C114" s="17" t="s">
        <v>44</v>
      </c>
      <c r="D114" s="24">
        <v>124</v>
      </c>
      <c r="E114" s="18" t="str">
        <f>HYPERLINK("#'Data'!A890", "Households that reportedly sought any medicine in the last 3 months broken down by household size on the admin of overall perc")</f>
        <v>Households that reportedly sought any medicine in the last 3 months broken down by household size on the admin of overall perc</v>
      </c>
    </row>
    <row r="115" spans="2:5" ht="15.6" hidden="1">
      <c r="B115" s="16" t="s">
        <v>38</v>
      </c>
      <c r="C115" s="17" t="s">
        <v>44</v>
      </c>
      <c r="D115" s="24">
        <v>125</v>
      </c>
      <c r="E115" s="18" t="str">
        <f>HYPERLINK("#'Data'!A897", "Households that reportedly sought any medicine in the last 3 months broken down by single/joint headed HHs on the admin of overall perc")</f>
        <v>Households that reportedly sought any medicine in the last 3 months broken down by single/joint headed HHs on the admin of overall perc</v>
      </c>
    </row>
    <row r="116" spans="2:5" ht="15.6" hidden="1">
      <c r="B116" s="16" t="s">
        <v>38</v>
      </c>
      <c r="C116" s="17" t="s">
        <v>45</v>
      </c>
      <c r="D116" s="24">
        <v>127</v>
      </c>
      <c r="E116" s="18" t="str">
        <f>HYPERLINK("#'Data'!A904", "Households that were able to obtaine the medicine they sought in the last 3 months broken down by rural / urban on the admin of overall perc")</f>
        <v>Households that were able to obtaine the medicine they sought in the last 3 months broken down by rural / urban on the admin of overall perc</v>
      </c>
    </row>
    <row r="117" spans="2:5" ht="15.6" hidden="1">
      <c r="B117" s="16" t="s">
        <v>38</v>
      </c>
      <c r="C117" s="17" t="s">
        <v>45</v>
      </c>
      <c r="D117" s="24">
        <v>128</v>
      </c>
      <c r="E117" s="18" t="str">
        <f>HYPERLINK("#'Data'!A910", "Households that were able to obtaine the medicine they sought in the last 3 months broken down by proximity to the Frontline / Russian border on th...")</f>
        <v>Households that were able to obtaine the medicine they sought in the last 3 months broken down by proximity to the Frontline / Russian border on th...</v>
      </c>
    </row>
    <row r="118" spans="2:5" ht="15.6" hidden="1">
      <c r="B118" s="16" t="s">
        <v>38</v>
      </c>
      <c r="C118" s="17" t="s">
        <v>45</v>
      </c>
      <c r="D118" s="24">
        <v>129</v>
      </c>
      <c r="E118" s="18" t="str">
        <f>HYPERLINK("#'Data'!A917", "Households that were able to obtaine the medicine they sought in the last 3 months broken down by member with WGSS disability on the admin of overa...")</f>
        <v>Households that were able to obtaine the medicine they sought in the last 3 months broken down by member with WGSS disability on the admin of overa...</v>
      </c>
    </row>
    <row r="119" spans="2:5" ht="15.6" hidden="1">
      <c r="B119" s="16" t="s">
        <v>38</v>
      </c>
      <c r="C119" s="17" t="s">
        <v>45</v>
      </c>
      <c r="D119" s="24">
        <v>130</v>
      </c>
      <c r="E119" s="18" t="str">
        <f>HYPERLINK("#'Data'!A923", "Households that were able to obtaine the medicine they sought in the last 3 months broken down by displacement status of HoH on the admin of overal...")</f>
        <v>Households that were able to obtaine the medicine they sought in the last 3 months broken down by displacement status of HoH on the admin of overal...</v>
      </c>
    </row>
    <row r="120" spans="2:5" ht="15.6" hidden="1">
      <c r="B120" s="16" t="s">
        <v>38</v>
      </c>
      <c r="C120" s="17" t="s">
        <v>45</v>
      </c>
      <c r="D120" s="24">
        <v>131</v>
      </c>
      <c r="E120" s="18" t="str">
        <f>HYPERLINK("#'Data'!A932", "Households that were able to obtaine the medicine they sought in the last 3 months broken down by household size on the admin of overall perc")</f>
        <v>Households that were able to obtaine the medicine they sought in the last 3 months broken down by household size on the admin of overall perc</v>
      </c>
    </row>
    <row r="121" spans="2:5" ht="15.6" hidden="1">
      <c r="B121" s="16" t="s">
        <v>38</v>
      </c>
      <c r="C121" s="17" t="s">
        <v>45</v>
      </c>
      <c r="D121" s="24">
        <v>132</v>
      </c>
      <c r="E121" s="18" t="str">
        <f>HYPERLINK("#'Data'!A939", "Households that were able to obtaine the medicine they sought in the last 3 months broken down by single/joint headed HHs on the admin of overall p...")</f>
        <v>Households that were able to obtaine the medicine they sought in the last 3 months broken down by single/joint headed HHs on the admin of overall p...</v>
      </c>
    </row>
    <row r="122" spans="2:5" ht="15.6" hidden="1">
      <c r="B122" s="16" t="s">
        <v>38</v>
      </c>
      <c r="C122" s="17" t="s">
        <v>46</v>
      </c>
      <c r="D122" s="24">
        <v>134</v>
      </c>
      <c r="E122" s="18" t="str">
        <f>HYPERLINK("#'Data'!A946", "Households by types of medicines sought in the last 3 months broken down by rural / urban on the admin of overall perc")</f>
        <v>Households by types of medicines sought in the last 3 months broken down by rural / urban on the admin of overall perc</v>
      </c>
    </row>
    <row r="123" spans="2:5" ht="15.6" hidden="1">
      <c r="B123" s="16" t="s">
        <v>38</v>
      </c>
      <c r="C123" s="17" t="s">
        <v>46</v>
      </c>
      <c r="D123" s="24">
        <v>135</v>
      </c>
      <c r="E123" s="18" t="str">
        <f>HYPERLINK("#'Data'!A952", "Households by types of medicines sought in the last 3 months broken down by proximity to the Frontline / Russian border on the admin of overall per...")</f>
        <v>Households by types of medicines sought in the last 3 months broken down by proximity to the Frontline / Russian border on the admin of overall per...</v>
      </c>
    </row>
    <row r="124" spans="2:5" ht="15.6" hidden="1">
      <c r="B124" s="16" t="s">
        <v>38</v>
      </c>
      <c r="C124" s="17" t="s">
        <v>46</v>
      </c>
      <c r="D124" s="24">
        <v>136</v>
      </c>
      <c r="E124" s="18" t="str">
        <f>HYPERLINK("#'Data'!A959", "Households by types of medicines sought in the last 3 months broken down by member with WGSS disability on the admin of overall perc")</f>
        <v>Households by types of medicines sought in the last 3 months broken down by member with WGSS disability on the admin of overall perc</v>
      </c>
    </row>
    <row r="125" spans="2:5" ht="15.6" hidden="1">
      <c r="B125" s="16" t="s">
        <v>38</v>
      </c>
      <c r="C125" s="17" t="s">
        <v>46</v>
      </c>
      <c r="D125" s="24">
        <v>137</v>
      </c>
      <c r="E125" s="18" t="str">
        <f>HYPERLINK("#'Data'!A965", "Households by types of medicines sought in the last 3 months broken down by displacement status of HoH on the admin of overall perc")</f>
        <v>Households by types of medicines sought in the last 3 months broken down by displacement status of HoH on the admin of overall perc</v>
      </c>
    </row>
    <row r="126" spans="2:5" ht="15.6" hidden="1">
      <c r="B126" s="16" t="s">
        <v>38</v>
      </c>
      <c r="C126" s="17" t="s">
        <v>46</v>
      </c>
      <c r="D126" s="24">
        <v>138</v>
      </c>
      <c r="E126" s="18" t="str">
        <f>HYPERLINK("#'Data'!A974", "Households by types of medicines sought in the last 3 months broken down by household size on the admin of overall perc")</f>
        <v>Households by types of medicines sought in the last 3 months broken down by household size on the admin of overall perc</v>
      </c>
    </row>
    <row r="127" spans="2:5" ht="15.6" hidden="1">
      <c r="B127" s="16" t="s">
        <v>38</v>
      </c>
      <c r="C127" s="17" t="s">
        <v>46</v>
      </c>
      <c r="D127" s="24">
        <v>139</v>
      </c>
      <c r="E127" s="18" t="str">
        <f>HYPERLINK("#'Data'!A981", "Households by types of medicines sought in the last 3 months broken down by single/joint headed HHs on the admin of overall perc")</f>
        <v>Households by types of medicines sought in the last 3 months broken down by single/joint headed HHs on the admin of overall perc</v>
      </c>
    </row>
    <row r="128" spans="2:5" ht="15.6" hidden="1">
      <c r="B128" s="16" t="s">
        <v>38</v>
      </c>
      <c r="C128" s="17" t="s">
        <v>47</v>
      </c>
      <c r="D128" s="24">
        <v>141</v>
      </c>
      <c r="E128" s="18" t="str">
        <f>HYPERLINK("#'Data'!A988", "Households that reportedly were unable to obtain medicine from Affordable Medicine Program broken down by rural / urban on the admin of overall per...")</f>
        <v>Households that reportedly were unable to obtain medicine from Affordable Medicine Program broken down by rural / urban on the admin of overall per...</v>
      </c>
    </row>
    <row r="129" spans="2:5" ht="15.6" hidden="1">
      <c r="B129" s="16" t="s">
        <v>38</v>
      </c>
      <c r="C129" s="17" t="s">
        <v>47</v>
      </c>
      <c r="D129" s="24">
        <v>142</v>
      </c>
      <c r="E129" s="18" t="str">
        <f>HYPERLINK("#'Data'!A994", "Households that reportedly were unable to obtain medicine from Affordable Medicine Program broken down by proximity to the Frontline / Russian bord...")</f>
        <v>Households that reportedly were unable to obtain medicine from Affordable Medicine Program broken down by proximity to the Frontline / Russian bord...</v>
      </c>
    </row>
    <row r="130" spans="2:5" ht="15.6" hidden="1">
      <c r="B130" s="16" t="s">
        <v>38</v>
      </c>
      <c r="C130" s="17" t="s">
        <v>47</v>
      </c>
      <c r="D130" s="24">
        <v>143</v>
      </c>
      <c r="E130" s="18" t="str">
        <f>HYPERLINK("#'Data'!A1001", "Households that reportedly were unable to obtain medicine from Affordable Medicine Program broken down by member with WGSS disability on the admin ...")</f>
        <v>Households that reportedly were unable to obtain medicine from Affordable Medicine Program broken down by member with WGSS disability on the admin ...</v>
      </c>
    </row>
    <row r="131" spans="2:5" ht="15.6" hidden="1">
      <c r="B131" s="16" t="s">
        <v>38</v>
      </c>
      <c r="C131" s="17" t="s">
        <v>47</v>
      </c>
      <c r="D131" s="24">
        <v>144</v>
      </c>
      <c r="E131" s="18" t="str">
        <f>HYPERLINK("#'Data'!A1007", "Households that reportedly were unable to obtain medicine from Affordable Medicine Program broken down by displacement status of HoH on the admin o...")</f>
        <v>Households that reportedly were unable to obtain medicine from Affordable Medicine Program broken down by displacement status of HoH on the admin o...</v>
      </c>
    </row>
    <row r="132" spans="2:5" ht="15.6" hidden="1">
      <c r="B132" s="16" t="s">
        <v>38</v>
      </c>
      <c r="C132" s="17" t="s">
        <v>47</v>
      </c>
      <c r="D132" s="24">
        <v>145</v>
      </c>
      <c r="E132" s="18" t="str">
        <f>HYPERLINK("#'Data'!A1016", "Households that reportedly were unable to obtain medicine from Affordable Medicine Program broken down by household size on the admin of overall pe...")</f>
        <v>Households that reportedly were unable to obtain medicine from Affordable Medicine Program broken down by household size on the admin of overall pe...</v>
      </c>
    </row>
    <row r="133" spans="2:5" ht="15.6" hidden="1">
      <c r="B133" s="16" t="s">
        <v>38</v>
      </c>
      <c r="C133" s="17" t="s">
        <v>47</v>
      </c>
      <c r="D133" s="24">
        <v>146</v>
      </c>
      <c r="E133" s="18" t="str">
        <f>HYPERLINK("#'Data'!A1023", "Households that reportedly were unable to obtain medicine from Affordable Medicine Program broken down by single/joint headed HHs on the admin of o...")</f>
        <v>Households that reportedly were unable to obtain medicine from Affordable Medicine Program broken down by single/joint headed HHs on the admin of o...</v>
      </c>
    </row>
    <row r="134" spans="2:5" ht="15.6" hidden="1">
      <c r="B134" s="16" t="s">
        <v>38</v>
      </c>
      <c r="C134" s="17" t="s">
        <v>48</v>
      </c>
      <c r="D134" s="24">
        <v>148</v>
      </c>
      <c r="E134" s="18" t="str">
        <f>HYPERLINK("#'Data'!A1030", "Households by reported reasons for not being able to obtain medicine from Affordable Medicine Program broken down by rural / urban on the admin of ...")</f>
        <v>Households by reported reasons for not being able to obtain medicine from Affordable Medicine Program broken down by rural / urban on the admin of ...</v>
      </c>
    </row>
    <row r="135" spans="2:5" ht="15.6" hidden="1">
      <c r="B135" s="16" t="s">
        <v>38</v>
      </c>
      <c r="C135" s="17" t="s">
        <v>48</v>
      </c>
      <c r="D135" s="24">
        <v>149</v>
      </c>
      <c r="E135" s="18" t="str">
        <f>HYPERLINK("#'Data'!A1036", "Households by reported reasons for not being able to obtain medicine from Affordable Medicine Program broken down by proximity to the Frontline / R...")</f>
        <v>Households by reported reasons for not being able to obtain medicine from Affordable Medicine Program broken down by proximity to the Frontline / R...</v>
      </c>
    </row>
    <row r="136" spans="2:5" ht="15.6" hidden="1">
      <c r="B136" s="16" t="s">
        <v>38</v>
      </c>
      <c r="C136" s="17" t="s">
        <v>48</v>
      </c>
      <c r="D136" s="24">
        <v>150</v>
      </c>
      <c r="E136" s="18" t="str">
        <f>HYPERLINK("#'Data'!A1043", "Households by reported reasons for not being able to obtain medicine from Affordable Medicine Program broken down by member with WGSS disability on...")</f>
        <v>Households by reported reasons for not being able to obtain medicine from Affordable Medicine Program broken down by member with WGSS disability on...</v>
      </c>
    </row>
    <row r="137" spans="2:5" ht="15.6" hidden="1">
      <c r="B137" s="16" t="s">
        <v>38</v>
      </c>
      <c r="C137" s="17" t="s">
        <v>48</v>
      </c>
      <c r="D137" s="24">
        <v>151</v>
      </c>
      <c r="E137" s="18" t="str">
        <f>HYPERLINK("#'Data'!A1049", "Households by reported reasons for not being able to obtain medicine from Affordable Medicine Program broken down by displacement status of HoH on ...")</f>
        <v>Households by reported reasons for not being able to obtain medicine from Affordable Medicine Program broken down by displacement status of HoH on ...</v>
      </c>
    </row>
    <row r="138" spans="2:5" ht="15.6" hidden="1">
      <c r="B138" s="16" t="s">
        <v>38</v>
      </c>
      <c r="C138" s="17" t="s">
        <v>48</v>
      </c>
      <c r="D138" s="24">
        <v>152</v>
      </c>
      <c r="E138" s="18" t="str">
        <f>HYPERLINK("#'Data'!A1056", "Households by reported reasons for not being able to obtain medicine from Affordable Medicine Program broken down by household size on the admin of...")</f>
        <v>Households by reported reasons for not being able to obtain medicine from Affordable Medicine Program broken down by household size on the admin of...</v>
      </c>
    </row>
    <row r="139" spans="2:5" ht="15.6" hidden="1">
      <c r="B139" s="16" t="s">
        <v>38</v>
      </c>
      <c r="C139" s="17" t="s">
        <v>48</v>
      </c>
      <c r="D139" s="24">
        <v>153</v>
      </c>
      <c r="E139" s="18" t="str">
        <f>HYPERLINK("#'Data'!A1063", "Households by reported reasons for not being able to obtain medicine from Affordable Medicine Program broken down by single/joint headed HHs on the...")</f>
        <v>Households by reported reasons for not being able to obtain medicine from Affordable Medicine Program broken down by single/joint headed HHs on the...</v>
      </c>
    </row>
    <row r="140" spans="2:5" ht="15.6" hidden="1">
      <c r="B140" s="16" t="s">
        <v>38</v>
      </c>
      <c r="C140" s="17" t="s">
        <v>49</v>
      </c>
      <c r="D140" s="24">
        <v>155</v>
      </c>
      <c r="E140" s="18" t="str">
        <f>HYPERLINK("#'Data'!A1070", "Households reporting barriers while accessing healthcare/medication broken down by rural / urban on the admin of overall perc")</f>
        <v>Households reporting barriers while accessing healthcare/medication broken down by rural / urban on the admin of overall perc</v>
      </c>
    </row>
    <row r="141" spans="2:5" ht="15.6" hidden="1">
      <c r="B141" s="16" t="s">
        <v>38</v>
      </c>
      <c r="C141" s="17" t="s">
        <v>49</v>
      </c>
      <c r="D141" s="24">
        <v>156</v>
      </c>
      <c r="E141" s="18" t="str">
        <f>HYPERLINK("#'Data'!A1076", "Households reporting barriers while accessing healthcare/medication broken down by proximity to the Frontline / Russian border on the admin of over...")</f>
        <v>Households reporting barriers while accessing healthcare/medication broken down by proximity to the Frontline / Russian border on the admin of over...</v>
      </c>
    </row>
    <row r="142" spans="2:5" ht="15.6" hidden="1">
      <c r="B142" s="16" t="s">
        <v>38</v>
      </c>
      <c r="C142" s="17" t="s">
        <v>49</v>
      </c>
      <c r="D142" s="24">
        <v>157</v>
      </c>
      <c r="E142" s="18" t="str">
        <f>HYPERLINK("#'Data'!A1083", "Households reporting barriers while accessing healthcare/medication broken down by member with WGSS disability on the admin of overall perc")</f>
        <v>Households reporting barriers while accessing healthcare/medication broken down by member with WGSS disability on the admin of overall perc</v>
      </c>
    </row>
    <row r="143" spans="2:5" ht="15.6" hidden="1">
      <c r="B143" s="16" t="s">
        <v>38</v>
      </c>
      <c r="C143" s="17" t="s">
        <v>49</v>
      </c>
      <c r="D143" s="24">
        <v>158</v>
      </c>
      <c r="E143" s="18" t="str">
        <f>HYPERLINK("#'Data'!A1089", "Households reporting barriers while accessing healthcare/medication broken down by displacement status of HoH on the admin of overall perc")</f>
        <v>Households reporting barriers while accessing healthcare/medication broken down by displacement status of HoH on the admin of overall perc</v>
      </c>
    </row>
    <row r="144" spans="2:5" ht="15.6" hidden="1">
      <c r="B144" s="16" t="s">
        <v>38</v>
      </c>
      <c r="C144" s="17" t="s">
        <v>49</v>
      </c>
      <c r="D144" s="24">
        <v>159</v>
      </c>
      <c r="E144" s="18" t="str">
        <f>HYPERLINK("#'Data'!A1098", "Households reporting barriers while accessing healthcare/medication broken down by household size on the admin of overall perc")</f>
        <v>Households reporting barriers while accessing healthcare/medication broken down by household size on the admin of overall perc</v>
      </c>
    </row>
    <row r="145" spans="2:5" ht="15.6" hidden="1">
      <c r="B145" s="16" t="s">
        <v>38</v>
      </c>
      <c r="C145" s="17" t="s">
        <v>49</v>
      </c>
      <c r="D145" s="24">
        <v>160</v>
      </c>
      <c r="E145" s="18" t="str">
        <f>HYPERLINK("#'Data'!A1105", "Households reporting barriers while accessing healthcare/medication broken down by single/joint headed HHs on the admin of overall perc")</f>
        <v>Households reporting barriers while accessing healthcare/medication broken down by single/joint headed HHs on the admin of overall perc</v>
      </c>
    </row>
    <row r="146" spans="2:5" ht="15.6" hidden="1">
      <c r="B146" s="16" t="s">
        <v>38</v>
      </c>
      <c r="C146" s="17" t="s">
        <v>50</v>
      </c>
      <c r="D146" s="24">
        <v>162</v>
      </c>
      <c r="E146" s="18" t="str">
        <f>HYPERLINK("#'Data'!A1112", "Households with women (12-49 y.o.) reportedly having the information on where to access sexual and reproductive health services broken down by rura...")</f>
        <v>Households with women (12-49 y.o.) reportedly having the information on where to access sexual and reproductive health services broken down by rura...</v>
      </c>
    </row>
    <row r="147" spans="2:5" ht="15.6" hidden="1">
      <c r="B147" s="16" t="s">
        <v>38</v>
      </c>
      <c r="C147" s="17" t="s">
        <v>50</v>
      </c>
      <c r="D147" s="24">
        <v>163</v>
      </c>
      <c r="E147" s="18" t="str">
        <f>HYPERLINK("#'Data'!A1118", "Households with women (12-49 y.o.) reportedly having the information on where to access sexual and reproductive health services broken down by prox...")</f>
        <v>Households with women (12-49 y.o.) reportedly having the information on where to access sexual and reproductive health services broken down by prox...</v>
      </c>
    </row>
    <row r="148" spans="2:5" ht="15.6" hidden="1">
      <c r="B148" s="16" t="s">
        <v>38</v>
      </c>
      <c r="C148" s="17" t="s">
        <v>50</v>
      </c>
      <c r="D148" s="24">
        <v>164</v>
      </c>
      <c r="E148" s="18" t="str">
        <f>HYPERLINK("#'Data'!A1125", "Households with women (12-49 y.o.) reportedly having the information on where to access sexual and reproductive health services broken down by memb...")</f>
        <v>Households with women (12-49 y.o.) reportedly having the information on where to access sexual and reproductive health services broken down by memb...</v>
      </c>
    </row>
    <row r="149" spans="2:5" ht="15.6" hidden="1">
      <c r="B149" s="16" t="s">
        <v>38</v>
      </c>
      <c r="C149" s="17" t="s">
        <v>50</v>
      </c>
      <c r="D149" s="24">
        <v>165</v>
      </c>
      <c r="E149" s="18" t="str">
        <f>HYPERLINK("#'Data'!A1131", "Households with women (12-49 y.o.) reportedly having the information on where to access sexual and reproductive health services broken down by disp...")</f>
        <v>Households with women (12-49 y.o.) reportedly having the information on where to access sexual and reproductive health services broken down by disp...</v>
      </c>
    </row>
    <row r="150" spans="2:5" ht="15.6" hidden="1">
      <c r="B150" s="16" t="s">
        <v>38</v>
      </c>
      <c r="C150" s="17" t="s">
        <v>50</v>
      </c>
      <c r="D150" s="24">
        <v>166</v>
      </c>
      <c r="E150" s="18" t="str">
        <f>HYPERLINK("#'Data'!A1140", "Households with women (12-49 y.o.) reportedly having the information on where to access sexual and reproductive health services broken down by hous...")</f>
        <v>Households with women (12-49 y.o.) reportedly having the information on where to access sexual and reproductive health services broken down by hous...</v>
      </c>
    </row>
    <row r="151" spans="2:5" ht="15.6" hidden="1">
      <c r="B151" s="16" t="s">
        <v>38</v>
      </c>
      <c r="C151" s="17" t="s">
        <v>50</v>
      </c>
      <c r="D151" s="24">
        <v>167</v>
      </c>
      <c r="E151" s="18" t="str">
        <f>HYPERLINK("#'Data'!A1147", "Households with women (12-49 y.o.) reportedly having the information on where to access sexual and reproductive health services broken down by sing...")</f>
        <v>Households with women (12-49 y.o.) reportedly having the information on where to access sexual and reproductive health services broken down by sing...</v>
      </c>
    </row>
    <row r="152" spans="2:5" ht="15.6" hidden="1">
      <c r="B152" s="16" t="s">
        <v>51</v>
      </c>
      <c r="C152" s="17" t="s">
        <v>52</v>
      </c>
      <c r="D152" s="24">
        <v>169</v>
      </c>
      <c r="E152" s="18" t="str">
        <f>HYPERLINK("#'Data'!A1154", "Households reportedly experiencing at least 2 weeks of notable stress in the last 6 months broken down by rural / urban on the admin of overall per...")</f>
        <v>Households reportedly experiencing at least 2 weeks of notable stress in the last 6 months broken down by rural / urban on the admin of overall per...</v>
      </c>
    </row>
    <row r="153" spans="2:5" ht="15.6" hidden="1">
      <c r="B153" s="16" t="s">
        <v>51</v>
      </c>
      <c r="C153" s="17" t="s">
        <v>52</v>
      </c>
      <c r="D153" s="24">
        <v>170</v>
      </c>
      <c r="E153" s="18" t="str">
        <f>HYPERLINK("#'Data'!A1160", "Households reportedly experiencing at least 2 weeks of notable stress in the last 6 months broken down by proximity to the Frontline / Russian bord...")</f>
        <v>Households reportedly experiencing at least 2 weeks of notable stress in the last 6 months broken down by proximity to the Frontline / Russian bord...</v>
      </c>
    </row>
    <row r="154" spans="2:5" ht="15.6" hidden="1">
      <c r="B154" s="16" t="s">
        <v>51</v>
      </c>
      <c r="C154" s="17" t="s">
        <v>52</v>
      </c>
      <c r="D154" s="24">
        <v>171</v>
      </c>
      <c r="E154" s="18" t="str">
        <f>HYPERLINK("#'Data'!A1167", "Households reportedly experiencing at least 2 weeks of notable stress in the last 6 months broken down by member with WGSS disability on the admin ...")</f>
        <v>Households reportedly experiencing at least 2 weeks of notable stress in the last 6 months broken down by member with WGSS disability on the admin ...</v>
      </c>
    </row>
    <row r="155" spans="2:5" ht="15.6" hidden="1">
      <c r="B155" s="16" t="s">
        <v>51</v>
      </c>
      <c r="C155" s="17" t="s">
        <v>52</v>
      </c>
      <c r="D155" s="24">
        <v>172</v>
      </c>
      <c r="E155" s="18" t="str">
        <f>HYPERLINK("#'Data'!A1173", "Households reportedly experiencing at least 2 weeks of notable stress in the last 6 months broken down by displacement status of HoH on the admin o...")</f>
        <v>Households reportedly experiencing at least 2 weeks of notable stress in the last 6 months broken down by displacement status of HoH on the admin o...</v>
      </c>
    </row>
    <row r="156" spans="2:5" ht="15.6" hidden="1">
      <c r="B156" s="16" t="s">
        <v>51</v>
      </c>
      <c r="C156" s="17" t="s">
        <v>52</v>
      </c>
      <c r="D156" s="24">
        <v>173</v>
      </c>
      <c r="E156" s="18" t="str">
        <f>HYPERLINK("#'Data'!A1182", "Households reportedly experiencing at least 2 weeks of notable stress in the last 6 months broken down by household size on the admin of overall pe...")</f>
        <v>Households reportedly experiencing at least 2 weeks of notable stress in the last 6 months broken down by household size on the admin of overall pe...</v>
      </c>
    </row>
    <row r="157" spans="2:5" ht="15.6" hidden="1">
      <c r="B157" s="16" t="s">
        <v>51</v>
      </c>
      <c r="C157" s="17" t="s">
        <v>52</v>
      </c>
      <c r="D157" s="24">
        <v>174</v>
      </c>
      <c r="E157" s="18" t="str">
        <f>HYPERLINK("#'Data'!A1189", "Households reportedly experiencing at least 2 weeks of notable stress in the last 6 months broken down by single/joint headed HHs on the admin of o...")</f>
        <v>Households reportedly experiencing at least 2 weeks of notable stress in the last 6 months broken down by single/joint headed HHs on the admin of o...</v>
      </c>
    </row>
    <row r="158" spans="2:5" ht="15.6" hidden="1">
      <c r="B158" s="16" t="s">
        <v>51</v>
      </c>
      <c r="C158" s="17" t="s">
        <v>53</v>
      </c>
      <c r="D158" s="24">
        <v>176</v>
      </c>
      <c r="E158" s="18" t="str">
        <f>HYPERLINK("#'Data'!A1196", "Households reportedly experiencing at least 2 weeks of depressed mood in the last 6 months broken down by rural / urban on the admin of overall per...")</f>
        <v>Households reportedly experiencing at least 2 weeks of depressed mood in the last 6 months broken down by rural / urban on the admin of overall per...</v>
      </c>
    </row>
    <row r="159" spans="2:5" ht="15.6" hidden="1">
      <c r="B159" s="16" t="s">
        <v>51</v>
      </c>
      <c r="C159" s="17" t="s">
        <v>53</v>
      </c>
      <c r="D159" s="24">
        <v>177</v>
      </c>
      <c r="E159" s="18" t="str">
        <f>HYPERLINK("#'Data'!A1202", "Households reportedly experiencing at least 2 weeks of depressed mood in the last 6 months broken down by proximity to the Frontline / Russian bord...")</f>
        <v>Households reportedly experiencing at least 2 weeks of depressed mood in the last 6 months broken down by proximity to the Frontline / Russian bord...</v>
      </c>
    </row>
    <row r="160" spans="2:5" ht="15.6" hidden="1">
      <c r="B160" s="16" t="s">
        <v>51</v>
      </c>
      <c r="C160" s="17" t="s">
        <v>53</v>
      </c>
      <c r="D160" s="24">
        <v>178</v>
      </c>
      <c r="E160" s="18" t="str">
        <f>HYPERLINK("#'Data'!A1209", "Households reportedly experiencing at least 2 weeks of depressed mood in the last 6 months broken down by member with WGSS disability on the admin ...")</f>
        <v>Households reportedly experiencing at least 2 weeks of depressed mood in the last 6 months broken down by member with WGSS disability on the admin ...</v>
      </c>
    </row>
    <row r="161" spans="2:5" ht="15.6" hidden="1">
      <c r="B161" s="16" t="s">
        <v>51</v>
      </c>
      <c r="C161" s="17" t="s">
        <v>53</v>
      </c>
      <c r="D161" s="24">
        <v>179</v>
      </c>
      <c r="E161" s="18" t="str">
        <f>HYPERLINK("#'Data'!A1215", "Households reportedly experiencing at least 2 weeks of depressed mood in the last 6 months broken down by displacement status of HoH on the admin o...")</f>
        <v>Households reportedly experiencing at least 2 weeks of depressed mood in the last 6 months broken down by displacement status of HoH on the admin o...</v>
      </c>
    </row>
    <row r="162" spans="2:5" ht="15.6" hidden="1">
      <c r="B162" s="16" t="s">
        <v>51</v>
      </c>
      <c r="C162" s="17" t="s">
        <v>53</v>
      </c>
      <c r="D162" s="24">
        <v>180</v>
      </c>
      <c r="E162" s="18" t="str">
        <f>HYPERLINK("#'Data'!A1224", "Households reportedly experiencing at least 2 weeks of depressed mood in the last 6 months broken down by household size on the admin of overall pe...")</f>
        <v>Households reportedly experiencing at least 2 weeks of depressed mood in the last 6 months broken down by household size on the admin of overall pe...</v>
      </c>
    </row>
    <row r="163" spans="2:5" ht="15.6" hidden="1">
      <c r="B163" s="16" t="s">
        <v>51</v>
      </c>
      <c r="C163" s="17" t="s">
        <v>53</v>
      </c>
      <c r="D163" s="24">
        <v>181</v>
      </c>
      <c r="E163" s="18" t="str">
        <f>HYPERLINK("#'Data'!A1231", "Households reportedly experiencing at least 2 weeks of depressed mood in the last 6 months broken down by single/joint headed HHs on the admin of o...")</f>
        <v>Households reportedly experiencing at least 2 weeks of depressed mood in the last 6 months broken down by single/joint headed HHs on the admin of o...</v>
      </c>
    </row>
    <row r="164" spans="2:5" ht="15.6" hidden="1">
      <c r="B164" s="26" t="s">
        <v>51</v>
      </c>
      <c r="C164" s="27" t="s">
        <v>54</v>
      </c>
      <c r="D164" s="24">
        <v>183</v>
      </c>
      <c r="E164" s="18" t="str">
        <f>HYPERLINK("#'Data'!A1238", "Households reportedly experiencing at least 2 weeks of anxiety in the last 6 months broken down by rural / urban on the admin of overall perc")</f>
        <v>Households reportedly experiencing at least 2 weeks of anxiety in the last 6 months broken down by rural / urban on the admin of overall perc</v>
      </c>
    </row>
    <row r="165" spans="2:5" ht="15.6" hidden="1">
      <c r="B165" s="26" t="s">
        <v>51</v>
      </c>
      <c r="C165" s="27" t="s">
        <v>54</v>
      </c>
      <c r="D165" s="24">
        <v>184</v>
      </c>
      <c r="E165" s="18" t="str">
        <f>HYPERLINK("#'Data'!A1244", "Households reportedly experiencing at least 2 weeks of anxiety in the last 6 months broken down by proximity to the Frontline / Russian border on t...")</f>
        <v>Households reportedly experiencing at least 2 weeks of anxiety in the last 6 months broken down by proximity to the Frontline / Russian border on t...</v>
      </c>
    </row>
    <row r="166" spans="2:5" ht="15.6" hidden="1">
      <c r="B166" s="26" t="s">
        <v>51</v>
      </c>
      <c r="C166" s="27" t="s">
        <v>54</v>
      </c>
      <c r="D166" s="24">
        <v>185</v>
      </c>
      <c r="E166" s="18" t="str">
        <f>HYPERLINK("#'Data'!A1251", "Households reportedly experiencing at least 2 weeks of anxiety in the last 6 months broken down by member with WGSS disability on the admin of over...")</f>
        <v>Households reportedly experiencing at least 2 weeks of anxiety in the last 6 months broken down by member with WGSS disability on the admin of over...</v>
      </c>
    </row>
    <row r="167" spans="2:5" ht="15.6" hidden="1">
      <c r="B167" s="26" t="s">
        <v>51</v>
      </c>
      <c r="C167" s="27" t="s">
        <v>54</v>
      </c>
      <c r="D167" s="24">
        <v>186</v>
      </c>
      <c r="E167" s="18" t="str">
        <f>HYPERLINK("#'Data'!A1257", "Households reportedly experiencing at least 2 weeks of anxiety in the last 6 months broken down by displacement status of HoH on the admin of overa...")</f>
        <v>Households reportedly experiencing at least 2 weeks of anxiety in the last 6 months broken down by displacement status of HoH on the admin of overa...</v>
      </c>
    </row>
    <row r="168" spans="2:5" ht="15.6" hidden="1">
      <c r="B168" s="26" t="s">
        <v>51</v>
      </c>
      <c r="C168" s="27" t="s">
        <v>54</v>
      </c>
      <c r="D168" s="24">
        <v>187</v>
      </c>
      <c r="E168" s="18" t="str">
        <f>HYPERLINK("#'Data'!A1266", "Households reportedly experiencing at least 2 weeks of anxiety in the last 6 months broken down by household size on the admin of overall perc")</f>
        <v>Households reportedly experiencing at least 2 weeks of anxiety in the last 6 months broken down by household size on the admin of overall perc</v>
      </c>
    </row>
    <row r="169" spans="2:5" ht="15.6" hidden="1">
      <c r="B169" s="26" t="s">
        <v>51</v>
      </c>
      <c r="C169" s="27" t="s">
        <v>54</v>
      </c>
      <c r="D169" s="24">
        <v>188</v>
      </c>
      <c r="E169" s="18" t="str">
        <f>HYPERLINK("#'Data'!A1273", "Households reportedly experiencing at least 2 weeks of anxiety in the last 6 months broken down by single/joint headed HHs on the admin of overall ...")</f>
        <v>Households reportedly experiencing at least 2 weeks of anxiety in the last 6 months broken down by single/joint headed HHs on the admin of overall ...</v>
      </c>
    </row>
    <row r="170" spans="2:5" ht="15.6" hidden="1">
      <c r="B170" s="16" t="s">
        <v>38</v>
      </c>
      <c r="C170" s="17" t="s">
        <v>55</v>
      </c>
      <c r="D170" s="24">
        <v>190</v>
      </c>
      <c r="E170" s="18" t="str">
        <f>HYPERLINK("#'Data'!A1280", "Households that reportedly have at least 1 member that has registered disability broken down by rural / urban on the admin of overall perc")</f>
        <v>Households that reportedly have at least 1 member that has registered disability broken down by rural / urban on the admin of overall perc</v>
      </c>
    </row>
    <row r="171" spans="2:5" ht="15.6" hidden="1">
      <c r="B171" s="16" t="s">
        <v>38</v>
      </c>
      <c r="C171" s="17" t="s">
        <v>55</v>
      </c>
      <c r="D171" s="24">
        <v>191</v>
      </c>
      <c r="E171" s="18" t="str">
        <f>HYPERLINK("#'Data'!A1286", "Households that reportedly have at least 1 member that has registered disability broken down by proximity to the Frontline / Russian border on the ...")</f>
        <v>Households that reportedly have at least 1 member that has registered disability broken down by proximity to the Frontline / Russian border on the ...</v>
      </c>
    </row>
    <row r="172" spans="2:5" ht="15.6" hidden="1">
      <c r="B172" s="16" t="s">
        <v>38</v>
      </c>
      <c r="C172" s="17" t="s">
        <v>55</v>
      </c>
      <c r="D172" s="24">
        <v>192</v>
      </c>
      <c r="E172" s="18" t="str">
        <f>HYPERLINK("#'Data'!A1293", "Households that reportedly have at least 1 member that has registered disability broken down by member with WGSS disability on the admin of overall...")</f>
        <v>Households that reportedly have at least 1 member that has registered disability broken down by member with WGSS disability on the admin of overall...</v>
      </c>
    </row>
    <row r="173" spans="2:5" ht="15.6" hidden="1">
      <c r="B173" s="16" t="s">
        <v>38</v>
      </c>
      <c r="C173" s="17" t="s">
        <v>55</v>
      </c>
      <c r="D173" s="24">
        <v>193</v>
      </c>
      <c r="E173" s="18" t="str">
        <f>HYPERLINK("#'Data'!A1299", "Households that reportedly have at least 1 member that has registered disability broken down by displacement status of HoH on the admin of overall ...")</f>
        <v>Households that reportedly have at least 1 member that has registered disability broken down by displacement status of HoH on the admin of overall ...</v>
      </c>
    </row>
    <row r="174" spans="2:5" ht="15.6" hidden="1">
      <c r="B174" s="16" t="s">
        <v>38</v>
      </c>
      <c r="C174" s="17" t="s">
        <v>55</v>
      </c>
      <c r="D174" s="24">
        <v>194</v>
      </c>
      <c r="E174" s="18" t="str">
        <f>HYPERLINK("#'Data'!A1308", "Households that reportedly have at least 1 member that has registered disability broken down by household size on the admin of overall perc")</f>
        <v>Households that reportedly have at least 1 member that has registered disability broken down by household size on the admin of overall perc</v>
      </c>
    </row>
    <row r="175" spans="2:5" ht="15.6" hidden="1">
      <c r="B175" s="16" t="s">
        <v>38</v>
      </c>
      <c r="C175" s="17" t="s">
        <v>55</v>
      </c>
      <c r="D175" s="24">
        <v>195</v>
      </c>
      <c r="E175" s="18" t="str">
        <f>HYPERLINK("#'Data'!A1315", "Households that reportedly have at least 1 member that has registered disability broken down by single/joint headed HHs on the admin of overall per...")</f>
        <v>Households that reportedly have at least 1 member that has registered disability broken down by single/joint headed HHs on the admin of overall per...</v>
      </c>
    </row>
    <row r="176" spans="2:5" ht="15.6" hidden="1">
      <c r="B176" s="16" t="s">
        <v>38</v>
      </c>
      <c r="C176" s="17" t="s">
        <v>56</v>
      </c>
      <c r="D176" s="24">
        <v>197</v>
      </c>
      <c r="E176" s="18" t="str">
        <f>HYPERLINK("#'Data'!A1322", "Households that reportedly have at least 1 member that has difficulties seeing broken down by rural / urban on the admin of overall perc")</f>
        <v>Households that reportedly have at least 1 member that has difficulties seeing broken down by rural / urban on the admin of overall perc</v>
      </c>
    </row>
    <row r="177" spans="2:5" ht="15.6" hidden="1">
      <c r="B177" s="16" t="s">
        <v>38</v>
      </c>
      <c r="C177" s="17" t="s">
        <v>56</v>
      </c>
      <c r="D177" s="24">
        <v>198</v>
      </c>
      <c r="E177" s="18" t="str">
        <f>HYPERLINK("#'Data'!A1328", "Households that reportedly have at least 1 member that has difficulties seeing broken down by proximity to the Frontline / Russian border on the ad...")</f>
        <v>Households that reportedly have at least 1 member that has difficulties seeing broken down by proximity to the Frontline / Russian border on the ad...</v>
      </c>
    </row>
    <row r="178" spans="2:5" ht="15.6" hidden="1">
      <c r="B178" s="16" t="s">
        <v>38</v>
      </c>
      <c r="C178" s="17" t="s">
        <v>56</v>
      </c>
      <c r="D178" s="24">
        <v>199</v>
      </c>
      <c r="E178" s="18" t="str">
        <f>HYPERLINK("#'Data'!A1335", "Households that reportedly have at least 1 member that has difficulties seeing broken down by member with WGSS disability on the admin of overall p...")</f>
        <v>Households that reportedly have at least 1 member that has difficulties seeing broken down by member with WGSS disability on the admin of overall p...</v>
      </c>
    </row>
    <row r="179" spans="2:5" ht="15.6" hidden="1">
      <c r="B179" s="16" t="s">
        <v>38</v>
      </c>
      <c r="C179" s="17" t="s">
        <v>56</v>
      </c>
      <c r="D179" s="24">
        <v>200</v>
      </c>
      <c r="E179" s="18" t="str">
        <f>HYPERLINK("#'Data'!A1341", "Households that reportedly have at least 1 member that has difficulties seeing broken down by displacement status of HoH on the admin of overall pe...")</f>
        <v>Households that reportedly have at least 1 member that has difficulties seeing broken down by displacement status of HoH on the admin of overall pe...</v>
      </c>
    </row>
    <row r="180" spans="2:5" ht="15.6" hidden="1">
      <c r="B180" s="16" t="s">
        <v>38</v>
      </c>
      <c r="C180" s="17" t="s">
        <v>56</v>
      </c>
      <c r="D180" s="24">
        <v>201</v>
      </c>
      <c r="E180" s="18" t="str">
        <f>HYPERLINK("#'Data'!A1350", "Households that reportedly have at least 1 member that has difficulties seeing broken down by household size on the admin of overall perc")</f>
        <v>Households that reportedly have at least 1 member that has difficulties seeing broken down by household size on the admin of overall perc</v>
      </c>
    </row>
    <row r="181" spans="2:5" ht="15.6" hidden="1">
      <c r="B181" s="16" t="s">
        <v>38</v>
      </c>
      <c r="C181" s="17" t="s">
        <v>56</v>
      </c>
      <c r="D181" s="24">
        <v>202</v>
      </c>
      <c r="E181" s="18" t="str">
        <f>HYPERLINK("#'Data'!A1357", "Households that reportedly have at least 1 member that has difficulties seeing broken down by single/joint headed HHs on the admin of overall perc")</f>
        <v>Households that reportedly have at least 1 member that has difficulties seeing broken down by single/joint headed HHs on the admin of overall perc</v>
      </c>
    </row>
    <row r="182" spans="2:5" ht="15.6" hidden="1">
      <c r="B182" s="16" t="s">
        <v>38</v>
      </c>
      <c r="C182" s="17" t="s">
        <v>57</v>
      </c>
      <c r="D182" s="24">
        <v>204</v>
      </c>
      <c r="E182" s="18" t="str">
        <f>HYPERLINK("#'Data'!A1364", "Households that reportedly have at least 1 member that has difficulties hearing broken down by rural / urban on the admin of overall perc")</f>
        <v>Households that reportedly have at least 1 member that has difficulties hearing broken down by rural / urban on the admin of overall perc</v>
      </c>
    </row>
    <row r="183" spans="2:5" ht="15.6" hidden="1">
      <c r="B183" s="16" t="s">
        <v>38</v>
      </c>
      <c r="C183" s="17" t="s">
        <v>57</v>
      </c>
      <c r="D183" s="24">
        <v>205</v>
      </c>
      <c r="E183" s="18" t="str">
        <f>HYPERLINK("#'Data'!A1370", "Households that reportedly have at least 1 member that has difficulties hearing broken down by proximity to the Frontline / Russian border on the a...")</f>
        <v>Households that reportedly have at least 1 member that has difficulties hearing broken down by proximity to the Frontline / Russian border on the a...</v>
      </c>
    </row>
    <row r="184" spans="2:5" ht="15.6" hidden="1">
      <c r="B184" s="16" t="s">
        <v>38</v>
      </c>
      <c r="C184" s="17" t="s">
        <v>57</v>
      </c>
      <c r="D184" s="24">
        <v>206</v>
      </c>
      <c r="E184" s="18" t="str">
        <f>HYPERLINK("#'Data'!A1377", "Households that reportedly have at least 1 member that has difficulties hearing broken down by member with WGSS disability on the admin of overall ...")</f>
        <v>Households that reportedly have at least 1 member that has difficulties hearing broken down by member with WGSS disability on the admin of overall ...</v>
      </c>
    </row>
    <row r="185" spans="2:5" ht="15.6" hidden="1">
      <c r="B185" s="16" t="s">
        <v>38</v>
      </c>
      <c r="C185" s="17" t="s">
        <v>57</v>
      </c>
      <c r="D185" s="24">
        <v>207</v>
      </c>
      <c r="E185" s="18" t="str">
        <f>HYPERLINK("#'Data'!A1383", "Households that reportedly have at least 1 member that has difficulties hearing broken down by displacement status of HoH on the admin of overall p...")</f>
        <v>Households that reportedly have at least 1 member that has difficulties hearing broken down by displacement status of HoH on the admin of overall p...</v>
      </c>
    </row>
    <row r="186" spans="2:5" ht="15.6" hidden="1">
      <c r="B186" s="16" t="s">
        <v>38</v>
      </c>
      <c r="C186" s="17" t="s">
        <v>57</v>
      </c>
      <c r="D186" s="24">
        <v>208</v>
      </c>
      <c r="E186" s="18" t="str">
        <f>HYPERLINK("#'Data'!A1392", "Households that reportedly have at least 1 member that has difficulties hearing broken down by household size on the admin of overall perc")</f>
        <v>Households that reportedly have at least 1 member that has difficulties hearing broken down by household size on the admin of overall perc</v>
      </c>
    </row>
    <row r="187" spans="2:5" ht="15.6" hidden="1">
      <c r="B187" s="16" t="s">
        <v>38</v>
      </c>
      <c r="C187" s="17" t="s">
        <v>57</v>
      </c>
      <c r="D187" s="24">
        <v>209</v>
      </c>
      <c r="E187" s="18" t="str">
        <f>HYPERLINK("#'Data'!A1399", "Households that reportedly have at least 1 member that has difficulties hearing broken down by single/joint headed HHs on the admin of overall perc")</f>
        <v>Households that reportedly have at least 1 member that has difficulties hearing broken down by single/joint headed HHs on the admin of overall perc</v>
      </c>
    </row>
    <row r="188" spans="2:5" ht="15.6" hidden="1">
      <c r="B188" s="16" t="s">
        <v>38</v>
      </c>
      <c r="C188" s="17" t="s">
        <v>58</v>
      </c>
      <c r="D188" s="24">
        <v>211</v>
      </c>
      <c r="E188" s="18" t="str">
        <f>HYPERLINK("#'Data'!A1406", "Households that reportedly have at least 1 member that has difficulties walking broken down by rural / urban on the admin of overall perc")</f>
        <v>Households that reportedly have at least 1 member that has difficulties walking broken down by rural / urban on the admin of overall perc</v>
      </c>
    </row>
    <row r="189" spans="2:5" ht="15.6" hidden="1">
      <c r="B189" s="16" t="s">
        <v>38</v>
      </c>
      <c r="C189" s="17" t="s">
        <v>58</v>
      </c>
      <c r="D189" s="24">
        <v>212</v>
      </c>
      <c r="E189" s="18" t="str">
        <f>HYPERLINK("#'Data'!A1412", "Households that reportedly have at least 1 member that has difficulties walking broken down by proximity to the Frontline / Russian border on the a...")</f>
        <v>Households that reportedly have at least 1 member that has difficulties walking broken down by proximity to the Frontline / Russian border on the a...</v>
      </c>
    </row>
    <row r="190" spans="2:5" ht="15.6" hidden="1">
      <c r="B190" s="16" t="s">
        <v>38</v>
      </c>
      <c r="C190" s="17" t="s">
        <v>58</v>
      </c>
      <c r="D190" s="24">
        <v>213</v>
      </c>
      <c r="E190" s="18" t="str">
        <f>HYPERLINK("#'Data'!A1419", "Households that reportedly have at least 1 member that has difficulties walking broken down by member with WGSS disability on the admin of overall ...")</f>
        <v>Households that reportedly have at least 1 member that has difficulties walking broken down by member with WGSS disability on the admin of overall ...</v>
      </c>
    </row>
    <row r="191" spans="2:5" ht="15.6" hidden="1">
      <c r="B191" s="16" t="s">
        <v>38</v>
      </c>
      <c r="C191" s="17" t="s">
        <v>58</v>
      </c>
      <c r="D191" s="24">
        <v>214</v>
      </c>
      <c r="E191" s="18" t="str">
        <f>HYPERLINK("#'Data'!A1425", "Households that reportedly have at least 1 member that has difficulties walking broken down by displacement status of HoH on the admin of overall p...")</f>
        <v>Households that reportedly have at least 1 member that has difficulties walking broken down by displacement status of HoH on the admin of overall p...</v>
      </c>
    </row>
    <row r="192" spans="2:5" ht="15.6" hidden="1">
      <c r="B192" s="16" t="s">
        <v>38</v>
      </c>
      <c r="C192" s="17" t="s">
        <v>58</v>
      </c>
      <c r="D192" s="24">
        <v>215</v>
      </c>
      <c r="E192" s="18" t="str">
        <f>HYPERLINK("#'Data'!A1434", "Households that reportedly have at least 1 member that has difficulties walking broken down by household size on the admin of overall perc")</f>
        <v>Households that reportedly have at least 1 member that has difficulties walking broken down by household size on the admin of overall perc</v>
      </c>
    </row>
    <row r="193" spans="2:5" ht="15.6" hidden="1">
      <c r="B193" s="16" t="s">
        <v>38</v>
      </c>
      <c r="C193" s="17" t="s">
        <v>58</v>
      </c>
      <c r="D193" s="24">
        <v>216</v>
      </c>
      <c r="E193" s="18" t="str">
        <f>HYPERLINK("#'Data'!A1441", "Households that reportedly have at least 1 member that has difficulties walking broken down by single/joint headed HHs on the admin of overall perc")</f>
        <v>Households that reportedly have at least 1 member that has difficulties walking broken down by single/joint headed HHs on the admin of overall perc</v>
      </c>
    </row>
    <row r="194" spans="2:5" ht="15.6" hidden="1">
      <c r="B194" s="16" t="s">
        <v>38</v>
      </c>
      <c r="C194" s="17" t="s">
        <v>59</v>
      </c>
      <c r="D194" s="24">
        <v>218</v>
      </c>
      <c r="E194" s="18" t="str">
        <f>HYPERLINK("#'Data'!A1448", "Households that reportedly have at least 1 member that has difficulties concentrating broken down by rural / urban on the admin of overall perc")</f>
        <v>Households that reportedly have at least 1 member that has difficulties concentrating broken down by rural / urban on the admin of overall perc</v>
      </c>
    </row>
    <row r="195" spans="2:5" ht="15.6" hidden="1">
      <c r="B195" s="16" t="s">
        <v>38</v>
      </c>
      <c r="C195" s="17" t="s">
        <v>59</v>
      </c>
      <c r="D195" s="24">
        <v>219</v>
      </c>
      <c r="E195" s="18" t="str">
        <f>HYPERLINK("#'Data'!A1454", "Households that reportedly have at least 1 member that has difficulties concentrating broken down by proximity to the Frontline / Russian border on...")</f>
        <v>Households that reportedly have at least 1 member that has difficulties concentrating broken down by proximity to the Frontline / Russian border on...</v>
      </c>
    </row>
    <row r="196" spans="2:5" ht="15.6" hidden="1">
      <c r="B196" s="16" t="s">
        <v>38</v>
      </c>
      <c r="C196" s="17" t="s">
        <v>59</v>
      </c>
      <c r="D196" s="24">
        <v>220</v>
      </c>
      <c r="E196" s="18" t="str">
        <f>HYPERLINK("#'Data'!A1461", "Households that reportedly have at least 1 member that has difficulties concentrating broken down by member with WGSS disability on the admin of ov...")</f>
        <v>Households that reportedly have at least 1 member that has difficulties concentrating broken down by member with WGSS disability on the admin of ov...</v>
      </c>
    </row>
    <row r="197" spans="2:5" ht="15.6" hidden="1">
      <c r="B197" s="16" t="s">
        <v>38</v>
      </c>
      <c r="C197" s="17" t="s">
        <v>59</v>
      </c>
      <c r="D197" s="24">
        <v>221</v>
      </c>
      <c r="E197" s="18" t="str">
        <f>HYPERLINK("#'Data'!A1467", "Households that reportedly have at least 1 member that has difficulties concentrating broken down by displacement status of HoH on the admin of ove...")</f>
        <v>Households that reportedly have at least 1 member that has difficulties concentrating broken down by displacement status of HoH on the admin of ove...</v>
      </c>
    </row>
    <row r="198" spans="2:5" ht="15.6" hidden="1">
      <c r="B198" s="16" t="s">
        <v>38</v>
      </c>
      <c r="C198" s="17" t="s">
        <v>59</v>
      </c>
      <c r="D198" s="24">
        <v>222</v>
      </c>
      <c r="E198" s="18" t="str">
        <f>HYPERLINK("#'Data'!A1476", "Households that reportedly have at least 1 member that has difficulties concentrating broken down by household size on the admin of overall perc")</f>
        <v>Households that reportedly have at least 1 member that has difficulties concentrating broken down by household size on the admin of overall perc</v>
      </c>
    </row>
    <row r="199" spans="2:5" ht="15.6" hidden="1">
      <c r="B199" s="16" t="s">
        <v>38</v>
      </c>
      <c r="C199" s="17" t="s">
        <v>59</v>
      </c>
      <c r="D199" s="24">
        <v>223</v>
      </c>
      <c r="E199" s="18" t="str">
        <f>HYPERLINK("#'Data'!A1483", "Households that reportedly have at least 1 member that has difficulties concentrating broken down by single/joint headed HHs on the admin of overal...")</f>
        <v>Households that reportedly have at least 1 member that has difficulties concentrating broken down by single/joint headed HHs on the admin of overal...</v>
      </c>
    </row>
    <row r="200" spans="2:5" ht="15.6" hidden="1">
      <c r="B200" s="16" t="s">
        <v>38</v>
      </c>
      <c r="C200" s="17" t="s">
        <v>60</v>
      </c>
      <c r="D200" s="24">
        <v>225</v>
      </c>
      <c r="E200" s="18" t="str">
        <f>HYPERLINK("#'Data'!A1490", "Households that reportedly have at least 1 member that has difficulties with self-care broken down by rural / urban on the admin of overall perc")</f>
        <v>Households that reportedly have at least 1 member that has difficulties with self-care broken down by rural / urban on the admin of overall perc</v>
      </c>
    </row>
    <row r="201" spans="2:5" ht="15.6" hidden="1">
      <c r="B201" s="16" t="s">
        <v>38</v>
      </c>
      <c r="C201" s="17" t="s">
        <v>60</v>
      </c>
      <c r="D201" s="24">
        <v>226</v>
      </c>
      <c r="E201" s="18" t="str">
        <f>HYPERLINK("#'Data'!A1496", "Households that reportedly have at least 1 member that has difficulties with self-care broken down by proximity to the Frontline / Russian border o...")</f>
        <v>Households that reportedly have at least 1 member that has difficulties with self-care broken down by proximity to the Frontline / Russian border o...</v>
      </c>
    </row>
    <row r="202" spans="2:5" ht="15.6" hidden="1">
      <c r="B202" s="16" t="s">
        <v>38</v>
      </c>
      <c r="C202" s="17" t="s">
        <v>60</v>
      </c>
      <c r="D202" s="24">
        <v>227</v>
      </c>
      <c r="E202" s="18" t="str">
        <f>HYPERLINK("#'Data'!A1503", "Households that reportedly have at least 1 member that has difficulties with self-care broken down by member with WGSS disability on the admin of o...")</f>
        <v>Households that reportedly have at least 1 member that has difficulties with self-care broken down by member with WGSS disability on the admin of o...</v>
      </c>
    </row>
    <row r="203" spans="2:5" ht="15.6" hidden="1">
      <c r="B203" s="16" t="s">
        <v>38</v>
      </c>
      <c r="C203" s="17" t="s">
        <v>60</v>
      </c>
      <c r="D203" s="24">
        <v>228</v>
      </c>
      <c r="E203" s="18" t="str">
        <f>HYPERLINK("#'Data'!A1509", "Households that reportedly have at least 1 member that has difficulties with self-care broken down by displacement status of HoH on the admin of ov...")</f>
        <v>Households that reportedly have at least 1 member that has difficulties with self-care broken down by displacement status of HoH on the admin of ov...</v>
      </c>
    </row>
    <row r="204" spans="2:5" ht="15.6" hidden="1">
      <c r="B204" s="16" t="s">
        <v>38</v>
      </c>
      <c r="C204" s="17" t="s">
        <v>60</v>
      </c>
      <c r="D204" s="24">
        <v>229</v>
      </c>
      <c r="E204" s="18" t="str">
        <f>HYPERLINK("#'Data'!A1518", "Households that reportedly have at least 1 member that has difficulties with self-care broken down by household size on the admin of overall perc")</f>
        <v>Households that reportedly have at least 1 member that has difficulties with self-care broken down by household size on the admin of overall perc</v>
      </c>
    </row>
    <row r="205" spans="2:5" ht="15.6" hidden="1">
      <c r="B205" s="16" t="s">
        <v>38</v>
      </c>
      <c r="C205" s="17" t="s">
        <v>60</v>
      </c>
      <c r="D205" s="24">
        <v>230</v>
      </c>
      <c r="E205" s="18" t="str">
        <f>HYPERLINK("#'Data'!A1525", "Households that reportedly have at least 1 member that has difficulties with self-care broken down by single/joint headed HHs on the admin of overa...")</f>
        <v>Households that reportedly have at least 1 member that has difficulties with self-care broken down by single/joint headed HHs on the admin of overa...</v>
      </c>
    </row>
    <row r="206" spans="2:5" ht="15.6" hidden="1">
      <c r="B206" s="16" t="s">
        <v>38</v>
      </c>
      <c r="C206" s="17" t="s">
        <v>61</v>
      </c>
      <c r="D206" s="24">
        <v>232</v>
      </c>
      <c r="E206" s="18" t="str">
        <f>HYPERLINK("#'Data'!A1532", "Households that reportedly have at least 1 member that has difficulties communicating broken down by rural / urban on the admin of overall perc")</f>
        <v>Households that reportedly have at least 1 member that has difficulties communicating broken down by rural / urban on the admin of overall perc</v>
      </c>
    </row>
    <row r="207" spans="2:5" ht="15.6" hidden="1">
      <c r="B207" s="16" t="s">
        <v>38</v>
      </c>
      <c r="C207" s="17" t="s">
        <v>61</v>
      </c>
      <c r="D207" s="24">
        <v>233</v>
      </c>
      <c r="E207" s="18" t="str">
        <f>HYPERLINK("#'Data'!A1538", "Households that reportedly have at least 1 member that has difficulties communicating broken down by proximity to the Frontline / Russian border on...")</f>
        <v>Households that reportedly have at least 1 member that has difficulties communicating broken down by proximity to the Frontline / Russian border on...</v>
      </c>
    </row>
    <row r="208" spans="2:5" ht="15.6" hidden="1">
      <c r="B208" s="16" t="s">
        <v>38</v>
      </c>
      <c r="C208" s="17" t="s">
        <v>61</v>
      </c>
      <c r="D208" s="24">
        <v>234</v>
      </c>
      <c r="E208" s="18" t="str">
        <f>HYPERLINK("#'Data'!A1545", "Households that reportedly have at least 1 member that has difficulties communicating broken down by member with WGSS disability on the admin of ov...")</f>
        <v>Households that reportedly have at least 1 member that has difficulties communicating broken down by member with WGSS disability on the admin of ov...</v>
      </c>
    </row>
    <row r="209" spans="2:5" ht="15.6" hidden="1">
      <c r="B209" s="16" t="s">
        <v>38</v>
      </c>
      <c r="C209" s="17" t="s">
        <v>61</v>
      </c>
      <c r="D209" s="24">
        <v>235</v>
      </c>
      <c r="E209" s="18" t="str">
        <f>HYPERLINK("#'Data'!A1551", "Households that reportedly have at least 1 member that has difficulties communicating broken down by displacement status of HoH on the admin of ove...")</f>
        <v>Households that reportedly have at least 1 member that has difficulties communicating broken down by displacement status of HoH on the admin of ove...</v>
      </c>
    </row>
    <row r="210" spans="2:5" ht="15.6" hidden="1">
      <c r="B210" s="16" t="s">
        <v>38</v>
      </c>
      <c r="C210" s="17" t="s">
        <v>61</v>
      </c>
      <c r="D210" s="24">
        <v>236</v>
      </c>
      <c r="E210" s="18" t="str">
        <f>HYPERLINK("#'Data'!A1560", "Households that reportedly have at least 1 member that has difficulties communicating broken down by household size on the admin of overall perc")</f>
        <v>Households that reportedly have at least 1 member that has difficulties communicating broken down by household size on the admin of overall perc</v>
      </c>
    </row>
    <row r="211" spans="2:5" ht="15.6" hidden="1">
      <c r="B211" s="16" t="s">
        <v>38</v>
      </c>
      <c r="C211" s="17" t="s">
        <v>61</v>
      </c>
      <c r="D211" s="24">
        <v>237</v>
      </c>
      <c r="E211" s="18" t="str">
        <f>HYPERLINK("#'Data'!A1567", "Households that reportedly have at least 1 member that has difficulties communicating broken down by single/joint headed HHs on the admin of overal...")</f>
        <v>Households that reportedly have at least 1 member that has difficulties communicating broken down by single/joint headed HHs on the admin of overal...</v>
      </c>
    </row>
    <row r="212" spans="2:5" ht="15.6" hidden="1">
      <c r="B212" s="16" t="s">
        <v>62</v>
      </c>
      <c r="C212" s="17" t="s">
        <v>63</v>
      </c>
      <c r="D212" s="24">
        <v>239</v>
      </c>
      <c r="E212" s="18" t="str">
        <f>HYPERLINK("#'Data'!A1574", "Households separated for three months or more due to reasons related to the war broken down by rural / urban on the admin of overall perc")</f>
        <v>Households separated for three months or more due to reasons related to the war broken down by rural / urban on the admin of overall perc</v>
      </c>
    </row>
    <row r="213" spans="2:5" ht="15.6" hidden="1">
      <c r="B213" s="16" t="s">
        <v>62</v>
      </c>
      <c r="C213" s="17" t="s">
        <v>63</v>
      </c>
      <c r="D213" s="24">
        <v>240</v>
      </c>
      <c r="E213" s="18" t="str">
        <f>HYPERLINK("#'Data'!A1580", "Households separated for three months or more due to reasons related to the war broken down by proximity to the Frontline / Russian border on the a...")</f>
        <v>Households separated for three months or more due to reasons related to the war broken down by proximity to the Frontline / Russian border on the a...</v>
      </c>
    </row>
    <row r="214" spans="2:5" ht="15.6" hidden="1">
      <c r="B214" s="16" t="s">
        <v>62</v>
      </c>
      <c r="C214" s="17" t="s">
        <v>63</v>
      </c>
      <c r="D214" s="24">
        <v>241</v>
      </c>
      <c r="E214" s="18" t="str">
        <f>HYPERLINK("#'Data'!A1587", "Households separated for three months or more due to reasons related to the war broken down by member with WGSS disability on the admin of overall ...")</f>
        <v>Households separated for three months or more due to reasons related to the war broken down by member with WGSS disability on the admin of overall ...</v>
      </c>
    </row>
    <row r="215" spans="2:5" ht="15.6" hidden="1">
      <c r="B215" s="16" t="s">
        <v>62</v>
      </c>
      <c r="C215" s="17" t="s">
        <v>63</v>
      </c>
      <c r="D215" s="24">
        <v>242</v>
      </c>
      <c r="E215" s="18" t="str">
        <f>HYPERLINK("#'Data'!A1593", "Households separated for three months or more due to reasons related to the war broken down by displacement status of HoH on the admin of overall p...")</f>
        <v>Households separated for three months or more due to reasons related to the war broken down by displacement status of HoH on the admin of overall p...</v>
      </c>
    </row>
    <row r="216" spans="2:5" ht="15.6" hidden="1">
      <c r="B216" s="16" t="s">
        <v>62</v>
      </c>
      <c r="C216" s="17" t="s">
        <v>63</v>
      </c>
      <c r="D216" s="24">
        <v>243</v>
      </c>
      <c r="E216" s="18" t="str">
        <f>HYPERLINK("#'Data'!A1602", "Households separated for three months or more due to reasons related to the war broken down by household size on the admin of overall perc")</f>
        <v>Households separated for three months or more due to reasons related to the war broken down by household size on the admin of overall perc</v>
      </c>
    </row>
    <row r="217" spans="2:5" ht="15.6" hidden="1">
      <c r="B217" s="16" t="s">
        <v>62</v>
      </c>
      <c r="C217" s="17" t="s">
        <v>63</v>
      </c>
      <c r="D217" s="24">
        <v>244</v>
      </c>
      <c r="E217" s="18" t="str">
        <f>HYPERLINK("#'Data'!A1609", "Households separated for three months or more due to reasons related to the war broken down by single/joint headed HHs on the admin of overall perc")</f>
        <v>Households separated for three months or more due to reasons related to the war broken down by single/joint headed HHs on the admin of overall perc</v>
      </c>
    </row>
    <row r="218" spans="2:5" ht="15.6" hidden="1">
      <c r="B218" s="16" t="s">
        <v>62</v>
      </c>
      <c r="C218" s="17" t="s">
        <v>64</v>
      </c>
      <c r="D218" s="24">
        <v>246</v>
      </c>
      <c r="E218" s="18" t="str">
        <f>HYPERLINK("#'Data'!A1616", "Displacement status of HHs broken down by rural / urban on the admin of overall perc")</f>
        <v>Displacement status of HHs broken down by rural / urban on the admin of overall perc</v>
      </c>
    </row>
    <row r="219" spans="2:5" ht="15.6" hidden="1">
      <c r="B219" s="16" t="s">
        <v>62</v>
      </c>
      <c r="C219" s="17" t="s">
        <v>64</v>
      </c>
      <c r="D219" s="24">
        <v>247</v>
      </c>
      <c r="E219" s="18" t="str">
        <f>HYPERLINK("#'Data'!A1622", "Displacement status of HHs broken down by proximity to the Frontline / Russian border on the admin of overall perc")</f>
        <v>Displacement status of HHs broken down by proximity to the Frontline / Russian border on the admin of overall perc</v>
      </c>
    </row>
    <row r="220" spans="2:5" ht="15.6" hidden="1">
      <c r="B220" s="16" t="s">
        <v>62</v>
      </c>
      <c r="C220" s="17" t="s">
        <v>64</v>
      </c>
      <c r="D220" s="24">
        <v>248</v>
      </c>
      <c r="E220" s="18" t="str">
        <f>HYPERLINK("#'Data'!A1629", "Displacement status of HHs broken down by member with WGSS disability on the admin of overall perc")</f>
        <v>Displacement status of HHs broken down by member with WGSS disability on the admin of overall perc</v>
      </c>
    </row>
    <row r="221" spans="2:5" ht="15.6" hidden="1">
      <c r="B221" s="16" t="s">
        <v>62</v>
      </c>
      <c r="C221" s="17" t="s">
        <v>64</v>
      </c>
      <c r="D221" s="24">
        <v>249</v>
      </c>
      <c r="E221" s="18" t="str">
        <f>HYPERLINK("#'Data'!A1635", "Displacement status of HHs broken down by presence of children on the admin of overall perc")</f>
        <v>Displacement status of HHs broken down by presence of children on the admin of overall perc</v>
      </c>
    </row>
    <row r="222" spans="2:5" ht="15.6" hidden="1">
      <c r="B222" s="16" t="s">
        <v>62</v>
      </c>
      <c r="C222" s="17" t="s">
        <v>64</v>
      </c>
      <c r="D222" s="24">
        <v>250</v>
      </c>
      <c r="E222" s="18" t="str">
        <f>HYPERLINK("#'Data'!A1641", "Displacement status of HHs broken down by household size on the admin of overall perc")</f>
        <v>Displacement status of HHs broken down by household size on the admin of overall perc</v>
      </c>
    </row>
    <row r="223" spans="2:5" ht="15.6" hidden="1">
      <c r="B223" s="16" t="s">
        <v>62</v>
      </c>
      <c r="C223" s="17" t="s">
        <v>64</v>
      </c>
      <c r="D223" s="24">
        <v>251</v>
      </c>
      <c r="E223" s="18" t="str">
        <f>HYPERLINK("#'Data'!A1648", "Displacement status of HHs broken down by single/joint headed HHs on the admin of overall perc")</f>
        <v>Displacement status of HHs broken down by single/joint headed HHs on the admin of overall perc</v>
      </c>
    </row>
    <row r="224" spans="2:5" ht="15.6" hidden="1">
      <c r="B224" s="16" t="s">
        <v>62</v>
      </c>
      <c r="C224" s="17" t="s">
        <v>64</v>
      </c>
      <c r="D224" s="24">
        <v>252</v>
      </c>
      <c r="E224" s="18" t="str">
        <f>HYPERLINK("#'Data'!A1655", "Displacement status of HHs broken down by employment status of household members of working age (18-59 y.o) on the admin of overall perc")</f>
        <v>Displacement status of HHs broken down by employment status of household members of working age (18-59 y.o) on the admin of overall perc</v>
      </c>
    </row>
    <row r="225" spans="2:5" ht="15.6" hidden="1">
      <c r="B225" s="16" t="s">
        <v>62</v>
      </c>
      <c r="C225" s="17" t="s">
        <v>65</v>
      </c>
      <c r="D225" s="24">
        <v>286</v>
      </c>
      <c r="E225" s="18" t="str">
        <f>HYPERLINK("#'Data'!A1664", "Households that moved abroad for at least 14 days broken down by rural / urban on the admin of overall perc")</f>
        <v>Households that moved abroad for at least 14 days broken down by rural / urban on the admin of overall perc</v>
      </c>
    </row>
    <row r="226" spans="2:5" ht="15.6" hidden="1">
      <c r="B226" s="16" t="s">
        <v>62</v>
      </c>
      <c r="C226" s="17" t="s">
        <v>65</v>
      </c>
      <c r="D226" s="24">
        <v>287</v>
      </c>
      <c r="E226" s="18" t="str">
        <f>HYPERLINK("#'Data'!A1670", "Households that moved abroad for at least 14 days broken down by proximity to the Frontline / Russian border on the admin of overall perc")</f>
        <v>Households that moved abroad for at least 14 days broken down by proximity to the Frontline / Russian border on the admin of overall perc</v>
      </c>
    </row>
    <row r="227" spans="2:5" ht="15.6" hidden="1">
      <c r="B227" s="16" t="s">
        <v>62</v>
      </c>
      <c r="C227" s="17" t="s">
        <v>65</v>
      </c>
      <c r="D227" s="24">
        <v>288</v>
      </c>
      <c r="E227" s="18" t="str">
        <f>HYPERLINK("#'Data'!A1677", "Households that moved abroad for at least 14 days broken down by member with WGSS disability on the admin of overall perc")</f>
        <v>Households that moved abroad for at least 14 days broken down by member with WGSS disability on the admin of overall perc</v>
      </c>
    </row>
    <row r="228" spans="2:5" ht="15.6" hidden="1">
      <c r="B228" s="16" t="s">
        <v>62</v>
      </c>
      <c r="C228" s="17" t="s">
        <v>65</v>
      </c>
      <c r="D228" s="24">
        <v>289</v>
      </c>
      <c r="E228" s="18" t="str">
        <f>HYPERLINK("#'Data'!A1683", "Households that moved abroad for at least 14 days broken down by displacement status of HoH on the admin of overall perc")</f>
        <v>Households that moved abroad for at least 14 days broken down by displacement status of HoH on the admin of overall perc</v>
      </c>
    </row>
    <row r="229" spans="2:5" ht="15.6" hidden="1">
      <c r="B229" s="16" t="s">
        <v>62</v>
      </c>
      <c r="C229" s="17" t="s">
        <v>65</v>
      </c>
      <c r="D229" s="24">
        <v>290</v>
      </c>
      <c r="E229" s="18" t="str">
        <f>HYPERLINK("#'Data'!A1691", "Households that moved abroad for at least 14 days broken down by household size on the admin of overall perc")</f>
        <v>Households that moved abroad for at least 14 days broken down by household size on the admin of overall perc</v>
      </c>
    </row>
    <row r="230" spans="2:5" ht="15.6" hidden="1">
      <c r="B230" s="16" t="s">
        <v>62</v>
      </c>
      <c r="C230" s="17" t="s">
        <v>65</v>
      </c>
      <c r="D230" s="24">
        <v>291</v>
      </c>
      <c r="E230" s="18" t="str">
        <f>HYPERLINK("#'Data'!A1698", "Households that moved abroad for at least 14 days broken down by single/joint headed HHs on the admin of overall perc")</f>
        <v>Households that moved abroad for at least 14 days broken down by single/joint headed HHs on the admin of overall perc</v>
      </c>
    </row>
    <row r="231" spans="2:5" ht="15.6" hidden="1">
      <c r="B231" s="16" t="s">
        <v>62</v>
      </c>
      <c r="C231" s="17" t="s">
        <v>66</v>
      </c>
      <c r="D231" s="24">
        <v>294</v>
      </c>
      <c r="E231" s="18" t="str">
        <f>HYPERLINK("#'Data'!A1705", "IDP households and households displaced within settlement duration in current place of residence broken down by displacement status of HoH on the a...")</f>
        <v>IDP households and households displaced within settlement duration in current place of residence broken down by displacement status of HoH on the a...</v>
      </c>
    </row>
    <row r="232" spans="2:5" ht="15.6" hidden="1">
      <c r="B232" s="16" t="s">
        <v>62</v>
      </c>
      <c r="C232" s="17" t="s">
        <v>67</v>
      </c>
      <c r="D232" s="24">
        <v>299</v>
      </c>
      <c r="E232" s="18" t="str">
        <f>HYPERLINK("#'Data'!A1713", "Households reporting reasons for return to their habitual place of residence broken down by rural / urban on the admin of overall perc")</f>
        <v>Households reporting reasons for return to their habitual place of residence broken down by rural / urban on the admin of overall perc</v>
      </c>
    </row>
    <row r="233" spans="2:5" ht="15.6" hidden="1">
      <c r="B233" s="16" t="s">
        <v>62</v>
      </c>
      <c r="C233" s="17" t="s">
        <v>67</v>
      </c>
      <c r="D233" s="24">
        <v>300</v>
      </c>
      <c r="E233" s="18" t="str">
        <f>HYPERLINK("#'Data'!A1719", "Households reporting reasons for return to their habitual place of residence broken down by proximity to the Frontline / Russian border on the admi...")</f>
        <v>Households reporting reasons for return to their habitual place of residence broken down by proximity to the Frontline / Russian border on the admi...</v>
      </c>
    </row>
    <row r="234" spans="2:5" ht="15.6" hidden="1">
      <c r="B234" s="16" t="s">
        <v>62</v>
      </c>
      <c r="C234" s="17" t="s">
        <v>67</v>
      </c>
      <c r="D234" s="24">
        <v>301</v>
      </c>
      <c r="E234" s="18" t="str">
        <f>HYPERLINK("#'Data'!A1726", "Households reporting reasons for return to their habitual place of residence broken down by member with WGSS disability on the admin of overall per...")</f>
        <v>Households reporting reasons for return to their habitual place of residence broken down by member with WGSS disability on the admin of overall per...</v>
      </c>
    </row>
    <row r="235" spans="2:5" ht="15.6" hidden="1">
      <c r="B235" s="16" t="s">
        <v>62</v>
      </c>
      <c r="C235" s="17" t="s">
        <v>67</v>
      </c>
      <c r="D235" s="24">
        <v>303</v>
      </c>
      <c r="E235" s="18" t="str">
        <f>HYPERLINK("#'Data'!A1732", "Households reporting reasons for return to their habitual place of residence broken down by household size on the admin of overall perc")</f>
        <v>Households reporting reasons for return to their habitual place of residence broken down by household size on the admin of overall perc</v>
      </c>
    </row>
    <row r="236" spans="2:5" ht="15.6" hidden="1">
      <c r="B236" s="16" t="s">
        <v>62</v>
      </c>
      <c r="C236" s="17" t="s">
        <v>67</v>
      </c>
      <c r="D236" s="24">
        <v>304</v>
      </c>
      <c r="E236" s="18" t="str">
        <f>HYPERLINK("#'Data'!A1739", "Households reporting reasons for return to their habitual place of residence broken down by single/joint headed HHs on the admin of overall perc")</f>
        <v>Households reporting reasons for return to their habitual place of residence broken down by single/joint headed HHs on the admin of overall perc</v>
      </c>
    </row>
    <row r="237" spans="2:5" ht="15.6" hidden="1">
      <c r="B237" s="16" t="s">
        <v>62</v>
      </c>
      <c r="C237" s="17" t="s">
        <v>68</v>
      </c>
      <c r="D237" s="24">
        <v>306</v>
      </c>
      <c r="E237" s="18" t="str">
        <f>HYPERLINK("#'Data'!A1746", "Households reporting their movement intentions for the next 12 months broken down by rural / urban on the admin of overall perc")</f>
        <v>Households reporting their movement intentions for the next 12 months broken down by rural / urban on the admin of overall perc</v>
      </c>
    </row>
    <row r="238" spans="2:5" ht="15.6" hidden="1">
      <c r="B238" s="16" t="s">
        <v>62</v>
      </c>
      <c r="C238" s="17" t="s">
        <v>68</v>
      </c>
      <c r="D238" s="24">
        <v>307</v>
      </c>
      <c r="E238" s="18" t="str">
        <f>HYPERLINK("#'Data'!A1752", "Households reporting their movement intentions for the next 12 months broken down by proximity to the Frontline / Russian border on the admin of ov...")</f>
        <v>Households reporting their movement intentions for the next 12 months broken down by proximity to the Frontline / Russian border on the admin of ov...</v>
      </c>
    </row>
    <row r="239" spans="2:5" ht="15.6" hidden="1">
      <c r="B239" s="16" t="s">
        <v>62</v>
      </c>
      <c r="C239" s="17" t="s">
        <v>68</v>
      </c>
      <c r="D239" s="24">
        <v>308</v>
      </c>
      <c r="E239" s="18" t="str">
        <f>HYPERLINK("#'Data'!A1759", "Households reporting their movement intentions for the next 12 months broken down by member with WGSS disability on the admin of overall perc")</f>
        <v>Households reporting their movement intentions for the next 12 months broken down by member with WGSS disability on the admin of overall perc</v>
      </c>
    </row>
    <row r="240" spans="2:5" ht="15.6" hidden="1">
      <c r="B240" s="16" t="s">
        <v>62</v>
      </c>
      <c r="C240" s="17" t="s">
        <v>68</v>
      </c>
      <c r="D240" s="24">
        <v>309</v>
      </c>
      <c r="E240" s="18" t="str">
        <f>HYPERLINK("#'Data'!A1765", "Households reporting their movement intentions for the next 12 months broken down by displacement status of HoH on the admin of overall perc")</f>
        <v>Households reporting their movement intentions for the next 12 months broken down by displacement status of HoH on the admin of overall perc</v>
      </c>
    </row>
    <row r="241" spans="2:5" ht="15.6" hidden="1">
      <c r="B241" s="16" t="s">
        <v>62</v>
      </c>
      <c r="C241" s="17" t="s">
        <v>68</v>
      </c>
      <c r="D241" s="24">
        <v>310</v>
      </c>
      <c r="E241" s="18" t="str">
        <f>HYPERLINK("#'Data'!A1774", "Households reporting their movement intentions for the next 12 months broken down by household size on the admin of overall perc")</f>
        <v>Households reporting their movement intentions for the next 12 months broken down by household size on the admin of overall perc</v>
      </c>
    </row>
    <row r="242" spans="2:5" ht="15.6" hidden="1">
      <c r="B242" s="16" t="s">
        <v>62</v>
      </c>
      <c r="C242" s="17" t="s">
        <v>68</v>
      </c>
      <c r="D242" s="24">
        <v>311</v>
      </c>
      <c r="E242" s="18" t="str">
        <f>HYPERLINK("#'Data'!A1781", "Households reporting their movement intentions for the next 12 months broken down by single/joint headed HHs on the admin of overall perc")</f>
        <v>Households reporting their movement intentions for the next 12 months broken down by single/joint headed HHs on the admin of overall perc</v>
      </c>
    </row>
    <row r="243" spans="2:5" ht="15.6" hidden="1">
      <c r="B243" s="16" t="s">
        <v>62</v>
      </c>
      <c r="C243" s="17" t="s">
        <v>69</v>
      </c>
      <c r="D243" s="24">
        <v>313</v>
      </c>
      <c r="E243" s="18" t="str">
        <f>HYPERLINK("#'Data'!A1788", "Households that reportedly have registered IDP members broken down by rural / urban on the admin of overall perc")</f>
        <v>Households that reportedly have registered IDP members broken down by rural / urban on the admin of overall perc</v>
      </c>
    </row>
    <row r="244" spans="2:5" ht="15.6" hidden="1">
      <c r="B244" s="16" t="s">
        <v>62</v>
      </c>
      <c r="C244" s="17" t="s">
        <v>69</v>
      </c>
      <c r="D244" s="24">
        <v>314</v>
      </c>
      <c r="E244" s="18" t="str">
        <f>HYPERLINK("#'Data'!A1794", "Households that reportedly have registered IDP members broken down by proximity to the Frontline / Russian border on the admin of overall perc")</f>
        <v>Households that reportedly have registered IDP members broken down by proximity to the Frontline / Russian border on the admin of overall perc</v>
      </c>
    </row>
    <row r="245" spans="2:5" ht="15.6" hidden="1">
      <c r="B245" s="16" t="s">
        <v>62</v>
      </c>
      <c r="C245" s="17" t="s">
        <v>69</v>
      </c>
      <c r="D245" s="24">
        <v>315</v>
      </c>
      <c r="E245" s="18" t="str">
        <f>HYPERLINK("#'Data'!A1801", "Households that reportedly have registered IDP members broken down by member with WGSS disability on the admin of overall perc")</f>
        <v>Households that reportedly have registered IDP members broken down by member with WGSS disability on the admin of overall perc</v>
      </c>
    </row>
    <row r="246" spans="2:5" ht="15.6" hidden="1">
      <c r="B246" s="16" t="s">
        <v>62</v>
      </c>
      <c r="C246" s="17" t="s">
        <v>69</v>
      </c>
      <c r="D246" s="24">
        <v>316</v>
      </c>
      <c r="E246" s="18" t="str">
        <f>HYPERLINK("#'Data'!A1807", "Households that reportedly have registered IDP members broken down by displacement status of HoH on the admin of overall perc")</f>
        <v>Households that reportedly have registered IDP members broken down by displacement status of HoH on the admin of overall perc</v>
      </c>
    </row>
    <row r="247" spans="2:5" ht="15.6" hidden="1">
      <c r="B247" s="16" t="s">
        <v>62</v>
      </c>
      <c r="C247" s="17" t="s">
        <v>69</v>
      </c>
      <c r="D247" s="24">
        <v>317</v>
      </c>
      <c r="E247" s="18" t="str">
        <f>HYPERLINK("#'Data'!A1816", "Households that reportedly have registered IDP members broken down by household size on the admin of overall perc")</f>
        <v>Households that reportedly have registered IDP members broken down by household size on the admin of overall perc</v>
      </c>
    </row>
    <row r="248" spans="2:5" ht="15.6" hidden="1">
      <c r="B248" s="16" t="s">
        <v>62</v>
      </c>
      <c r="C248" s="17" t="s">
        <v>69</v>
      </c>
      <c r="D248" s="24">
        <v>318</v>
      </c>
      <c r="E248" s="18" t="str">
        <f>HYPERLINK("#'Data'!A1823", "Households that reportedly have registered IDP members broken down by single/joint headed HHs on the admin of overall perc")</f>
        <v>Households that reportedly have registered IDP members broken down by single/joint headed HHs on the admin of overall perc</v>
      </c>
    </row>
    <row r="249" spans="2:5" ht="15.6" hidden="1">
      <c r="B249" s="16" t="s">
        <v>62</v>
      </c>
      <c r="C249" s="17" t="s">
        <v>69</v>
      </c>
      <c r="D249" s="24">
        <v>320</v>
      </c>
      <c r="E249" s="18" t="str">
        <f>HYPERLINK("#'Data'!A1830", "Household members (5-18 y.o) reportedly attending school or early education program during 2023-2024 years broken down by rural / urban on the admi...")</f>
        <v>Household members (5-18 y.o) reportedly attending school or early education program during 2023-2024 years broken down by rural / urban on the admi...</v>
      </c>
    </row>
    <row r="250" spans="2:5" ht="15.6" hidden="1">
      <c r="B250" s="16" t="s">
        <v>70</v>
      </c>
      <c r="C250" s="17" t="s">
        <v>71</v>
      </c>
      <c r="D250" s="24">
        <v>321</v>
      </c>
      <c r="E250" s="18" t="str">
        <f>HYPERLINK("#'Data'!A1836", "Household members (5-18 y.o) reportedly attending school or early education program during 2023-2024 years broken down by proximity to the Frontlin...")</f>
        <v>Household members (5-18 y.o) reportedly attending school or early education program during 2023-2024 years broken down by proximity to the Frontlin...</v>
      </c>
    </row>
    <row r="251" spans="2:5" ht="15.6" hidden="1">
      <c r="B251" s="16" t="s">
        <v>70</v>
      </c>
      <c r="C251" s="17" t="s">
        <v>71</v>
      </c>
      <c r="D251" s="24">
        <v>322</v>
      </c>
      <c r="E251" s="18" t="str">
        <f>HYPERLINK("#'Data'!A1843", "Household members (5-18 y.o) reportedly attending school or early education program during 2023-2024 years broken down by member with WGSS disabili...")</f>
        <v>Household members (5-18 y.o) reportedly attending school or early education program during 2023-2024 years broken down by member with WGSS disabili...</v>
      </c>
    </row>
    <row r="252" spans="2:5" ht="15.6" hidden="1">
      <c r="B252" s="16" t="s">
        <v>70</v>
      </c>
      <c r="C252" s="17" t="s">
        <v>71</v>
      </c>
      <c r="D252" s="24">
        <v>323</v>
      </c>
      <c r="E252" s="18" t="str">
        <f>HYPERLINK("#'Data'!A1849", "Household members (5-18 y.o) reportedly attending school or early education program during 2023-2024 years broken down by displacement status of Ho...")</f>
        <v>Household members (5-18 y.o) reportedly attending school or early education program during 2023-2024 years broken down by displacement status of Ho...</v>
      </c>
    </row>
    <row r="253" spans="2:5" ht="15.6" hidden="1">
      <c r="B253" s="16" t="s">
        <v>70</v>
      </c>
      <c r="C253" s="17" t="s">
        <v>71</v>
      </c>
      <c r="D253" s="24">
        <v>324</v>
      </c>
      <c r="E253" s="18" t="str">
        <f>HYPERLINK("#'Data'!A1858", "Household members (5-18 y.o) reportedly attending school or early education program during 2023-2024 years broken down by household size on the adm...")</f>
        <v>Household members (5-18 y.o) reportedly attending school or early education program during 2023-2024 years broken down by household size on the adm...</v>
      </c>
    </row>
    <row r="254" spans="2:5" ht="15.6" hidden="1">
      <c r="B254" s="16" t="s">
        <v>70</v>
      </c>
      <c r="C254" s="17" t="s">
        <v>71</v>
      </c>
      <c r="D254" s="24">
        <v>325</v>
      </c>
      <c r="E254" s="18" t="str">
        <f>HYPERLINK("#'Data'!A1865", "Household members (5-18 y.o) reportedly attending school or early education program during 2023-2024 years broken down by age of school-aged childr...")</f>
        <v>Household members (5-18 y.o) reportedly attending school or early education program during 2023-2024 years broken down by age of school-aged childr...</v>
      </c>
    </row>
    <row r="255" spans="2:5" ht="15.6" hidden="1">
      <c r="B255" s="16" t="s">
        <v>70</v>
      </c>
      <c r="C255" s="17" t="s">
        <v>71</v>
      </c>
      <c r="D255" s="24">
        <v>326</v>
      </c>
      <c r="E255" s="18" t="str">
        <f>HYPERLINK("#'Data'!A1873", "Household members (5-18 y.o) reportedly attending school or early education program during 2023-2024 years broken down by gender and age of school-...")</f>
        <v>Household members (5-18 y.o) reportedly attending school or early education program during 2023-2024 years broken down by gender and age of school-...</v>
      </c>
    </row>
    <row r="256" spans="2:5" ht="15.6" hidden="1">
      <c r="B256" s="16" t="s">
        <v>70</v>
      </c>
      <c r="C256" s="17" t="s">
        <v>71</v>
      </c>
      <c r="D256" s="24">
        <v>327</v>
      </c>
      <c r="E256" s="18" t="str">
        <f>HYPERLINK("#'Data'!A1885", "Household members (5-18 y.o) reportedly attending school or early education program during 2023-2024 years broken down by single care provider on t...")</f>
        <v>Household members (5-18 y.o) reportedly attending school or early education program during 2023-2024 years broken down by single care provider on t...</v>
      </c>
    </row>
    <row r="257" spans="2:5" ht="15.6" hidden="1">
      <c r="B257" s="16" t="s">
        <v>70</v>
      </c>
      <c r="C257" s="17" t="s">
        <v>71</v>
      </c>
      <c r="D257" s="24">
        <v>328</v>
      </c>
      <c r="E257" s="18" t="str">
        <f>HYPERLINK("#'Data'!A1893", "Household members (5-18 y.o) reportedly attending school or early education program during 2023-2024 years broken down by income per capita (by qua...")</f>
        <v>Household members (5-18 y.o) reportedly attending school or early education program during 2023-2024 years broken down by income per capita (by qua...</v>
      </c>
    </row>
    <row r="258" spans="2:5" ht="15.6" hidden="1">
      <c r="B258" s="16" t="s">
        <v>70</v>
      </c>
      <c r="C258" s="17" t="s">
        <v>71</v>
      </c>
      <c r="D258" s="24">
        <v>329</v>
      </c>
      <c r="E258" s="18" t="str">
        <f>HYPERLINK("#'Data'!A1901", "Household members (5-18 y.o) reportedly attending school or early education program during 2023-2024 years broken down by single/joint headed HHs o...")</f>
        <v>Household members (5-18 y.o) reportedly attending school or early education program during 2023-2024 years broken down by single/joint headed HHs o...</v>
      </c>
    </row>
    <row r="259" spans="2:5" ht="15.6" hidden="1">
      <c r="B259" s="16" t="s">
        <v>70</v>
      </c>
      <c r="C259" s="17" t="s">
        <v>72</v>
      </c>
      <c r="D259" s="24">
        <v>331</v>
      </c>
      <c r="E259" s="18" t="str">
        <f>HYPERLINK("#'Data'!A1908", "Household members (5-18 y.o) who attended school by learning modality broken down by rural / urban on the admin of overall perc")</f>
        <v>Household members (5-18 y.o) who attended school by learning modality broken down by rural / urban on the admin of overall perc</v>
      </c>
    </row>
    <row r="260" spans="2:5" ht="15.6" hidden="1">
      <c r="B260" s="16" t="s">
        <v>70</v>
      </c>
      <c r="C260" s="17" t="s">
        <v>72</v>
      </c>
      <c r="D260" s="24">
        <v>332</v>
      </c>
      <c r="E260" s="18" t="str">
        <f>HYPERLINK("#'Data'!A1914", "Household members (5-18 y.o) who attended school by learning modality broken down by proximity to the Frontline / Russian border on the admin of ov...")</f>
        <v>Household members (5-18 y.o) who attended school by learning modality broken down by proximity to the Frontline / Russian border on the admin of ov...</v>
      </c>
    </row>
    <row r="261" spans="2:5" ht="15.6" hidden="1">
      <c r="B261" s="16" t="s">
        <v>70</v>
      </c>
      <c r="C261" s="17" t="s">
        <v>72</v>
      </c>
      <c r="D261" s="24">
        <v>333</v>
      </c>
      <c r="E261" s="18" t="str">
        <f>HYPERLINK("#'Data'!A1921", "Household members (5-18 y.o) who attended school by learning modality broken down by member with WGSS disability on the admin of overall perc")</f>
        <v>Household members (5-18 y.o) who attended school by learning modality broken down by member with WGSS disability on the admin of overall perc</v>
      </c>
    </row>
    <row r="262" spans="2:5" ht="15.6" hidden="1">
      <c r="B262" s="16" t="s">
        <v>70</v>
      </c>
      <c r="C262" s="17" t="s">
        <v>72</v>
      </c>
      <c r="D262" s="24">
        <v>334</v>
      </c>
      <c r="E262" s="18" t="str">
        <f>HYPERLINK("#'Data'!A1927", "Household members (5-18 y.o) who attended school by learning modality broken down by displacement status of HoH on the admin of overall perc")</f>
        <v>Household members (5-18 y.o) who attended school by learning modality broken down by displacement status of HoH on the admin of overall perc</v>
      </c>
    </row>
    <row r="263" spans="2:5" ht="15.6" hidden="1">
      <c r="B263" s="16" t="s">
        <v>70</v>
      </c>
      <c r="C263" s="17" t="s">
        <v>72</v>
      </c>
      <c r="D263" s="24">
        <v>335</v>
      </c>
      <c r="E263" s="18" t="str">
        <f>HYPERLINK("#'Data'!A1936", "Household members (5-18 y.o) who attended school by learning modality broken down by household size on the admin of overall perc")</f>
        <v>Household members (5-18 y.o) who attended school by learning modality broken down by household size on the admin of overall perc</v>
      </c>
    </row>
    <row r="264" spans="2:5" ht="15.6" hidden="1">
      <c r="B264" s="16" t="s">
        <v>70</v>
      </c>
      <c r="C264" s="17" t="s">
        <v>72</v>
      </c>
      <c r="D264" s="24">
        <v>336</v>
      </c>
      <c r="E264" s="18" t="str">
        <f>HYPERLINK("#'Data'!A1943", "Household members (5-18 y.o) who attended school by learning modality broken down by age of school-aged children on the admin of overall perc")</f>
        <v>Household members (5-18 y.o) who attended school by learning modality broken down by age of school-aged children on the admin of overall perc</v>
      </c>
    </row>
    <row r="265" spans="2:5" ht="15.6" hidden="1">
      <c r="B265" s="16" t="s">
        <v>70</v>
      </c>
      <c r="C265" s="17" t="s">
        <v>72</v>
      </c>
      <c r="D265" s="24">
        <v>337</v>
      </c>
      <c r="E265" s="18" t="str">
        <f>HYPERLINK("#'Data'!A1951", "Household members (5-18 y.o) who attended school by learning modality broken down by gender and age of school-aged children on the admin of overall...")</f>
        <v>Household members (5-18 y.o) who attended school by learning modality broken down by gender and age of school-aged children on the admin of overall...</v>
      </c>
    </row>
    <row r="266" spans="2:5" ht="15.6" hidden="1">
      <c r="B266" s="16" t="s">
        <v>70</v>
      </c>
      <c r="C266" s="17" t="s">
        <v>72</v>
      </c>
      <c r="D266" s="24">
        <v>338</v>
      </c>
      <c r="E266" s="18" t="str">
        <f>HYPERLINK("#'Data'!A1963", "Household members (5-18 y.o) who attended school by learning modality broken down by single care provider on the admin of overall perc")</f>
        <v>Household members (5-18 y.o) who attended school by learning modality broken down by single care provider on the admin of overall perc</v>
      </c>
    </row>
    <row r="267" spans="2:5" ht="15.6" hidden="1">
      <c r="B267" s="16" t="s">
        <v>70</v>
      </c>
      <c r="C267" s="17" t="s">
        <v>72</v>
      </c>
      <c r="D267" s="24">
        <v>339</v>
      </c>
      <c r="E267" s="18" t="str">
        <f>HYPERLINK("#'Data'!A1971", "Household members (5-18 y.o) who attended school by learning modality broken down by income per capita (by quartiles) on the admin of overall perc")</f>
        <v>Household members (5-18 y.o) who attended school by learning modality broken down by income per capita (by quartiles) on the admin of overall perc</v>
      </c>
    </row>
    <row r="268" spans="2:5" ht="15.6" hidden="1">
      <c r="B268" s="16" t="s">
        <v>70</v>
      </c>
      <c r="C268" s="17" t="s">
        <v>72</v>
      </c>
      <c r="D268" s="24">
        <v>340</v>
      </c>
      <c r="E268" s="18" t="str">
        <f>HYPERLINK("#'Data'!A1979", "Household members (5-18 y.o) who attended school by learning modality broken down by single/joint headed HHs on the admin of overall perc")</f>
        <v>Household members (5-18 y.o) who attended school by learning modality broken down by single/joint headed HHs on the admin of overall perc</v>
      </c>
    </row>
    <row r="269" spans="2:5" ht="15.6" hidden="1">
      <c r="B269" s="16" t="s">
        <v>70</v>
      </c>
      <c r="C269" s="17" t="s">
        <v>73</v>
      </c>
      <c r="D269" s="24">
        <v>342</v>
      </c>
      <c r="E269" s="18" t="str">
        <f>HYPERLINK("#'Data'!A1986", "Household members (5-18 y.o) who attended school by grade broken down by rural / urban on the admin of overall perc")</f>
        <v>Household members (5-18 y.o) who attended school by grade broken down by rural / urban on the admin of overall perc</v>
      </c>
    </row>
    <row r="270" spans="2:5" ht="15.6" hidden="1">
      <c r="B270" s="16" t="s">
        <v>70</v>
      </c>
      <c r="C270" s="17" t="s">
        <v>73</v>
      </c>
      <c r="D270" s="24">
        <v>343</v>
      </c>
      <c r="E270" s="18" t="str">
        <f>HYPERLINK("#'Data'!A1992", "Household members (5-18 y.o) who attended school by grade broken down by proximity to the Frontline / Russian border on the admin of overall perc")</f>
        <v>Household members (5-18 y.o) who attended school by grade broken down by proximity to the Frontline / Russian border on the admin of overall perc</v>
      </c>
    </row>
    <row r="271" spans="2:5" ht="15.6" hidden="1">
      <c r="B271" s="16" t="s">
        <v>70</v>
      </c>
      <c r="C271" s="17" t="s">
        <v>73</v>
      </c>
      <c r="D271" s="24">
        <v>344</v>
      </c>
      <c r="E271" s="18" t="str">
        <f>HYPERLINK("#'Data'!A1999", "Household members (5-18 y.o) who attended school by grade broken down by member with WGSS disability on the admin of overall perc")</f>
        <v>Household members (5-18 y.o) who attended school by grade broken down by member with WGSS disability on the admin of overall perc</v>
      </c>
    </row>
    <row r="272" spans="2:5" ht="15.6" hidden="1">
      <c r="B272" s="16" t="s">
        <v>70</v>
      </c>
      <c r="C272" s="17" t="s">
        <v>73</v>
      </c>
      <c r="D272" s="24">
        <v>345</v>
      </c>
      <c r="E272" s="18" t="str">
        <f>HYPERLINK("#'Data'!A2005", "Household members (5-18 y.o) who attended school by grade broken down by displacement status of HoH on the admin of overall perc")</f>
        <v>Household members (5-18 y.o) who attended school by grade broken down by displacement status of HoH on the admin of overall perc</v>
      </c>
    </row>
    <row r="273" spans="2:5" ht="15.6" hidden="1">
      <c r="B273" s="16" t="s">
        <v>70</v>
      </c>
      <c r="C273" s="17" t="s">
        <v>73</v>
      </c>
      <c r="D273" s="24">
        <v>346</v>
      </c>
      <c r="E273" s="18" t="str">
        <f>HYPERLINK("#'Data'!A2014", "Household members (5-18 y.o) who attended school by grade broken down by household size on the admin of overall perc")</f>
        <v>Household members (5-18 y.o) who attended school by grade broken down by household size on the admin of overall perc</v>
      </c>
    </row>
    <row r="274" spans="2:5" ht="15.6" hidden="1">
      <c r="B274" s="16" t="s">
        <v>70</v>
      </c>
      <c r="C274" s="17" t="s">
        <v>73</v>
      </c>
      <c r="D274" s="24">
        <v>347</v>
      </c>
      <c r="E274" s="18" t="str">
        <f>HYPERLINK("#'Data'!A2021", "Household members (5-18 y.o) who attended school by grade broken down by age of school-aged children on the admin of overall perc")</f>
        <v>Household members (5-18 y.o) who attended school by grade broken down by age of school-aged children on the admin of overall perc</v>
      </c>
    </row>
    <row r="275" spans="2:5" ht="15.6" hidden="1">
      <c r="B275" s="16" t="s">
        <v>70</v>
      </c>
      <c r="C275" s="17" t="s">
        <v>73</v>
      </c>
      <c r="D275" s="24">
        <v>348</v>
      </c>
      <c r="E275" s="18" t="str">
        <f>HYPERLINK("#'Data'!A2029", "Household members (5-18 y.o) who attended school by grade broken down by gender and age of school-aged children on the admin of overall perc")</f>
        <v>Household members (5-18 y.o) who attended school by grade broken down by gender and age of school-aged children on the admin of overall perc</v>
      </c>
    </row>
    <row r="276" spans="2:5" ht="15.6" hidden="1">
      <c r="B276" s="16" t="s">
        <v>70</v>
      </c>
      <c r="C276" s="17" t="s">
        <v>73</v>
      </c>
      <c r="D276" s="24">
        <v>349</v>
      </c>
      <c r="E276" s="18" t="str">
        <f>HYPERLINK("#'Data'!A2041", "Household members (5-18 y.o) who attended school by grade broken down by single care provider on the admin of overall perc")</f>
        <v>Household members (5-18 y.o) who attended school by grade broken down by single care provider on the admin of overall perc</v>
      </c>
    </row>
    <row r="277" spans="2:5" ht="15.6" hidden="1">
      <c r="B277" s="16" t="s">
        <v>70</v>
      </c>
      <c r="C277" s="17" t="s">
        <v>73</v>
      </c>
      <c r="D277" s="24">
        <v>350</v>
      </c>
      <c r="E277" s="18" t="str">
        <f>HYPERLINK("#'Data'!A2049", "Household members (5-18 y.o) who attended school by grade broken down by income per capita (by quartiles) on the admin of overall perc")</f>
        <v>Household members (5-18 y.o) who attended school by grade broken down by income per capita (by quartiles) on the admin of overall perc</v>
      </c>
    </row>
    <row r="278" spans="2:5" ht="15.6" hidden="1">
      <c r="B278" s="16" t="s">
        <v>70</v>
      </c>
      <c r="C278" s="17" t="s">
        <v>73</v>
      </c>
      <c r="D278" s="24">
        <v>351</v>
      </c>
      <c r="E278" s="18" t="str">
        <f>HYPERLINK("#'Data'!A2057", "Household members (5-18 y.o) who attended school by grade broken down by single/joint headed HHs on the admin of overall perc")</f>
        <v>Household members (5-18 y.o) who attended school by grade broken down by single/joint headed HHs on the admin of overall perc</v>
      </c>
    </row>
    <row r="279" spans="2:5" ht="15.6" hidden="1">
      <c r="B279" s="16" t="s">
        <v>70</v>
      </c>
      <c r="C279" s="17" t="s">
        <v>74</v>
      </c>
      <c r="D279" s="24">
        <v>353</v>
      </c>
      <c r="E279" s="18" t="str">
        <f>HYPERLINK("#'Data'!A2064", "Household members (5-18 y.o) reporting reasons for not attending schools broken down by rural / urban on the admin of overall perc")</f>
        <v>Household members (5-18 y.o) reporting reasons for not attending schools broken down by rural / urban on the admin of overall perc</v>
      </c>
    </row>
    <row r="280" spans="2:5" ht="15.6" hidden="1">
      <c r="B280" s="16" t="s">
        <v>70</v>
      </c>
      <c r="C280" s="17" t="s">
        <v>74</v>
      </c>
      <c r="D280" s="24">
        <v>354</v>
      </c>
      <c r="E280" s="18" t="str">
        <f>HYPERLINK("#'Data'!A2070", "Household members (5-18 y.o) reporting reasons for not attending schools broken down by proximity to the Frontline / Russian border on the admin of...")</f>
        <v>Household members (5-18 y.o) reporting reasons for not attending schools broken down by proximity to the Frontline / Russian border on the admin of...</v>
      </c>
    </row>
    <row r="281" spans="2:5" ht="15.6" hidden="1">
      <c r="B281" s="16" t="s">
        <v>70</v>
      </c>
      <c r="C281" s="17" t="s">
        <v>74</v>
      </c>
      <c r="D281" s="24">
        <v>355</v>
      </c>
      <c r="E281" s="18" t="str">
        <f>HYPERLINK("#'Data'!A2077", "Household members (5-18 y.o) reporting reasons for not attending schools broken down by member with WGSS disability on the admin of overall perc")</f>
        <v>Household members (5-18 y.o) reporting reasons for not attending schools broken down by member with WGSS disability on the admin of overall perc</v>
      </c>
    </row>
    <row r="282" spans="2:5" ht="15.6" hidden="1">
      <c r="B282" s="16" t="s">
        <v>70</v>
      </c>
      <c r="C282" s="17" t="s">
        <v>74</v>
      </c>
      <c r="D282" s="24">
        <v>356</v>
      </c>
      <c r="E282" s="18" t="str">
        <f>HYPERLINK("#'Data'!A2083", "Household members (5-18 y.o) reporting reasons for not attending schools broken down by displacement status of HoH on the admin of overall perc")</f>
        <v>Household members (5-18 y.o) reporting reasons for not attending schools broken down by displacement status of HoH on the admin of overall perc</v>
      </c>
    </row>
    <row r="283" spans="2:5" ht="15.6" hidden="1">
      <c r="B283" s="16" t="s">
        <v>70</v>
      </c>
      <c r="C283" s="17" t="s">
        <v>74</v>
      </c>
      <c r="D283" s="24">
        <v>357</v>
      </c>
      <c r="E283" s="18" t="str">
        <f>HYPERLINK("#'Data'!A2092", "Household members (5-18 y.o) reporting reasons for not attending schools broken down by household size on the admin of overall perc")</f>
        <v>Household members (5-18 y.o) reporting reasons for not attending schools broken down by household size on the admin of overall perc</v>
      </c>
    </row>
    <row r="284" spans="2:5" ht="15.6" hidden="1">
      <c r="B284" s="16" t="s">
        <v>70</v>
      </c>
      <c r="C284" s="17" t="s">
        <v>74</v>
      </c>
      <c r="D284" s="24">
        <v>358</v>
      </c>
      <c r="E284" s="18" t="str">
        <f>HYPERLINK("#'Data'!A2098", "Household members (5-18 y.o) reporting reasons for not attending schools broken down by age of school-aged children on the admin of overall perc")</f>
        <v>Household members (5-18 y.o) reporting reasons for not attending schools broken down by age of school-aged children on the admin of overall perc</v>
      </c>
    </row>
    <row r="285" spans="2:5" ht="15.6" hidden="1">
      <c r="B285" s="16" t="s">
        <v>70</v>
      </c>
      <c r="C285" s="17" t="s">
        <v>74</v>
      </c>
      <c r="D285" s="24">
        <v>359</v>
      </c>
      <c r="E285" s="18" t="str">
        <f>HYPERLINK("#'Data'!A2106", "Household members (5-18 y.o) reporting reasons for not attending schools broken down by gender and age of school-aged children on the admin of over...")</f>
        <v>Household members (5-18 y.o) reporting reasons for not attending schools broken down by gender and age of school-aged children on the admin of over...</v>
      </c>
    </row>
    <row r="286" spans="2:5" ht="15.6" hidden="1">
      <c r="B286" s="16" t="s">
        <v>70</v>
      </c>
      <c r="C286" s="17" t="s">
        <v>74</v>
      </c>
      <c r="D286" s="24">
        <v>360</v>
      </c>
      <c r="E286" s="18" t="str">
        <f>HYPERLINK("#'Data'!A2118", "Household members (5-18 y.o) reporting reasons for not attending schools broken down by single care provider on the admin of overall perc")</f>
        <v>Household members (5-18 y.o) reporting reasons for not attending schools broken down by single care provider on the admin of overall perc</v>
      </c>
    </row>
    <row r="287" spans="2:5" ht="15.6" hidden="1">
      <c r="B287" s="16" t="s">
        <v>70</v>
      </c>
      <c r="C287" s="17" t="s">
        <v>74</v>
      </c>
      <c r="D287" s="24">
        <v>361</v>
      </c>
      <c r="E287" s="18" t="str">
        <f>HYPERLINK("#'Data'!A2126", "Household members (5-18 y.o) reporting reasons for not attending schools broken down by income per capita (by quartiles) on the admin of overall pe...")</f>
        <v>Household members (5-18 y.o) reporting reasons for not attending schools broken down by income per capita (by quartiles) on the admin of overall pe...</v>
      </c>
    </row>
    <row r="288" spans="2:5" ht="15.6" hidden="1">
      <c r="B288" s="16" t="s">
        <v>70</v>
      </c>
      <c r="C288" s="17" t="s">
        <v>74</v>
      </c>
      <c r="D288" s="24">
        <v>362</v>
      </c>
      <c r="E288" s="18" t="str">
        <f>HYPERLINK("#'Data'!A2134", "Household members (5-18 y.o) reporting reasons for not attending schools broken down by single/joint headed HHs on the admin of overall perc")</f>
        <v>Household members (5-18 y.o) reporting reasons for not attending schools broken down by single/joint headed HHs on the admin of overall perc</v>
      </c>
    </row>
    <row r="289" spans="2:5" ht="15.6" hidden="1">
      <c r="B289" s="16" t="s">
        <v>70</v>
      </c>
      <c r="C289" s="17" t="s">
        <v>75</v>
      </c>
      <c r="D289" s="24">
        <v>364</v>
      </c>
      <c r="E289" s="18" t="str">
        <f>HYPERLINK("#'Data'!A2141", "Households with school-aged children (5-18 y.o) that reported education disruption because of displacement/evacuation broken down by rural / urban ...")</f>
        <v>Households with school-aged children (5-18 y.o) that reported education disruption because of displacement/evacuation broken down by rural / urban ...</v>
      </c>
    </row>
    <row r="290" spans="2:5" ht="15.6" hidden="1">
      <c r="B290" s="16" t="s">
        <v>70</v>
      </c>
      <c r="C290" s="17" t="s">
        <v>75</v>
      </c>
      <c r="D290" s="24">
        <v>365</v>
      </c>
      <c r="E290" s="18" t="str">
        <f>HYPERLINK("#'Data'!A2147", "Households with school-aged children (5-18 y.o) that reported education disruption because of displacement/evacuation broken down by proximity to t...")</f>
        <v>Households with school-aged children (5-18 y.o) that reported education disruption because of displacement/evacuation broken down by proximity to t...</v>
      </c>
    </row>
    <row r="291" spans="2:5" ht="15.6" hidden="1">
      <c r="B291" s="16" t="s">
        <v>70</v>
      </c>
      <c r="C291" s="17" t="s">
        <v>75</v>
      </c>
      <c r="D291" s="24">
        <v>366</v>
      </c>
      <c r="E291" s="18" t="str">
        <f>HYPERLINK("#'Data'!A2154", "Households with school-aged children (5-18 y.o) that reported education disruption because of displacement/evacuation broken down by member with WG...")</f>
        <v>Households with school-aged children (5-18 y.o) that reported education disruption because of displacement/evacuation broken down by member with WG...</v>
      </c>
    </row>
    <row r="292" spans="2:5" ht="15.6" hidden="1">
      <c r="B292" s="16" t="s">
        <v>70</v>
      </c>
      <c r="C292" s="17" t="s">
        <v>75</v>
      </c>
      <c r="D292" s="24">
        <v>367</v>
      </c>
      <c r="E292" s="18" t="str">
        <f>HYPERLINK("#'Data'!A2160", "Households with school-aged children (5-18 y.o) that reported education disruption because of displacement/evacuation broken down by displacement s...")</f>
        <v>Households with school-aged children (5-18 y.o) that reported education disruption because of displacement/evacuation broken down by displacement s...</v>
      </c>
    </row>
    <row r="293" spans="2:5" ht="15.6" hidden="1">
      <c r="B293" s="16" t="s">
        <v>70</v>
      </c>
      <c r="C293" s="17" t="s">
        <v>75</v>
      </c>
      <c r="D293" s="24">
        <v>368</v>
      </c>
      <c r="E293" s="18" t="str">
        <f>HYPERLINK("#'Data'!A2169", "Households with school-aged children (5-18 y.o) that reported education disruption because of displacement/evacuation broken down by household size...")</f>
        <v>Households with school-aged children (5-18 y.o) that reported education disruption because of displacement/evacuation broken down by household size...</v>
      </c>
    </row>
    <row r="294" spans="2:5" ht="15.6" hidden="1">
      <c r="B294" s="16" t="s">
        <v>70</v>
      </c>
      <c r="C294" s="17" t="s">
        <v>75</v>
      </c>
      <c r="D294" s="24">
        <v>369</v>
      </c>
      <c r="E294" s="18" t="str">
        <f>HYPERLINK("#'Data'!A2176", "Households with school-aged children (5-18 y.o) that reported education disruption because of displacement/evacuation broken down by single care pr...")</f>
        <v>Households with school-aged children (5-18 y.o) that reported education disruption because of displacement/evacuation broken down by single care pr...</v>
      </c>
    </row>
    <row r="295" spans="2:5" ht="15.6" hidden="1">
      <c r="B295" s="16" t="s">
        <v>70</v>
      </c>
      <c r="C295" s="17" t="s">
        <v>75</v>
      </c>
      <c r="D295" s="24">
        <v>370</v>
      </c>
      <c r="E295" s="18" t="str">
        <f>HYPERLINK("#'Data'!A2184", "Households with school-aged children (5-18 y.o) that reported education disruption because of displacement/evacuation broken down by income per cap...")</f>
        <v>Households with school-aged children (5-18 y.o) that reported education disruption because of displacement/evacuation broken down by income per cap...</v>
      </c>
    </row>
    <row r="296" spans="2:5" ht="15.6" hidden="1">
      <c r="B296" s="16" t="s">
        <v>70</v>
      </c>
      <c r="C296" s="17" t="s">
        <v>75</v>
      </c>
      <c r="D296" s="24">
        <v>371</v>
      </c>
      <c r="E296" s="18" t="str">
        <f>HYPERLINK("#'Data'!A2192", "Households with school-aged children (5-18 y.o) that reported education disruption because of displacement/evacuation broken down by single/joint h...")</f>
        <v>Households with school-aged children (5-18 y.o) that reported education disruption because of displacement/evacuation broken down by single/joint h...</v>
      </c>
    </row>
    <row r="297" spans="2:5" ht="15.6" hidden="1">
      <c r="B297" s="16" t="s">
        <v>70</v>
      </c>
      <c r="C297" s="17" t="s">
        <v>76</v>
      </c>
      <c r="D297" s="24">
        <v>373</v>
      </c>
      <c r="E297" s="18" t="str">
        <f>HYPERLINK("#'Data'!A2199", "Households with school-aged children (5-18 y.o) that reported education disruption because of school damage broken down by rural / urban on the adm...")</f>
        <v>Households with school-aged children (5-18 y.o) that reported education disruption because of school damage broken down by rural / urban on the adm...</v>
      </c>
    </row>
    <row r="298" spans="2:5" ht="15.6" hidden="1">
      <c r="B298" s="16" t="s">
        <v>70</v>
      </c>
      <c r="C298" s="17" t="s">
        <v>76</v>
      </c>
      <c r="D298" s="24">
        <v>374</v>
      </c>
      <c r="E298" s="18" t="str">
        <f>HYPERLINK("#'Data'!A2205", "Households with school-aged children (5-18 y.o) that reported education disruption because of school damage broken down by proximity to the Frontli...")</f>
        <v>Households with school-aged children (5-18 y.o) that reported education disruption because of school damage broken down by proximity to the Frontli...</v>
      </c>
    </row>
    <row r="299" spans="2:5" ht="15.6" hidden="1">
      <c r="B299" s="16" t="s">
        <v>70</v>
      </c>
      <c r="C299" s="17" t="s">
        <v>76</v>
      </c>
      <c r="D299" s="24">
        <v>375</v>
      </c>
      <c r="E299" s="18" t="str">
        <f>HYPERLINK("#'Data'!A2212", "Households with school-aged children (5-18 y.o) that reported education disruption because of school damage broken down by member with WGSS disabil...")</f>
        <v>Households with school-aged children (5-18 y.o) that reported education disruption because of school damage broken down by member with WGSS disabil...</v>
      </c>
    </row>
    <row r="300" spans="2:5" ht="15.6" hidden="1">
      <c r="B300" s="16" t="s">
        <v>70</v>
      </c>
      <c r="C300" s="17" t="s">
        <v>76</v>
      </c>
      <c r="D300" s="24">
        <v>376</v>
      </c>
      <c r="E300" s="18" t="str">
        <f>HYPERLINK("#'Data'!A2218", "Households with school-aged children (5-18 y.o) that reported education disruption because of school damage broken down by displacement status of H...")</f>
        <v>Households with school-aged children (5-18 y.o) that reported education disruption because of school damage broken down by displacement status of H...</v>
      </c>
    </row>
    <row r="301" spans="2:5" ht="15.6" hidden="1">
      <c r="B301" s="16" t="s">
        <v>70</v>
      </c>
      <c r="C301" s="17" t="s">
        <v>76</v>
      </c>
      <c r="D301" s="24">
        <v>377</v>
      </c>
      <c r="E301" s="18" t="str">
        <f>HYPERLINK("#'Data'!A2227", "Households with school-aged children (5-18 y.o) that reported education disruption because of school damage broken down by household size on the ad...")</f>
        <v>Households with school-aged children (5-18 y.o) that reported education disruption because of school damage broken down by household size on the ad...</v>
      </c>
    </row>
    <row r="302" spans="2:5" ht="15.6" hidden="1">
      <c r="B302" s="16" t="s">
        <v>70</v>
      </c>
      <c r="C302" s="17" t="s">
        <v>76</v>
      </c>
      <c r="D302" s="24">
        <v>378</v>
      </c>
      <c r="E302" s="18" t="str">
        <f>HYPERLINK("#'Data'!A2234", "Households with school-aged children (5-18 y.o) that reported education disruption because of school damage broken down by single care provider on ...")</f>
        <v>Households with school-aged children (5-18 y.o) that reported education disruption because of school damage broken down by single care provider on ...</v>
      </c>
    </row>
    <row r="303" spans="2:5" ht="15.6" hidden="1">
      <c r="B303" s="16" t="s">
        <v>70</v>
      </c>
      <c r="C303" s="17" t="s">
        <v>76</v>
      </c>
      <c r="D303" s="24">
        <v>379</v>
      </c>
      <c r="E303" s="18" t="str">
        <f>HYPERLINK("#'Data'!A2242", "Households with school-aged children (5-18 y.o) that reported education disruption because of school damage broken down by income per capita (by qu...")</f>
        <v>Households with school-aged children (5-18 y.o) that reported education disruption because of school damage broken down by income per capita (by qu...</v>
      </c>
    </row>
    <row r="304" spans="2:5" ht="15.6" hidden="1">
      <c r="B304" s="16" t="s">
        <v>70</v>
      </c>
      <c r="C304" s="17" t="s">
        <v>76</v>
      </c>
      <c r="D304" s="24">
        <v>380</v>
      </c>
      <c r="E304" s="18" t="str">
        <f>HYPERLINK("#'Data'!A2250", "Households with school-aged children (5-18 y.o) that reported education disruption because of school damage broken down by single/joint headed HHs ...")</f>
        <v>Households with school-aged children (5-18 y.o) that reported education disruption because of school damage broken down by single/joint headed HHs ...</v>
      </c>
    </row>
    <row r="305" spans="2:5" ht="15.6" hidden="1">
      <c r="B305" s="16" t="s">
        <v>70</v>
      </c>
      <c r="C305" s="17" t="s">
        <v>77</v>
      </c>
      <c r="D305" s="24">
        <v>382</v>
      </c>
      <c r="E305" s="18" t="str">
        <f>HYPERLINK("#'Data'!A2257", "Households with school-aged children (5-18 y.o) that reported education disruption because of home damage broken down by rural / urban on the admin...")</f>
        <v>Households with school-aged children (5-18 y.o) that reported education disruption because of home damage broken down by rural / urban on the admin...</v>
      </c>
    </row>
    <row r="306" spans="2:5" ht="15.6" hidden="1">
      <c r="B306" s="16" t="s">
        <v>70</v>
      </c>
      <c r="C306" s="17" t="s">
        <v>77</v>
      </c>
      <c r="D306" s="24">
        <v>383</v>
      </c>
      <c r="E306" s="18" t="str">
        <f>HYPERLINK("#'Data'!A2263", "Households with school-aged children (5-18 y.o) that reported education disruption because of home damage broken down by proximity to the Frontline...")</f>
        <v>Households with school-aged children (5-18 y.o) that reported education disruption because of home damage broken down by proximity to the Frontline...</v>
      </c>
    </row>
    <row r="307" spans="2:5" ht="15.6" hidden="1">
      <c r="B307" s="16" t="s">
        <v>70</v>
      </c>
      <c r="C307" s="17" t="s">
        <v>77</v>
      </c>
      <c r="D307" s="24">
        <v>384</v>
      </c>
      <c r="E307" s="18" t="str">
        <f>HYPERLINK("#'Data'!A2270", "Households with school-aged children (5-18 y.o) that reported education disruption because of home damage broken down by member with WGSS disabilit...")</f>
        <v>Households with school-aged children (5-18 y.o) that reported education disruption because of home damage broken down by member with WGSS disabilit...</v>
      </c>
    </row>
    <row r="308" spans="2:5" ht="15.6" hidden="1">
      <c r="B308" s="16" t="s">
        <v>70</v>
      </c>
      <c r="C308" s="17" t="s">
        <v>77</v>
      </c>
      <c r="D308" s="24">
        <v>385</v>
      </c>
      <c r="E308" s="18" t="str">
        <f>HYPERLINK("#'Data'!A2276", "Households with school-aged children (5-18 y.o) that reported education disruption because of home damage broken down by displacement status of HoH...")</f>
        <v>Households with school-aged children (5-18 y.o) that reported education disruption because of home damage broken down by displacement status of HoH...</v>
      </c>
    </row>
    <row r="309" spans="2:5" ht="15.6" hidden="1">
      <c r="B309" s="16" t="s">
        <v>70</v>
      </c>
      <c r="C309" s="17" t="s">
        <v>77</v>
      </c>
      <c r="D309" s="24">
        <v>386</v>
      </c>
      <c r="E309" s="18" t="str">
        <f>HYPERLINK("#'Data'!A2285", "Households with school-aged children (5-18 y.o) that reported education disruption because of home damage broken down by household size on the admi...")</f>
        <v>Households with school-aged children (5-18 y.o) that reported education disruption because of home damage broken down by household size on the admi...</v>
      </c>
    </row>
    <row r="310" spans="2:5" ht="15.6" hidden="1">
      <c r="B310" s="16" t="s">
        <v>70</v>
      </c>
      <c r="C310" s="17" t="s">
        <v>77</v>
      </c>
      <c r="D310" s="24">
        <v>387</v>
      </c>
      <c r="E310" s="18" t="str">
        <f>HYPERLINK("#'Data'!A2292", "Households with school-aged children (5-18 y.o) that reported education disruption because of home damage broken down by single care provider on th...")</f>
        <v>Households with school-aged children (5-18 y.o) that reported education disruption because of home damage broken down by single care provider on th...</v>
      </c>
    </row>
    <row r="311" spans="2:5" ht="15.6" hidden="1">
      <c r="B311" s="16" t="s">
        <v>70</v>
      </c>
      <c r="C311" s="17" t="s">
        <v>77</v>
      </c>
      <c r="D311" s="24">
        <v>388</v>
      </c>
      <c r="E311" s="18" t="str">
        <f>HYPERLINK("#'Data'!A2300", "Households with school-aged children (5-18 y.o) that reported education disruption because of home damage broken down by income per capita (by quar...")</f>
        <v>Households with school-aged children (5-18 y.o) that reported education disruption because of home damage broken down by income per capita (by quar...</v>
      </c>
    </row>
    <row r="312" spans="2:5" ht="15.6" hidden="1">
      <c r="B312" s="16" t="s">
        <v>70</v>
      </c>
      <c r="C312" s="17" t="s">
        <v>77</v>
      </c>
      <c r="D312" s="24">
        <v>389</v>
      </c>
      <c r="E312" s="18" t="str">
        <f>HYPERLINK("#'Data'!A2308", "Households with school-aged children (5-18 y.o) that reported education disruption because of home damage broken down by single/joint headed HHs on...")</f>
        <v>Households with school-aged children (5-18 y.o) that reported education disruption because of home damage broken down by single/joint headed HHs on...</v>
      </c>
    </row>
    <row r="313" spans="2:5" ht="15.6" hidden="1">
      <c r="B313" s="16" t="s">
        <v>70</v>
      </c>
      <c r="C313" s="17" t="s">
        <v>78</v>
      </c>
      <c r="D313" s="24">
        <v>391</v>
      </c>
      <c r="E313" s="18" t="str">
        <f>HYPERLINK("#'Data'!A2315", "Households with school-aged children (5-18 y.o) that reported education disruption because of missile attack broken down by rural / urban on the ad...")</f>
        <v>Households with school-aged children (5-18 y.o) that reported education disruption because of missile attack broken down by rural / urban on the ad...</v>
      </c>
    </row>
    <row r="314" spans="2:5" ht="15.6" hidden="1">
      <c r="B314" s="16" t="s">
        <v>70</v>
      </c>
      <c r="C314" s="17" t="s">
        <v>78</v>
      </c>
      <c r="D314" s="24">
        <v>392</v>
      </c>
      <c r="E314" s="18" t="str">
        <f>HYPERLINK("#'Data'!A2321", "Households with school-aged children (5-18 y.o) that reported education disruption because of missile attack broken down by proximity to the Frontl...")</f>
        <v>Households with school-aged children (5-18 y.o) that reported education disruption because of missile attack broken down by proximity to the Frontl...</v>
      </c>
    </row>
    <row r="315" spans="2:5" ht="15.6" hidden="1">
      <c r="B315" s="16" t="s">
        <v>70</v>
      </c>
      <c r="C315" s="17" t="s">
        <v>78</v>
      </c>
      <c r="D315" s="24">
        <v>393</v>
      </c>
      <c r="E315" s="18" t="str">
        <f>HYPERLINK("#'Data'!A2328", "Households with school-aged children (5-18 y.o) that reported education disruption because of missile attack broken down by member with WGSS disabi...")</f>
        <v>Households with school-aged children (5-18 y.o) that reported education disruption because of missile attack broken down by member with WGSS disabi...</v>
      </c>
    </row>
    <row r="316" spans="2:5" ht="15.6" hidden="1">
      <c r="B316" s="16" t="s">
        <v>70</v>
      </c>
      <c r="C316" s="17" t="s">
        <v>78</v>
      </c>
      <c r="D316" s="24">
        <v>394</v>
      </c>
      <c r="E316" s="18" t="str">
        <f>HYPERLINK("#'Data'!A2334", "Households with school-aged children (5-18 y.o) that reported education disruption because of missile attack broken down by displacement status of ...")</f>
        <v>Households with school-aged children (5-18 y.o) that reported education disruption because of missile attack broken down by displacement status of ...</v>
      </c>
    </row>
    <row r="317" spans="2:5" ht="15.6" hidden="1">
      <c r="B317" s="16" t="s">
        <v>70</v>
      </c>
      <c r="C317" s="17" t="s">
        <v>78</v>
      </c>
      <c r="D317" s="24">
        <v>395</v>
      </c>
      <c r="E317" s="18" t="str">
        <f>HYPERLINK("#'Data'!A2343", "Households with school-aged children (5-18 y.o) that reported education disruption because of missile attack broken down by household size on the a...")</f>
        <v>Households with school-aged children (5-18 y.o) that reported education disruption because of missile attack broken down by household size on the a...</v>
      </c>
    </row>
    <row r="318" spans="2:5" ht="15.6" hidden="1">
      <c r="B318" s="16" t="s">
        <v>70</v>
      </c>
      <c r="C318" s="17" t="s">
        <v>78</v>
      </c>
      <c r="D318" s="24">
        <v>396</v>
      </c>
      <c r="E318" s="18" t="str">
        <f>HYPERLINK("#'Data'!A2350", "Households with school-aged children (5-18 y.o) that reported education disruption because of missile attack broken down by single care provider on...")</f>
        <v>Households with school-aged children (5-18 y.o) that reported education disruption because of missile attack broken down by single care provider on...</v>
      </c>
    </row>
    <row r="319" spans="2:5" ht="15.6" hidden="1">
      <c r="B319" s="16" t="s">
        <v>70</v>
      </c>
      <c r="C319" s="17" t="s">
        <v>78</v>
      </c>
      <c r="D319" s="24">
        <v>397</v>
      </c>
      <c r="E319" s="18" t="str">
        <f>HYPERLINK("#'Data'!A2358", "Households with school-aged children (5-18 y.o) that reported education disruption because of missile attack broken down by income per capita (by q...")</f>
        <v>Households with school-aged children (5-18 y.o) that reported education disruption because of missile attack broken down by income per capita (by q...</v>
      </c>
    </row>
    <row r="320" spans="2:5" ht="15.6" hidden="1">
      <c r="B320" s="16" t="s">
        <v>70</v>
      </c>
      <c r="C320" s="17" t="s">
        <v>78</v>
      </c>
      <c r="D320" s="24">
        <v>398</v>
      </c>
      <c r="E320" s="18" t="str">
        <f>HYPERLINK("#'Data'!A2366", "Households with school-aged children (5-18 y.o) that reported education disruption because of missile attack broken down by single/joint headed HHs...")</f>
        <v>Households with school-aged children (5-18 y.o) that reported education disruption because of missile attack broken down by single/joint headed HHs...</v>
      </c>
    </row>
    <row r="321" spans="2:5" ht="15.6" hidden="1">
      <c r="B321" s="16" t="s">
        <v>70</v>
      </c>
      <c r="C321" s="17" t="s">
        <v>79</v>
      </c>
      <c r="D321" s="24">
        <v>400</v>
      </c>
      <c r="E321" s="18" t="str">
        <f>HYPERLINK("#'Data'!A2373", "Households reporting time they spent supporting school-aged children with education broken down by rural / urban on the admin of overall mean")</f>
        <v>Households reporting time they spent supporting school-aged children with education broken down by rural / urban on the admin of overall mean</v>
      </c>
    </row>
    <row r="322" spans="2:5" ht="15.6" hidden="1">
      <c r="B322" s="16" t="s">
        <v>70</v>
      </c>
      <c r="C322" s="17" t="s">
        <v>79</v>
      </c>
      <c r="D322" s="24">
        <v>401</v>
      </c>
      <c r="E322" s="18" t="str">
        <f>HYPERLINK("#'Data'!A2379", "Households reporting time they spent supporting school-aged children with education broken down by proximity to the Frontline / Russian border on t...")</f>
        <v>Households reporting time they spent supporting school-aged children with education broken down by proximity to the Frontline / Russian border on t...</v>
      </c>
    </row>
    <row r="323" spans="2:5" ht="15.6" hidden="1">
      <c r="B323" s="16" t="s">
        <v>70</v>
      </c>
      <c r="C323" s="17" t="s">
        <v>79</v>
      </c>
      <c r="D323" s="24">
        <v>402</v>
      </c>
      <c r="E323" s="18" t="str">
        <f>HYPERLINK("#'Data'!A2386", "Households reporting time they spent supporting school-aged children with education broken down by member with WGSS disability on the admin of over...")</f>
        <v>Households reporting time they spent supporting school-aged children with education broken down by member with WGSS disability on the admin of over...</v>
      </c>
    </row>
    <row r="324" spans="2:5" ht="15.6" hidden="1">
      <c r="B324" s="16" t="s">
        <v>70</v>
      </c>
      <c r="C324" s="17" t="s">
        <v>79</v>
      </c>
      <c r="D324" s="24">
        <v>403</v>
      </c>
      <c r="E324" s="18" t="str">
        <f>HYPERLINK("#'Data'!A2392", "Households reporting time they spent supporting school-aged children with education broken down by displacement status of HoH on the admin of overa...")</f>
        <v>Households reporting time they spent supporting school-aged children with education broken down by displacement status of HoH on the admin of overa...</v>
      </c>
    </row>
    <row r="325" spans="2:5" ht="15.6" hidden="1">
      <c r="B325" s="16" t="s">
        <v>70</v>
      </c>
      <c r="C325" s="17" t="s">
        <v>79</v>
      </c>
      <c r="D325" s="24">
        <v>404</v>
      </c>
      <c r="E325" s="18" t="str">
        <f>HYPERLINK("#'Data'!A2401", "Households reporting time they spent supporting school-aged children with education broken down by household size on the admin of overall mean")</f>
        <v>Households reporting time they spent supporting school-aged children with education broken down by household size on the admin of overall mean</v>
      </c>
    </row>
    <row r="326" spans="2:5" ht="15.6" hidden="1">
      <c r="B326" s="16" t="s">
        <v>70</v>
      </c>
      <c r="C326" s="17" t="s">
        <v>79</v>
      </c>
      <c r="D326" s="24">
        <v>405</v>
      </c>
      <c r="E326" s="18" t="str">
        <f>HYPERLINK("#'Data'!A2408", "Households reporting time they spent supporting school-aged children with education broken down by single care provider on the admin of overall mea...")</f>
        <v>Households reporting time they spent supporting school-aged children with education broken down by single care provider on the admin of overall mea...</v>
      </c>
    </row>
    <row r="327" spans="2:5" ht="15.6" hidden="1">
      <c r="B327" s="16" t="s">
        <v>70</v>
      </c>
      <c r="C327" s="17" t="s">
        <v>79</v>
      </c>
      <c r="D327" s="24">
        <v>406</v>
      </c>
      <c r="E327" s="18" t="str">
        <f>HYPERLINK("#'Data'!A2416", "Households reporting time they spent supporting school-aged children with education broken down by income per capita (by quartiles) on the admin of...")</f>
        <v>Households reporting time they spent supporting school-aged children with education broken down by income per capita (by quartiles) on the admin of...</v>
      </c>
    </row>
    <row r="328" spans="2:5" ht="15.6" hidden="1">
      <c r="B328" s="16" t="s">
        <v>70</v>
      </c>
      <c r="C328" s="17" t="s">
        <v>79</v>
      </c>
      <c r="D328" s="24">
        <v>407</v>
      </c>
      <c r="E328" s="18" t="str">
        <f>HYPERLINK("#'Data'!A2424", "Households reporting time they spent supporting school-aged children with education broken down by single/joint headed HHs on the admin of overall ...")</f>
        <v>Households reporting time they spent supporting school-aged children with education broken down by single/joint headed HHs on the admin of overall ...</v>
      </c>
    </row>
    <row r="329" spans="2:5" ht="15.6" hidden="1">
      <c r="B329" s="16" t="s">
        <v>80</v>
      </c>
      <c r="C329" s="17" t="s">
        <v>81</v>
      </c>
      <c r="D329" s="24">
        <v>409</v>
      </c>
      <c r="E329" s="18" t="str">
        <f>HYPERLINK("#'Data'!A2431", "Households reporting types of expenditures they had in the last 30 days before DC broken down by rural / urban on the admin of overall perc")</f>
        <v>Households reporting types of expenditures they had in the last 30 days before DC broken down by rural / urban on the admin of overall perc</v>
      </c>
    </row>
    <row r="330" spans="2:5" ht="15.6" hidden="1">
      <c r="B330" s="16" t="s">
        <v>80</v>
      </c>
      <c r="C330" s="17" t="s">
        <v>81</v>
      </c>
      <c r="D330" s="24">
        <v>410</v>
      </c>
      <c r="E330" s="18" t="str">
        <f>HYPERLINK("#'Data'!A2437", "Households reporting types of expenditures they had in the last 30 days before DC broken down by proximity to the Frontline / Russian border on the...")</f>
        <v>Households reporting types of expenditures they had in the last 30 days before DC broken down by proximity to the Frontline / Russian border on the...</v>
      </c>
    </row>
    <row r="331" spans="2:5" ht="15.6" hidden="1">
      <c r="B331" s="16" t="s">
        <v>80</v>
      </c>
      <c r="C331" s="17" t="s">
        <v>81</v>
      </c>
      <c r="D331" s="24">
        <v>411</v>
      </c>
      <c r="E331" s="18" t="str">
        <f>HYPERLINK("#'Data'!A2444", "Households reporting types of expenditures they had in the last 30 days before DC broken down by member with WGSS disability on the admin of overal...")</f>
        <v>Households reporting types of expenditures they had in the last 30 days before DC broken down by member with WGSS disability on the admin of overal...</v>
      </c>
    </row>
    <row r="332" spans="2:5" ht="15.6" hidden="1">
      <c r="B332" s="16" t="s">
        <v>80</v>
      </c>
      <c r="C332" s="17" t="s">
        <v>81</v>
      </c>
      <c r="D332" s="24">
        <v>412</v>
      </c>
      <c r="E332" s="18" t="str">
        <f>HYPERLINK("#'Data'!A2450", "Households reporting types of expenditures they had in the last 30 days before DC broken down by displacement status of HoH on the admin of overall...")</f>
        <v>Households reporting types of expenditures they had in the last 30 days before DC broken down by displacement status of HoH on the admin of overall...</v>
      </c>
    </row>
    <row r="333" spans="2:5" ht="15.6" hidden="1">
      <c r="B333" s="16" t="s">
        <v>80</v>
      </c>
      <c r="C333" s="17" t="s">
        <v>81</v>
      </c>
      <c r="D333" s="24">
        <v>413</v>
      </c>
      <c r="E333" s="18" t="str">
        <f>HYPERLINK("#'Data'!A2459", "Households reporting types of expenditures they had in the last 30 days before DC broken down by household size on the admin of overall perc")</f>
        <v>Households reporting types of expenditures they had in the last 30 days before DC broken down by household size on the admin of overall perc</v>
      </c>
    </row>
    <row r="334" spans="2:5" ht="15.6" hidden="1">
      <c r="B334" s="16" t="s">
        <v>80</v>
      </c>
      <c r="C334" s="17" t="s">
        <v>81</v>
      </c>
      <c r="D334" s="24">
        <v>414</v>
      </c>
      <c r="E334" s="18" t="str">
        <f>HYPERLINK("#'Data'!A2466", "Households reporting types of expenditures they had in the last 30 days before DC broken down by single/joint headed HHs on the admin of overall pe...")</f>
        <v>Households reporting types of expenditures they had in the last 30 days before DC broken down by single/joint headed HHs on the admin of overall pe...</v>
      </c>
    </row>
    <row r="335" spans="2:5" ht="15.6" hidden="1">
      <c r="B335" s="16" t="s">
        <v>80</v>
      </c>
      <c r="C335" s="17" t="s">
        <v>82</v>
      </c>
      <c r="D335" s="24">
        <v>426</v>
      </c>
      <c r="E335" s="18" t="str">
        <f>HYPERLINK("#'Data'!A2473", "Household Domestic Expenditure over the last 30 days, by type and amount broken down by rural / urban on the admin of overall ")</f>
        <v xml:space="preserve">Household Domestic Expenditure over the last 30 days, by type and amount broken down by rural / urban on the admin of overall </v>
      </c>
    </row>
    <row r="336" spans="2:5" ht="15.6" hidden="1">
      <c r="B336" s="16" t="s">
        <v>80</v>
      </c>
      <c r="C336" s="17" t="s">
        <v>82</v>
      </c>
      <c r="D336" s="24">
        <v>437</v>
      </c>
      <c r="E336" s="18" t="str">
        <f>HYPERLINK("#'Data'!A2479", "Household Domestic Expenditure over the last 30 days, by type and amount broken down by proximity to the Frontline / Russian border on the...")</f>
        <v>Household Domestic Expenditure over the last 30 days, by type and amount broken down by proximity to the Frontline / Russian border on the...</v>
      </c>
    </row>
    <row r="337" spans="2:5" ht="15.6" hidden="1">
      <c r="B337" s="16" t="s">
        <v>80</v>
      </c>
      <c r="C337" s="17" t="s">
        <v>82</v>
      </c>
      <c r="D337" s="24">
        <v>448</v>
      </c>
      <c r="E337" s="18" t="str">
        <f>HYPERLINK("#'Data'!A2486", "Household Domestic Expenditure over the last 30 days, by type and amount broken down by member with WGSS disability on the admin of overal...")</f>
        <v>Household Domestic Expenditure over the last 30 days, by type and amount broken down by member with WGSS disability on the admin of overal...</v>
      </c>
    </row>
    <row r="338" spans="2:5" ht="15.6" hidden="1">
      <c r="B338" s="16" t="s">
        <v>80</v>
      </c>
      <c r="C338" s="17" t="s">
        <v>82</v>
      </c>
      <c r="D338" s="24">
        <v>459</v>
      </c>
      <c r="E338" s="18" t="str">
        <f>HYPERLINK("#'Data'!A2492", "Household Domestic Expenditure over the last 30 days, by type and amount broken down by displacement status of HoH on the admin of overall...")</f>
        <v>Household Domestic Expenditure over the last 30 days, by type and amount broken down by displacement status of HoH on the admin of overall...</v>
      </c>
    </row>
    <row r="339" spans="2:5" ht="15.6" hidden="1">
      <c r="B339" s="16" t="s">
        <v>80</v>
      </c>
      <c r="C339" s="17" t="s">
        <v>82</v>
      </c>
      <c r="D339" s="24">
        <v>470</v>
      </c>
      <c r="E339" s="18" t="str">
        <f>HYPERLINK("#'Data'!A2501", "Household Domestic Expenditure over the last 30 days, by type and amount broken down by household size on the admin of overall ")</f>
        <v xml:space="preserve">Household Domestic Expenditure over the last 30 days, by type and amount broken down by household size on the admin of overall </v>
      </c>
    </row>
    <row r="340" spans="2:5" ht="15.6" hidden="1">
      <c r="B340" s="16" t="s">
        <v>80</v>
      </c>
      <c r="C340" s="17" t="s">
        <v>82</v>
      </c>
      <c r="D340" s="24">
        <v>481</v>
      </c>
      <c r="E340" s="18" t="str">
        <f>HYPERLINK("#'Data'!A2508", "Household Domestic Expenditure over the last 30 days, by type and amount broken down by single/joint headed HHs on the admin of overall ")</f>
        <v xml:space="preserve">Household Domestic Expenditure over the last 30 days, by type and amount broken down by single/joint headed HHs on the admin of overall </v>
      </c>
    </row>
    <row r="341" spans="2:5" ht="15.6" hidden="1">
      <c r="B341" s="16" t="s">
        <v>80</v>
      </c>
      <c r="C341" s="17" t="s">
        <v>83</v>
      </c>
      <c r="D341" s="24">
        <v>493</v>
      </c>
      <c r="E341" s="18" t="str">
        <f>HYPERLINK("#'Data'!A2515", "Estimated Household's Domestic Expenditure on Heating during the last winter broken down by rural / urban on the admin of overall mean")</f>
        <v>Estimated Household's Domestic Expenditure on Heating during the last winter broken down by rural / urban on the admin of overall mean</v>
      </c>
    </row>
    <row r="342" spans="2:5" ht="15.6" hidden="1">
      <c r="B342" s="16" t="s">
        <v>80</v>
      </c>
      <c r="C342" s="17" t="s">
        <v>83</v>
      </c>
      <c r="D342" s="24">
        <v>494</v>
      </c>
      <c r="E342" s="18" t="str">
        <f>HYPERLINK("#'Data'!A2521", "Estimated Household's Domestic Expenditure on Heating during the last winter broken down by proximity to the Frontline / Russian border on the admi...")</f>
        <v>Estimated Household's Domestic Expenditure on Heating during the last winter broken down by proximity to the Frontline / Russian border on the admi...</v>
      </c>
    </row>
    <row r="343" spans="2:5" ht="15.6" hidden="1">
      <c r="B343" s="16" t="s">
        <v>80</v>
      </c>
      <c r="C343" s="17" t="s">
        <v>83</v>
      </c>
      <c r="D343" s="24">
        <v>495</v>
      </c>
      <c r="E343" s="18" t="str">
        <f>HYPERLINK("#'Data'!A2528", "Estimated Household's Domestic Expenditure on Heating during the last winter broken down by member with WGSS disability on the admin of overall mea...")</f>
        <v>Estimated Household's Domestic Expenditure on Heating during the last winter broken down by member with WGSS disability on the admin of overall mea...</v>
      </c>
    </row>
    <row r="344" spans="2:5" ht="15.6" hidden="1">
      <c r="B344" s="16" t="s">
        <v>80</v>
      </c>
      <c r="C344" s="17" t="s">
        <v>83</v>
      </c>
      <c r="D344" s="24">
        <v>496</v>
      </c>
      <c r="E344" s="18" t="str">
        <f>HYPERLINK("#'Data'!A2534", "Estimated Household's Domestic Expenditure on Heating during the last winter broken down by displacement status of HoH on the admin of overall mean")</f>
        <v>Estimated Household's Domestic Expenditure on Heating during the last winter broken down by displacement status of HoH on the admin of overall mean</v>
      </c>
    </row>
    <row r="345" spans="2:5" ht="15.6" hidden="1">
      <c r="B345" s="16" t="s">
        <v>80</v>
      </c>
      <c r="C345" s="17" t="s">
        <v>83</v>
      </c>
      <c r="D345" s="24">
        <v>497</v>
      </c>
      <c r="E345" s="18" t="str">
        <f>HYPERLINK("#'Data'!A2543", "Estimated Household's Domestic Expenditure on Heating during the last winter broken down by household size on the admin of overall mean")</f>
        <v>Estimated Household's Domestic Expenditure on Heating during the last winter broken down by household size on the admin of overall mean</v>
      </c>
    </row>
    <row r="346" spans="2:5" ht="15.6" hidden="1">
      <c r="B346" s="16" t="s">
        <v>80</v>
      </c>
      <c r="C346" s="17" t="s">
        <v>83</v>
      </c>
      <c r="D346" s="24">
        <v>498</v>
      </c>
      <c r="E346" s="18" t="str">
        <f>HYPERLINK("#'Data'!A2550", "Estimated Household's Domestic Expenditure on Heating during the last winter broken down by single/joint headed HHs on the admin of overall mean")</f>
        <v>Estimated Household's Domestic Expenditure on Heating during the last winter broken down by single/joint headed HHs on the admin of overall mean</v>
      </c>
    </row>
    <row r="347" spans="2:5" ht="15.6" hidden="1">
      <c r="B347" s="16" t="s">
        <v>80</v>
      </c>
      <c r="C347" s="17" t="s">
        <v>84</v>
      </c>
      <c r="D347" s="24">
        <v>500</v>
      </c>
      <c r="E347" s="18" t="str">
        <f>HYPERLINK("#'Data'!A2557", "Households reporting types of expenditures they had in the last 6 months before DC broken down by rural / urban on the admin of overall perc")</f>
        <v>Households reporting types of expenditures they had in the last 6 months before DC broken down by rural / urban on the admin of overall perc</v>
      </c>
    </row>
    <row r="348" spans="2:5" ht="15.6" hidden="1">
      <c r="B348" s="16" t="s">
        <v>80</v>
      </c>
      <c r="C348" s="17" t="s">
        <v>84</v>
      </c>
      <c r="D348" s="24">
        <v>501</v>
      </c>
      <c r="E348" s="18" t="str">
        <f>HYPERLINK("#'Data'!A2563", "Households reporting types of expenditures they had in the last 6 months before DC broken down by proximity to the Frontline / Russian border on th...")</f>
        <v>Households reporting types of expenditures they had in the last 6 months before DC broken down by proximity to the Frontline / Russian border on th...</v>
      </c>
    </row>
    <row r="349" spans="2:5" ht="15.6" hidden="1">
      <c r="B349" s="16" t="s">
        <v>80</v>
      </c>
      <c r="C349" s="17" t="s">
        <v>84</v>
      </c>
      <c r="D349" s="24">
        <v>502</v>
      </c>
      <c r="E349" s="18" t="str">
        <f>HYPERLINK("#'Data'!A2570", "Households reporting types of expenditures they had in the last 6 months before DC broken down by member with WGSS disability on the admin of overa...")</f>
        <v>Households reporting types of expenditures they had in the last 6 months before DC broken down by member with WGSS disability on the admin of overa...</v>
      </c>
    </row>
    <row r="350" spans="2:5" ht="15.6" hidden="1">
      <c r="B350" s="16" t="s">
        <v>80</v>
      </c>
      <c r="C350" s="17" t="s">
        <v>84</v>
      </c>
      <c r="D350" s="24">
        <v>503</v>
      </c>
      <c r="E350" s="18" t="str">
        <f>HYPERLINK("#'Data'!A2576", "Households reporting types of expenditures they had in the last 6 months before DC broken down by displacement status of HoH on the admin of overal...")</f>
        <v>Households reporting types of expenditures they had in the last 6 months before DC broken down by displacement status of HoH on the admin of overal...</v>
      </c>
    </row>
    <row r="351" spans="2:5" ht="15.6" hidden="1">
      <c r="B351" s="16" t="s">
        <v>80</v>
      </c>
      <c r="C351" s="17" t="s">
        <v>84</v>
      </c>
      <c r="D351" s="24">
        <v>504</v>
      </c>
      <c r="E351" s="18" t="str">
        <f>HYPERLINK("#'Data'!A2585", "Households reporting types of expenditures they had in the last 6 months before DC broken down by household size on the admin of overall perc")</f>
        <v>Households reporting types of expenditures they had in the last 6 months before DC broken down by household size on the admin of overall perc</v>
      </c>
    </row>
    <row r="352" spans="2:5" ht="15.6" hidden="1">
      <c r="B352" s="16" t="s">
        <v>80</v>
      </c>
      <c r="C352" s="17" t="s">
        <v>84</v>
      </c>
      <c r="D352" s="24">
        <v>505</v>
      </c>
      <c r="E352" s="18" t="str">
        <f>HYPERLINK("#'Data'!A2592", "Households reporting types of expenditures they had in the last 6 months before DC broken down by single/joint headed HHs on the admin of overall p...")</f>
        <v>Households reporting types of expenditures they had in the last 6 months before DC broken down by single/joint headed HHs on the admin of overall p...</v>
      </c>
    </row>
    <row r="353" spans="2:5" ht="15.6" hidden="1">
      <c r="B353" s="16" t="s">
        <v>80</v>
      </c>
      <c r="C353" s="17" t="s">
        <v>85</v>
      </c>
      <c r="D353" s="24">
        <v>512</v>
      </c>
      <c r="E353" s="18" t="str">
        <f>HYPERLINK("#'Data'!A2599", "Household Domestic Expenditure over the last 6 months by type and amount  broken down by rural / urban on the admin of ...")</f>
        <v>Household Domestic Expenditure over the last 6 months by type and amount  broken down by rural / urban on the admin of ...</v>
      </c>
    </row>
    <row r="354" spans="2:5" ht="15.6" hidden="1">
      <c r="B354" s="16" t="s">
        <v>80</v>
      </c>
      <c r="C354" s="17" t="s">
        <v>85</v>
      </c>
      <c r="D354" s="24">
        <v>518</v>
      </c>
      <c r="E354" s="18" t="str">
        <f>HYPERLINK("#'Data'!A2605", "Household Domestic Expenditure over the last 6 months by type and amount  broken down by proximity to the Frontline / R...")</f>
        <v>Household Domestic Expenditure over the last 6 months by type and amount  broken down by proximity to the Frontline / R...</v>
      </c>
    </row>
    <row r="355" spans="2:5" ht="15.6" hidden="1">
      <c r="B355" s="16" t="s">
        <v>80</v>
      </c>
      <c r="C355" s="17" t="s">
        <v>85</v>
      </c>
      <c r="D355" s="24">
        <v>524</v>
      </c>
      <c r="E355" s="18" t="str">
        <f>HYPERLINK("#'Data'!A2612", "Household Domestic Expenditure over the last 6 months by type and amount  broken down by member with WGSS disability on...")</f>
        <v>Household Domestic Expenditure over the last 6 months by type and amount  broken down by member with WGSS disability on...</v>
      </c>
    </row>
    <row r="356" spans="2:5" ht="15.6" hidden="1">
      <c r="B356" s="16" t="s">
        <v>80</v>
      </c>
      <c r="C356" s="17" t="s">
        <v>85</v>
      </c>
      <c r="D356" s="24">
        <v>530</v>
      </c>
      <c r="E356" s="18" t="str">
        <f>HYPERLINK("#'Data'!A2618", "Household Domestic Expenditure over the last 6 months by type and amount  broken down by displacement status of HoH on ...")</f>
        <v>Household Domestic Expenditure over the last 6 months by type and amount  broken down by displacement status of HoH on ...</v>
      </c>
    </row>
    <row r="357" spans="2:5" ht="15.6" hidden="1">
      <c r="B357" s="16" t="s">
        <v>80</v>
      </c>
      <c r="C357" s="17" t="s">
        <v>85</v>
      </c>
      <c r="D357" s="24">
        <v>536</v>
      </c>
      <c r="E357" s="18" t="str">
        <f>HYPERLINK("#'Data'!A2627", "Household Domestic Expenditure over the last 6 months by type and amount  broken down by household size on the admin of...")</f>
        <v>Household Domestic Expenditure over the last 6 months by type and amount  broken down by household size on the admin of...</v>
      </c>
    </row>
    <row r="358" spans="2:5" ht="15.6" hidden="1">
      <c r="B358" s="16" t="s">
        <v>80</v>
      </c>
      <c r="C358" s="17" t="s">
        <v>85</v>
      </c>
      <c r="D358" s="24">
        <v>542</v>
      </c>
      <c r="E358" s="18" t="str">
        <f>HYPERLINK("#'Data'!A2634", "Household Domestic Expenditure over the last 6 months by type and amount  broken down by single/joint headed HHs on the...")</f>
        <v>Household Domestic Expenditure over the last 6 months by type and amount  broken down by single/joint headed HHs on the...</v>
      </c>
    </row>
    <row r="359" spans="2:5" ht="15.6" hidden="1">
      <c r="B359" s="16" t="s">
        <v>80</v>
      </c>
      <c r="C359" s="17" t="s">
        <v>86</v>
      </c>
      <c r="D359" s="24">
        <v>549</v>
      </c>
      <c r="E359" s="18" t="str">
        <f>HYPERLINK("#'Data'!A2641", "Total monthly expenditure PER CAPITA among those who reported any expenditure broken down by rural / urban on the admin of overall mean")</f>
        <v>Total monthly expenditure PER CAPITA among those who reported any expenditure broken down by rural / urban on the admin of overall mean</v>
      </c>
    </row>
    <row r="360" spans="2:5" ht="15.6" hidden="1">
      <c r="B360" s="16" t="s">
        <v>80</v>
      </c>
      <c r="C360" s="17" t="s">
        <v>86</v>
      </c>
      <c r="D360" s="24">
        <v>550</v>
      </c>
      <c r="E360" s="18" t="str">
        <f>HYPERLINK("#'Data'!A2647", "Total monthly expenditure PER CAPITA among those who reported any expenditure broken down by proximity to the Frontline / Russian border on the adm...")</f>
        <v>Total monthly expenditure PER CAPITA among those who reported any expenditure broken down by proximity to the Frontline / Russian border on the adm...</v>
      </c>
    </row>
    <row r="361" spans="2:5" ht="15.6" hidden="1">
      <c r="B361" s="16" t="s">
        <v>80</v>
      </c>
      <c r="C361" s="17" t="s">
        <v>86</v>
      </c>
      <c r="D361" s="24">
        <v>551</v>
      </c>
      <c r="E361" s="18" t="str">
        <f>HYPERLINK("#'Data'!A2654", "Total monthly expenditure PER CAPITA among those who reported any expenditure broken down by member with WGSS disability on the admin of overall me...")</f>
        <v>Total monthly expenditure PER CAPITA among those who reported any expenditure broken down by member with WGSS disability on the admin of overall me...</v>
      </c>
    </row>
    <row r="362" spans="2:5" ht="15.6" hidden="1">
      <c r="B362" s="16" t="s">
        <v>80</v>
      </c>
      <c r="C362" s="17" t="s">
        <v>86</v>
      </c>
      <c r="D362" s="24">
        <v>552</v>
      </c>
      <c r="E362" s="18" t="str">
        <f>HYPERLINK("#'Data'!A2660", "Total monthly expenditure PER CAPITA among those who reported any expenditure broken down by displacement status of HoH on the admin of overall mea...")</f>
        <v>Total monthly expenditure PER CAPITA among those who reported any expenditure broken down by displacement status of HoH on the admin of overall mea...</v>
      </c>
    </row>
    <row r="363" spans="2:5" ht="15.6" hidden="1">
      <c r="B363" s="16" t="s">
        <v>80</v>
      </c>
      <c r="C363" s="17" t="s">
        <v>86</v>
      </c>
      <c r="D363" s="24">
        <v>553</v>
      </c>
      <c r="E363" s="18" t="str">
        <f>HYPERLINK("#'Data'!A2669", "Total monthly expenditure PER CAPITA among those who reported any expenditure broken down by household size on the admin of overall mean")</f>
        <v>Total monthly expenditure PER CAPITA among those who reported any expenditure broken down by household size on the admin of overall mean</v>
      </c>
    </row>
    <row r="364" spans="2:5" ht="15.6" hidden="1">
      <c r="B364" s="16" t="s">
        <v>80</v>
      </c>
      <c r="C364" s="17" t="s">
        <v>86</v>
      </c>
      <c r="D364" s="24">
        <v>554</v>
      </c>
      <c r="E364" s="18" t="str">
        <f>HYPERLINK("#'Data'!A2676", "Total monthly expenditure PER CAPITA among those who reported any expenditure broken down by single/joint headed HHs on the admin of overall mean")</f>
        <v>Total monthly expenditure PER CAPITA among those who reported any expenditure broken down by single/joint headed HHs on the admin of overall mean</v>
      </c>
    </row>
    <row r="365" spans="2:5" ht="15.6" hidden="1">
      <c r="B365" s="16" t="s">
        <v>80</v>
      </c>
      <c r="C365" s="17" t="s">
        <v>87</v>
      </c>
      <c r="D365" s="24">
        <v>556</v>
      </c>
      <c r="E365" s="18" t="str">
        <f>HYPERLINK("#'Data'!A2683", "Total monthly expenditure among those who reported any expenditure broken down by rural / urban on the admin of overall mean")</f>
        <v>Total monthly expenditure among those who reported any expenditure broken down by rural / urban on the admin of overall mean</v>
      </c>
    </row>
    <row r="366" spans="2:5" ht="15.6" hidden="1">
      <c r="B366" s="16" t="s">
        <v>80</v>
      </c>
      <c r="C366" s="17" t="s">
        <v>87</v>
      </c>
      <c r="D366" s="24">
        <v>557</v>
      </c>
      <c r="E366" s="18" t="str">
        <f>HYPERLINK("#'Data'!A2689", "Total monthly expenditure among those who reported any expenditure broken down by proximity to the Frontline / Russian border on the admin of overa...")</f>
        <v>Total monthly expenditure among those who reported any expenditure broken down by proximity to the Frontline / Russian border on the admin of overa...</v>
      </c>
    </row>
    <row r="367" spans="2:5" ht="15.6" hidden="1">
      <c r="B367" s="16" t="s">
        <v>80</v>
      </c>
      <c r="C367" s="17" t="s">
        <v>87</v>
      </c>
      <c r="D367" s="24">
        <v>558</v>
      </c>
      <c r="E367" s="18" t="str">
        <f>HYPERLINK("#'Data'!A2696", "Total monthly expenditure among those who reported any expenditure broken down by member with WGSS disability on the admin of overall mean")</f>
        <v>Total monthly expenditure among those who reported any expenditure broken down by member with WGSS disability on the admin of overall mean</v>
      </c>
    </row>
    <row r="368" spans="2:5" ht="15.6" hidden="1">
      <c r="B368" s="16" t="s">
        <v>80</v>
      </c>
      <c r="C368" s="17" t="s">
        <v>87</v>
      </c>
      <c r="D368" s="24">
        <v>559</v>
      </c>
      <c r="E368" s="18" t="str">
        <f>HYPERLINK("#'Data'!A2702", "Total monthly expenditure among those who reported any expenditure broken down by displacement status of HoH on the admin of overall mean")</f>
        <v>Total monthly expenditure among those who reported any expenditure broken down by displacement status of HoH on the admin of overall mean</v>
      </c>
    </row>
    <row r="369" spans="2:5" ht="15.6" hidden="1">
      <c r="B369" s="16" t="s">
        <v>80</v>
      </c>
      <c r="C369" s="17" t="s">
        <v>87</v>
      </c>
      <c r="D369" s="24">
        <v>560</v>
      </c>
      <c r="E369" s="18" t="str">
        <f>HYPERLINK("#'Data'!A2711", "Total monthly expenditure among those who reported any expenditure broken down by household size on the admin of overall mean")</f>
        <v>Total monthly expenditure among those who reported any expenditure broken down by household size on the admin of overall mean</v>
      </c>
    </row>
    <row r="370" spans="2:5" ht="15.6" hidden="1">
      <c r="B370" s="16" t="s">
        <v>80</v>
      </c>
      <c r="C370" s="17" t="s">
        <v>87</v>
      </c>
      <c r="D370" s="24">
        <v>561</v>
      </c>
      <c r="E370" s="18" t="str">
        <f>HYPERLINK("#'Data'!A2718", "Total monthly expenditure among those who reported any expenditure broken down by single/joint headed HHs on the admin of overall mean")</f>
        <v>Total monthly expenditure among those who reported any expenditure broken down by single/joint headed HHs on the admin of overall mean</v>
      </c>
    </row>
    <row r="371" spans="2:5" ht="15.6" hidden="1">
      <c r="B371" s="16" t="s">
        <v>88</v>
      </c>
      <c r="C371" s="17" t="s">
        <v>89</v>
      </c>
      <c r="D371" s="24">
        <v>563</v>
      </c>
      <c r="E371" s="18" t="str">
        <f>HYPERLINK("#'Data'!A2725", "Households reporting missing non-food items broken down by rural / urban on the admin of overall perc")</f>
        <v>Households reporting missing non-food items broken down by rural / urban on the admin of overall perc</v>
      </c>
    </row>
    <row r="372" spans="2:5" ht="15.6" hidden="1">
      <c r="B372" s="16" t="s">
        <v>88</v>
      </c>
      <c r="C372" s="17" t="s">
        <v>89</v>
      </c>
      <c r="D372" s="24">
        <v>564</v>
      </c>
      <c r="E372" s="18" t="str">
        <f>HYPERLINK("#'Data'!A2731", "Households reporting missing non-food items broken down by proximity to the Frontline / Russian border on the admin of overall perc")</f>
        <v>Households reporting missing non-food items broken down by proximity to the Frontline / Russian border on the admin of overall perc</v>
      </c>
    </row>
    <row r="373" spans="2:5" ht="15.6" hidden="1">
      <c r="B373" s="16" t="s">
        <v>88</v>
      </c>
      <c r="C373" s="17" t="s">
        <v>89</v>
      </c>
      <c r="D373" s="24">
        <v>565</v>
      </c>
      <c r="E373" s="18" t="str">
        <f>HYPERLINK("#'Data'!A2738", "Households reporting missing non-food items broken down by member with WGSS disability on the admin of overall perc")</f>
        <v>Households reporting missing non-food items broken down by member with WGSS disability on the admin of overall perc</v>
      </c>
    </row>
    <row r="374" spans="2:5" ht="15.6" hidden="1">
      <c r="B374" s="16" t="s">
        <v>88</v>
      </c>
      <c r="C374" s="17" t="s">
        <v>89</v>
      </c>
      <c r="D374" s="24">
        <v>566</v>
      </c>
      <c r="E374" s="18" t="str">
        <f>HYPERLINK("#'Data'!A2744", "Households reporting missing non-food items broken down by displacement status of HoH on the admin of overall perc")</f>
        <v>Households reporting missing non-food items broken down by displacement status of HoH on the admin of overall perc</v>
      </c>
    </row>
    <row r="375" spans="2:5" ht="15.6" hidden="1">
      <c r="B375" s="16" t="s">
        <v>88</v>
      </c>
      <c r="C375" s="17" t="s">
        <v>89</v>
      </c>
      <c r="D375" s="24">
        <v>567</v>
      </c>
      <c r="E375" s="18" t="str">
        <f>HYPERLINK("#'Data'!A2753", "Households reporting missing non-food items broken down by household size on the admin of overall perc")</f>
        <v>Households reporting missing non-food items broken down by household size on the admin of overall perc</v>
      </c>
    </row>
    <row r="376" spans="2:5" ht="15.6" hidden="1">
      <c r="B376" s="16" t="s">
        <v>88</v>
      </c>
      <c r="C376" s="17" t="s">
        <v>89</v>
      </c>
      <c r="D376" s="24">
        <v>568</v>
      </c>
      <c r="E376" s="18" t="str">
        <f>HYPERLINK("#'Data'!A2760", "Households reporting missing non-food items broken down by single/joint headed HHs on the admin of overall perc")</f>
        <v>Households reporting missing non-food items broken down by single/joint headed HHs on the admin of overall perc</v>
      </c>
    </row>
    <row r="377" spans="2:5" ht="15.6" hidden="1">
      <c r="B377" s="16" t="s">
        <v>80</v>
      </c>
      <c r="C377" s="17" t="s">
        <v>90</v>
      </c>
      <c r="D377" s="24">
        <v>570</v>
      </c>
      <c r="E377" s="18" t="str">
        <f>HYPERLINK("#'Data'!A2767", "Primary Income Sources Reported by Households Over the Last 30 Days Prior to DC broken down by rural / urban on the admin of overall perc")</f>
        <v>Primary Income Sources Reported by Households Over the Last 30 Days Prior to DC broken down by rural / urban on the admin of overall perc</v>
      </c>
    </row>
    <row r="378" spans="2:5" ht="15.6" hidden="1">
      <c r="B378" s="16" t="s">
        <v>80</v>
      </c>
      <c r="C378" s="17" t="s">
        <v>90</v>
      </c>
      <c r="D378" s="24">
        <v>571</v>
      </c>
      <c r="E378" s="18" t="str">
        <f>HYPERLINK("#'Data'!A2773", "Primary Income Sources Reported by Households Over the Last 30 Days Prior to DC broken down by proximity to the Frontline / Russian border on the a...")</f>
        <v>Primary Income Sources Reported by Households Over the Last 30 Days Prior to DC broken down by proximity to the Frontline / Russian border on the a...</v>
      </c>
    </row>
    <row r="379" spans="2:5" ht="15.6" hidden="1">
      <c r="B379" s="16" t="s">
        <v>80</v>
      </c>
      <c r="C379" s="17" t="s">
        <v>90</v>
      </c>
      <c r="D379" s="24">
        <v>572</v>
      </c>
      <c r="E379" s="18" t="str">
        <f>HYPERLINK("#'Data'!A2780", "Primary Income Sources Reported by Households Over the Last 30 Days Prior to DC broken down by member with WGSS disability on the admin of overall ...")</f>
        <v>Primary Income Sources Reported by Households Over the Last 30 Days Prior to DC broken down by member with WGSS disability on the admin of overall ...</v>
      </c>
    </row>
    <row r="380" spans="2:5" ht="15.6" hidden="1">
      <c r="B380" s="16" t="s">
        <v>80</v>
      </c>
      <c r="C380" s="17" t="s">
        <v>90</v>
      </c>
      <c r="D380" s="24">
        <v>573</v>
      </c>
      <c r="E380" s="18" t="str">
        <f>HYPERLINK("#'Data'!A2786", "Primary Income Sources Reported by Households Over the Last 30 Days Prior to DC broken down by displacement status of HoH on the admin of overall p...")</f>
        <v>Primary Income Sources Reported by Households Over the Last 30 Days Prior to DC broken down by displacement status of HoH on the admin of overall p...</v>
      </c>
    </row>
    <row r="381" spans="2:5" ht="15.6" hidden="1">
      <c r="B381" s="16" t="s">
        <v>80</v>
      </c>
      <c r="C381" s="17" t="s">
        <v>90</v>
      </c>
      <c r="D381" s="24">
        <v>574</v>
      </c>
      <c r="E381" s="18" t="str">
        <f>HYPERLINK("#'Data'!A2795", "Primary Income Sources Reported by Households Over the Last 30 Days Prior to DC broken down by household size on the admin of overall perc")</f>
        <v>Primary Income Sources Reported by Households Over the Last 30 Days Prior to DC broken down by household size on the admin of overall perc</v>
      </c>
    </row>
    <row r="382" spans="2:5" ht="15.6" hidden="1">
      <c r="B382" s="16" t="s">
        <v>80</v>
      </c>
      <c r="C382" s="17" t="s">
        <v>90</v>
      </c>
      <c r="D382" s="24">
        <v>575</v>
      </c>
      <c r="E382" s="18" t="str">
        <f>HYPERLINK("#'Data'!A2802", "Primary Income Sources Reported by Households Over the Last 30 Days Prior to DC broken down by single/joint headed HHs on the admin of overall perc")</f>
        <v>Primary Income Sources Reported by Households Over the Last 30 Days Prior to DC broken down by single/joint headed HHs on the admin of overall perc</v>
      </c>
    </row>
    <row r="383" spans="2:5" ht="15.6" hidden="1">
      <c r="B383" s="16" t="s">
        <v>80</v>
      </c>
      <c r="C383" s="17" t="s">
        <v>91</v>
      </c>
      <c r="D383" s="24">
        <v>589</v>
      </c>
      <c r="E383" s="18" t="str">
        <f>HYPERLINK("#'Data'!A2809", "Household income over the 30 days prior to data collection, by types of income source broken down by rural / urban on the admin of over...")</f>
        <v>Household income over the 30 days prior to data collection, by types of income source broken down by rural / urban on the admin of over...</v>
      </c>
    </row>
    <row r="384" spans="2:5" ht="15.6" hidden="1">
      <c r="B384" s="16" t="s">
        <v>80</v>
      </c>
      <c r="C384" s="17" t="s">
        <v>91</v>
      </c>
      <c r="D384" s="24">
        <v>602</v>
      </c>
      <c r="E384" s="18" t="str">
        <f>HYPERLINK("#'Data'!A2815", "Household income over the 30 days prior to data collection, by types of income source broken down by proximity to the Frontline / Russi...")</f>
        <v>Household income over the 30 days prior to data collection, by types of income source broken down by proximity to the Frontline / Russi...</v>
      </c>
    </row>
    <row r="385" spans="2:5" ht="15.6" hidden="1">
      <c r="B385" s="16" t="s">
        <v>80</v>
      </c>
      <c r="C385" s="17" t="s">
        <v>91</v>
      </c>
      <c r="D385" s="24">
        <v>615</v>
      </c>
      <c r="E385" s="18" t="str">
        <f>HYPERLINK("#'Data'!A2822", "Household income over the 30 days prior to data collection, by types of income source broken down by member with WGSS disability on the...")</f>
        <v>Household income over the 30 days prior to data collection, by types of income source broken down by member with WGSS disability on the...</v>
      </c>
    </row>
    <row r="386" spans="2:5" ht="15.6" hidden="1">
      <c r="B386" s="16" t="s">
        <v>80</v>
      </c>
      <c r="C386" s="17" t="s">
        <v>91</v>
      </c>
      <c r="D386" s="24">
        <v>628</v>
      </c>
      <c r="E386" s="18" t="str">
        <f>HYPERLINK("#'Data'!A2828", "Household income over the 30 days prior to data collection, by types of income source broken down by displacement status of HoH on the ...")</f>
        <v>Household income over the 30 days prior to data collection, by types of income source broken down by displacement status of HoH on the ...</v>
      </c>
    </row>
    <row r="387" spans="2:5" ht="15.6" hidden="1">
      <c r="B387" s="16" t="s">
        <v>80</v>
      </c>
      <c r="C387" s="17" t="s">
        <v>91</v>
      </c>
      <c r="D387" s="24">
        <v>641</v>
      </c>
      <c r="E387" s="18" t="str">
        <f>HYPERLINK("#'Data'!A2837", "Household income over the 30 days prior to data collection, by types of income source broken down by household size on the admin of ove...")</f>
        <v>Household income over the 30 days prior to data collection, by types of income source broken down by household size on the admin of ove...</v>
      </c>
    </row>
    <row r="388" spans="2:5" ht="15.6" hidden="1">
      <c r="B388" s="16" t="s">
        <v>80</v>
      </c>
      <c r="C388" s="17" t="s">
        <v>91</v>
      </c>
      <c r="D388" s="24">
        <v>654</v>
      </c>
      <c r="E388" s="18" t="str">
        <f>HYPERLINK("#'Data'!A2844", "Household income over the 30 days prior to data collection, by types of income source broken down by single/joint headed HHs on the adm...")</f>
        <v>Household income over the 30 days prior to data collection, by types of income source broken down by single/joint headed HHs on the adm...</v>
      </c>
    </row>
    <row r="389" spans="2:5" ht="15.6">
      <c r="B389" s="16" t="s">
        <v>80</v>
      </c>
      <c r="C389" s="17" t="s">
        <v>92</v>
      </c>
      <c r="D389" s="24">
        <v>668</v>
      </c>
      <c r="E389" s="18" t="str">
        <f>HYPERLINK("#'Data'!A2851", "Total income per capita among those who reported any income broken down by rural / urban on the admin of overall mean")</f>
        <v>Total income per capita among those who reported any income broken down by rural / urban on the admin of overall mean</v>
      </c>
    </row>
    <row r="390" spans="2:5" ht="15.6">
      <c r="B390" s="16" t="s">
        <v>80</v>
      </c>
      <c r="C390" s="17" t="s">
        <v>92</v>
      </c>
      <c r="D390" s="24">
        <v>669</v>
      </c>
      <c r="E390" s="18" t="str">
        <f>HYPERLINK("#'Data'!A2857", "Total income per capita among those who reported any income broken down by proximity to the Frontline / Russian border on the admin of overall mean")</f>
        <v>Total income per capita among those who reported any income broken down by proximity to the Frontline / Russian border on the admin of overall mean</v>
      </c>
    </row>
    <row r="391" spans="2:5" ht="15.6">
      <c r="B391" s="16" t="s">
        <v>80</v>
      </c>
      <c r="C391" s="17" t="s">
        <v>92</v>
      </c>
      <c r="D391" s="24">
        <v>670</v>
      </c>
      <c r="E391" s="18" t="str">
        <f>HYPERLINK("#'Data'!A2864", "Total income per capita among those who reported any income broken down by member with WGSS disability on the admin of overall mean")</f>
        <v>Total income per capita among those who reported any income broken down by member with WGSS disability on the admin of overall mean</v>
      </c>
    </row>
    <row r="392" spans="2:5" ht="15.6">
      <c r="B392" s="16" t="s">
        <v>80</v>
      </c>
      <c r="C392" s="17" t="s">
        <v>92</v>
      </c>
      <c r="D392" s="24">
        <v>671</v>
      </c>
      <c r="E392" s="18" t="str">
        <f>HYPERLINK("#'Data'!A2870", "Total income per capita among those who reported any income broken down by displacement status of HoH on the admin of overall mean")</f>
        <v>Total income per capita among those who reported any income broken down by displacement status of HoH on the admin of overall mean</v>
      </c>
    </row>
    <row r="393" spans="2:5" ht="15.6">
      <c r="B393" s="16" t="s">
        <v>80</v>
      </c>
      <c r="C393" s="17" t="s">
        <v>92</v>
      </c>
      <c r="D393" s="24">
        <v>672</v>
      </c>
      <c r="E393" s="18" t="str">
        <f>HYPERLINK("#'Data'!A2879", "Total income per capita among those who reported any income broken down by household size on the admin of overall mean")</f>
        <v>Total income per capita among those who reported any income broken down by household size on the admin of overall mean</v>
      </c>
    </row>
    <row r="394" spans="2:5" ht="15.6">
      <c r="B394" s="16" t="s">
        <v>80</v>
      </c>
      <c r="C394" s="17" t="s">
        <v>92</v>
      </c>
      <c r="D394" s="24">
        <v>673</v>
      </c>
      <c r="E394" s="18" t="str">
        <f>HYPERLINK("#'Data'!A2886", "Total income per capita among those who reported any income broken down by single/joint headed HHs on the admin of overall mean")</f>
        <v>Total income per capita among those who reported any income broken down by single/joint headed HHs on the admin of overall mean</v>
      </c>
    </row>
    <row r="395" spans="2:5" ht="15.6" hidden="1">
      <c r="B395" s="16" t="s">
        <v>80</v>
      </c>
      <c r="C395" s="17" t="s">
        <v>93</v>
      </c>
      <c r="D395" s="24">
        <v>675</v>
      </c>
      <c r="E395" s="18" t="str">
        <f>HYPERLINK("#'Data'!A2893", "Total income per household among those who reported any income broken down by rural / urban on the admin of overall mean")</f>
        <v>Total income per household among those who reported any income broken down by rural / urban on the admin of overall mean</v>
      </c>
    </row>
    <row r="396" spans="2:5" ht="15.6" hidden="1">
      <c r="B396" s="16" t="s">
        <v>80</v>
      </c>
      <c r="C396" s="17" t="s">
        <v>93</v>
      </c>
      <c r="D396" s="24">
        <v>676</v>
      </c>
      <c r="E396" s="18" t="str">
        <f>HYPERLINK("#'Data'!A2899", "Total income per household among those who reported any income broken down by proximity to the Frontline / Russian border on the admin of overall m...")</f>
        <v>Total income per household among those who reported any income broken down by proximity to the Frontline / Russian border on the admin of overall m...</v>
      </c>
    </row>
    <row r="397" spans="2:5" ht="15.6" hidden="1">
      <c r="B397" s="16" t="s">
        <v>80</v>
      </c>
      <c r="C397" s="17" t="s">
        <v>93</v>
      </c>
      <c r="D397" s="24">
        <v>677</v>
      </c>
      <c r="E397" s="18" t="str">
        <f>HYPERLINK("#'Data'!A2906", "Total income per household among those who reported any income broken down by member with WGSS disability on the admin of overall mean")</f>
        <v>Total income per household among those who reported any income broken down by member with WGSS disability on the admin of overall mean</v>
      </c>
    </row>
    <row r="398" spans="2:5" ht="15.6" hidden="1">
      <c r="B398" s="16" t="s">
        <v>80</v>
      </c>
      <c r="C398" s="17" t="s">
        <v>93</v>
      </c>
      <c r="D398" s="24">
        <v>678</v>
      </c>
      <c r="E398" s="18" t="str">
        <f>HYPERLINK("#'Data'!A2912", "Total income per household among those who reported any income broken down by displacement status of HoH on the admin of overall mean")</f>
        <v>Total income per household among those who reported any income broken down by displacement status of HoH on the admin of overall mean</v>
      </c>
    </row>
    <row r="399" spans="2:5" ht="15.6" hidden="1">
      <c r="B399" s="16" t="s">
        <v>80</v>
      </c>
      <c r="C399" s="17" t="s">
        <v>93</v>
      </c>
      <c r="D399" s="24">
        <v>679</v>
      </c>
      <c r="E399" s="18" t="str">
        <f>HYPERLINK("#'Data'!A2921", "Total income per household among those who reported any income broken down by household size on the admin of overall mean")</f>
        <v>Total income per household among those who reported any income broken down by household size on the admin of overall mean</v>
      </c>
    </row>
    <row r="400" spans="2:5" ht="15.6" hidden="1">
      <c r="B400" s="16" t="s">
        <v>80</v>
      </c>
      <c r="C400" s="17" t="s">
        <v>93</v>
      </c>
      <c r="D400" s="24">
        <v>680</v>
      </c>
      <c r="E400" s="18" t="str">
        <f>HYPERLINK("#'Data'!A2928", "Total income per household among those who reported any income broken down by presence of children on the admin of overall mean")</f>
        <v>Total income per household among those who reported any income broken down by presence of children on the admin of overall mean</v>
      </c>
    </row>
    <row r="401" spans="2:5" ht="15.6" hidden="1">
      <c r="B401" s="16" t="s">
        <v>80</v>
      </c>
      <c r="C401" s="17" t="s">
        <v>93</v>
      </c>
      <c r="D401" s="24">
        <v>681</v>
      </c>
      <c r="E401" s="18" t="str">
        <f>HYPERLINK("#'Data'!A2934", "Total income per household among those who reported any income broken down by single/joint headed HHs on the admin of overall mean")</f>
        <v>Total income per household among those who reported any income broken down by single/joint headed HHs on the admin of overall mean</v>
      </c>
    </row>
    <row r="402" spans="2:5" ht="15.6" hidden="1">
      <c r="B402" s="16" t="s">
        <v>80</v>
      </c>
      <c r="C402" s="17" t="s">
        <v>94</v>
      </c>
      <c r="D402" s="24">
        <v>683</v>
      </c>
      <c r="E402" s="18" t="str">
        <f>HYPERLINK("#'Data'!A2941", "Households that have borrowed money that they still have to pay back broken down by rural / urban on the admin of overall perc")</f>
        <v>Households that have borrowed money that they still have to pay back broken down by rural / urban on the admin of overall perc</v>
      </c>
    </row>
    <row r="403" spans="2:5" ht="15.6" hidden="1">
      <c r="B403" s="16" t="s">
        <v>80</v>
      </c>
      <c r="C403" s="17" t="s">
        <v>94</v>
      </c>
      <c r="D403" s="24">
        <v>684</v>
      </c>
      <c r="E403" s="18" t="str">
        <f>HYPERLINK("#'Data'!A2947", "Households that have borrowed money that they still have to pay back broken down by proximity to the Frontline / Russian border on the admin of ove...")</f>
        <v>Households that have borrowed money that they still have to pay back broken down by proximity to the Frontline / Russian border on the admin of ove...</v>
      </c>
    </row>
    <row r="404" spans="2:5" ht="15.6" hidden="1">
      <c r="B404" s="16" t="s">
        <v>80</v>
      </c>
      <c r="C404" s="17" t="s">
        <v>94</v>
      </c>
      <c r="D404" s="24">
        <v>685</v>
      </c>
      <c r="E404" s="18" t="str">
        <f>HYPERLINK("#'Data'!A2954", "Households that have borrowed money that they still have to pay back broken down by member with WGSS disability on the admin of overall perc")</f>
        <v>Households that have borrowed money that they still have to pay back broken down by member with WGSS disability on the admin of overall perc</v>
      </c>
    </row>
    <row r="405" spans="2:5" ht="15.6" hidden="1">
      <c r="B405" s="16" t="s">
        <v>80</v>
      </c>
      <c r="C405" s="17" t="s">
        <v>94</v>
      </c>
      <c r="D405" s="24">
        <v>686</v>
      </c>
      <c r="E405" s="18" t="str">
        <f>HYPERLINK("#'Data'!A2960", "Households that have borrowed money that they still have to pay back broken down by displacement status of HoH on the admin of overall perc")</f>
        <v>Households that have borrowed money that they still have to pay back broken down by displacement status of HoH on the admin of overall perc</v>
      </c>
    </row>
    <row r="406" spans="2:5" ht="15.6" hidden="1">
      <c r="B406" s="16" t="s">
        <v>80</v>
      </c>
      <c r="C406" s="17" t="s">
        <v>94</v>
      </c>
      <c r="D406" s="24">
        <v>687</v>
      </c>
      <c r="E406" s="18" t="str">
        <f>HYPERLINK("#'Data'!A2969", "Households that have borrowed money that they still have to pay back broken down by household size on the admin of overall perc")</f>
        <v>Households that have borrowed money that they still have to pay back broken down by household size on the admin of overall perc</v>
      </c>
    </row>
    <row r="407" spans="2:5" ht="15.6" hidden="1">
      <c r="B407" s="16" t="s">
        <v>80</v>
      </c>
      <c r="C407" s="17" t="s">
        <v>94</v>
      </c>
      <c r="D407" s="24">
        <v>688</v>
      </c>
      <c r="E407" s="18" t="str">
        <f>HYPERLINK("#'Data'!A2976", "Households that have borrowed money that they still have to pay back broken down by single/joint headed HHs on the admin of overall perc")</f>
        <v>Households that have borrowed money that they still have to pay back broken down by single/joint headed HHs on the admin of overall perc</v>
      </c>
    </row>
    <row r="408" spans="2:5" ht="15.6" hidden="1">
      <c r="B408" s="16" t="s">
        <v>80</v>
      </c>
      <c r="C408" s="17" t="s">
        <v>95</v>
      </c>
      <c r="D408" s="24">
        <v>690</v>
      </c>
      <c r="E408" s="18" t="str">
        <f>HYPERLINK("#'Data'!A2983", "Households reporting reasons why they took on debt since February 2022 broken down by rural / urban on the admin of overall perc")</f>
        <v>Households reporting reasons why they took on debt since February 2022 broken down by rural / urban on the admin of overall perc</v>
      </c>
    </row>
    <row r="409" spans="2:5" ht="15.6" hidden="1">
      <c r="B409" s="16" t="s">
        <v>80</v>
      </c>
      <c r="C409" s="17" t="s">
        <v>95</v>
      </c>
      <c r="D409" s="24">
        <v>691</v>
      </c>
      <c r="E409" s="18" t="str">
        <f>HYPERLINK("#'Data'!A2989", "Households reporting reasons why they took on debt since February 2022 broken down by proximity to the Frontline / Russian border on the admin of o...")</f>
        <v>Households reporting reasons why they took on debt since February 2022 broken down by proximity to the Frontline / Russian border on the admin of o...</v>
      </c>
    </row>
    <row r="410" spans="2:5" ht="15.6" hidden="1">
      <c r="B410" s="16" t="s">
        <v>80</v>
      </c>
      <c r="C410" s="17" t="s">
        <v>95</v>
      </c>
      <c r="D410" s="24">
        <v>692</v>
      </c>
      <c r="E410" s="18" t="str">
        <f>HYPERLINK("#'Data'!A2996", "Households reporting reasons why they took on debt since February 2022 broken down by member with WGSS disability on the admin of overall perc")</f>
        <v>Households reporting reasons why they took on debt since February 2022 broken down by member with WGSS disability on the admin of overall perc</v>
      </c>
    </row>
    <row r="411" spans="2:5" ht="15.6" hidden="1">
      <c r="B411" s="16" t="s">
        <v>80</v>
      </c>
      <c r="C411" s="17" t="s">
        <v>95</v>
      </c>
      <c r="D411" s="24">
        <v>693</v>
      </c>
      <c r="E411" s="18" t="str">
        <f>HYPERLINK("#'Data'!A3002", "Households reporting reasons why they took on debt since February 2022 broken down by displacement status of HoH on the admin of overall perc")</f>
        <v>Households reporting reasons why they took on debt since February 2022 broken down by displacement status of HoH on the admin of overall perc</v>
      </c>
    </row>
    <row r="412" spans="2:5" ht="15.6" hidden="1">
      <c r="B412" s="16" t="s">
        <v>80</v>
      </c>
      <c r="C412" s="17" t="s">
        <v>95</v>
      </c>
      <c r="D412" s="24">
        <v>694</v>
      </c>
      <c r="E412" s="18" t="str">
        <f>HYPERLINK("#'Data'!A3011", "Households reporting reasons why they took on debt since February 2022 broken down by household size on the admin of overall perc")</f>
        <v>Households reporting reasons why they took on debt since February 2022 broken down by household size on the admin of overall perc</v>
      </c>
    </row>
    <row r="413" spans="2:5" ht="15.6" hidden="1">
      <c r="B413" s="16" t="s">
        <v>80</v>
      </c>
      <c r="C413" s="17" t="s">
        <v>95</v>
      </c>
      <c r="D413" s="24">
        <v>695</v>
      </c>
      <c r="E413" s="18" t="str">
        <f>HYPERLINK("#'Data'!A3018", "Households reporting reasons why they took on debt since February 2022 broken down by single/joint headed HHs on the admin of overall perc")</f>
        <v>Households reporting reasons why they took on debt since February 2022 broken down by single/joint headed HHs on the admin of overall perc</v>
      </c>
    </row>
    <row r="414" spans="2:5" ht="15.6" hidden="1">
      <c r="B414" s="16" t="s">
        <v>80</v>
      </c>
      <c r="C414" s="17" t="s">
        <v>96</v>
      </c>
      <c r="D414" s="24">
        <v>697</v>
      </c>
      <c r="E414" s="18" t="str">
        <f>HYPERLINK("#'Data'!A3025", "Households reporting barriers while accessing markets broken down by rural / urban on the admin of overall perc")</f>
        <v>Households reporting barriers while accessing markets broken down by rural / urban on the admin of overall perc</v>
      </c>
    </row>
    <row r="415" spans="2:5" ht="15.6" hidden="1">
      <c r="B415" s="16" t="s">
        <v>80</v>
      </c>
      <c r="C415" s="17" t="s">
        <v>96</v>
      </c>
      <c r="D415" s="24">
        <v>698</v>
      </c>
      <c r="E415" s="18" t="str">
        <f>HYPERLINK("#'Data'!A3031", "Households reporting barriers while accessing markets broken down by proximity to the Frontline / Russian border on the admin of overall perc")</f>
        <v>Households reporting barriers while accessing markets broken down by proximity to the Frontline / Russian border on the admin of overall perc</v>
      </c>
    </row>
    <row r="416" spans="2:5" ht="15.6" hidden="1">
      <c r="B416" s="16" t="s">
        <v>80</v>
      </c>
      <c r="C416" s="17" t="s">
        <v>96</v>
      </c>
      <c r="D416" s="24">
        <v>699</v>
      </c>
      <c r="E416" s="18" t="str">
        <f>HYPERLINK("#'Data'!A3038", "Households reporting barriers while accessing markets broken down by member with WGSS disability on the admin of overall perc")</f>
        <v>Households reporting barriers while accessing markets broken down by member with WGSS disability on the admin of overall perc</v>
      </c>
    </row>
    <row r="417" spans="2:5" ht="15.6" hidden="1">
      <c r="B417" s="16" t="s">
        <v>80</v>
      </c>
      <c r="C417" s="17" t="s">
        <v>96</v>
      </c>
      <c r="D417" s="24">
        <v>700</v>
      </c>
      <c r="E417" s="18" t="str">
        <f>HYPERLINK("#'Data'!A3044", "Households reporting barriers while accessing markets broken down by displacement status of HoH on the admin of overall perc")</f>
        <v>Households reporting barriers while accessing markets broken down by displacement status of HoH on the admin of overall perc</v>
      </c>
    </row>
    <row r="418" spans="2:5" ht="15.6" hidden="1">
      <c r="B418" s="16" t="s">
        <v>80</v>
      </c>
      <c r="C418" s="17" t="s">
        <v>96</v>
      </c>
      <c r="D418" s="24">
        <v>701</v>
      </c>
      <c r="E418" s="18" t="str">
        <f>HYPERLINK("#'Data'!A3053", "Households reporting barriers while accessing markets broken down by household size on the admin of overall perc")</f>
        <v>Households reporting barriers while accessing markets broken down by household size on the admin of overall perc</v>
      </c>
    </row>
    <row r="419" spans="2:5" ht="15.6" hidden="1">
      <c r="B419" s="16" t="s">
        <v>80</v>
      </c>
      <c r="C419" s="17" t="s">
        <v>96</v>
      </c>
      <c r="D419" s="24">
        <v>702</v>
      </c>
      <c r="E419" s="18" t="str">
        <f>HYPERLINK("#'Data'!A3060", "Households reporting barriers while accessing markets broken down by single/joint headed HHs on the admin of overall perc")</f>
        <v>Households reporting barriers while accessing markets broken down by single/joint headed HHs on the admin of overall perc</v>
      </c>
    </row>
    <row r="420" spans="2:5" ht="15.6" hidden="1">
      <c r="B420" s="16" t="s">
        <v>80</v>
      </c>
      <c r="C420" s="17" t="s">
        <v>97</v>
      </c>
      <c r="D420" s="24">
        <v>713</v>
      </c>
      <c r="E420" s="18" t="str">
        <f>HYPERLINK("#'Data'!A3067", "Households adopting Livelihood Coping Strategies, by strategy broken down by rural / urban on the admin of overall ")</f>
        <v xml:space="preserve">Households adopting Livelihood Coping Strategies, by strategy broken down by rural / urban on the admin of overall </v>
      </c>
    </row>
    <row r="421" spans="2:5" ht="15.6" hidden="1">
      <c r="B421" s="16" t="s">
        <v>80</v>
      </c>
      <c r="C421" s="17" t="s">
        <v>97</v>
      </c>
      <c r="D421" s="24">
        <v>723</v>
      </c>
      <c r="E421" s="18" t="str">
        <f>HYPERLINK("#'Data'!A3082", "Households adopting Livelihood Coping Strategies, by strategy broken down by proximity to the Frontline / Russian borde...")</f>
        <v>Households adopting Livelihood Coping Strategies, by strategy broken down by proximity to the Frontline / Russian borde...</v>
      </c>
    </row>
    <row r="422" spans="2:5" ht="15.6" hidden="1">
      <c r="B422" s="16" t="s">
        <v>80</v>
      </c>
      <c r="C422" s="17" t="s">
        <v>97</v>
      </c>
      <c r="D422" s="24">
        <v>733</v>
      </c>
      <c r="E422" s="18" t="str">
        <f>HYPERLINK("#'Data'!A3101", "Households adopting Livelihood Coping Strategies, by strategy broken down by member with WGSS disability on the admin o...")</f>
        <v>Households adopting Livelihood Coping Strategies, by strategy broken down by member with WGSS disability on the admin o...</v>
      </c>
    </row>
    <row r="423" spans="2:5" ht="15.6" hidden="1">
      <c r="B423" s="16" t="s">
        <v>80</v>
      </c>
      <c r="C423" s="17" t="s">
        <v>97</v>
      </c>
      <c r="D423" s="24">
        <v>743</v>
      </c>
      <c r="E423" s="18" t="str">
        <f>HYPERLINK("#'Data'!A3116", "Households adopting Livelihood Coping Strategies, by strategy broken down by displacement status of HoH on the admin of...")</f>
        <v>Households adopting Livelihood Coping Strategies, by strategy broken down by displacement status of HoH on the admin of...</v>
      </c>
    </row>
    <row r="424" spans="2:5" ht="15.6" hidden="1">
      <c r="B424" s="16" t="s">
        <v>80</v>
      </c>
      <c r="C424" s="17" t="s">
        <v>97</v>
      </c>
      <c r="D424" s="24">
        <v>753</v>
      </c>
      <c r="E424" s="18" t="str">
        <f>HYPERLINK("#'Data'!A3142", "Households adopting Livelihood Coping Strategies, by strategy broken down by household size on the admin of overall ")</f>
        <v xml:space="preserve">Households adopting Livelihood Coping Strategies, by strategy broken down by household size on the admin of overall </v>
      </c>
    </row>
    <row r="425" spans="2:5" ht="15.6" hidden="1">
      <c r="B425" s="16" t="s">
        <v>80</v>
      </c>
      <c r="C425" s="17" t="s">
        <v>97</v>
      </c>
      <c r="D425" s="24">
        <v>763</v>
      </c>
      <c r="E425" s="18" t="str">
        <f>HYPERLINK("#'Data'!A3161", "Households adopting Livelihood Coping Strategies, by strategy broken down by single/joint headed HHs on the admin of ov...")</f>
        <v>Households adopting Livelihood Coping Strategies, by strategy broken down by single/joint headed HHs on the admin of ov...</v>
      </c>
    </row>
    <row r="426" spans="2:5" ht="15.6" hidden="1">
      <c r="B426" s="16" t="s">
        <v>80</v>
      </c>
      <c r="C426" s="17" t="s">
        <v>98</v>
      </c>
      <c r="D426" s="24">
        <v>774</v>
      </c>
      <c r="E426" s="18" t="str">
        <f>HYPERLINK("#'Data'!A3180", "Main Reasons Households Reported for Using Livelihood Coping Strategies  broken down by rural / urban on the admin of overall perc")</f>
        <v>Main Reasons Households Reported for Using Livelihood Coping Strategies  broken down by rural / urban on the admin of overall perc</v>
      </c>
    </row>
    <row r="427" spans="2:5" ht="15.6" hidden="1">
      <c r="B427" s="16" t="s">
        <v>80</v>
      </c>
      <c r="C427" s="17" t="s">
        <v>98</v>
      </c>
      <c r="D427" s="24">
        <v>775</v>
      </c>
      <c r="E427" s="18" t="str">
        <f>HYPERLINK("#'Data'!A3186", "Main Reasons Households Reported for Using Livelihood Coping Strategies  broken down by proximity to the Frontline / Russian border on the admin of...")</f>
        <v>Main Reasons Households Reported for Using Livelihood Coping Strategies  broken down by proximity to the Frontline / Russian border on the admin of...</v>
      </c>
    </row>
    <row r="428" spans="2:5" ht="15.6" hidden="1">
      <c r="B428" s="16" t="s">
        <v>80</v>
      </c>
      <c r="C428" s="17" t="s">
        <v>98</v>
      </c>
      <c r="D428" s="24">
        <v>776</v>
      </c>
      <c r="E428" s="18" t="str">
        <f>HYPERLINK("#'Data'!A3193", "Main Reasons Households Reported for Using Livelihood Coping Strategies  broken down by member with WGSS disability on the admin of overall perc")</f>
        <v>Main Reasons Households Reported for Using Livelihood Coping Strategies  broken down by member with WGSS disability on the admin of overall perc</v>
      </c>
    </row>
    <row r="429" spans="2:5" ht="15.6" hidden="1">
      <c r="B429" s="16" t="s">
        <v>80</v>
      </c>
      <c r="C429" s="17" t="s">
        <v>98</v>
      </c>
      <c r="D429" s="24">
        <v>777</v>
      </c>
      <c r="E429" s="18" t="str">
        <f>HYPERLINK("#'Data'!A3199", "Main Reasons Households Reported for Using Livelihood Coping Strategies  broken down by displacement status of HoH on the admin of overall perc")</f>
        <v>Main Reasons Households Reported for Using Livelihood Coping Strategies  broken down by displacement status of HoH on the admin of overall perc</v>
      </c>
    </row>
    <row r="430" spans="2:5" ht="15.6" hidden="1">
      <c r="B430" s="16" t="s">
        <v>80</v>
      </c>
      <c r="C430" s="17" t="s">
        <v>98</v>
      </c>
      <c r="D430" s="24">
        <v>778</v>
      </c>
      <c r="E430" s="18" t="str">
        <f>HYPERLINK("#'Data'!A3208", "Main Reasons Households Reported for Using Livelihood Coping Strategies  broken down by household size on the admin of overall perc")</f>
        <v>Main Reasons Households Reported for Using Livelihood Coping Strategies  broken down by household size on the admin of overall perc</v>
      </c>
    </row>
    <row r="431" spans="2:5" ht="15.6" hidden="1">
      <c r="B431" s="16" t="s">
        <v>80</v>
      </c>
      <c r="C431" s="17" t="s">
        <v>98</v>
      </c>
      <c r="D431" s="24">
        <v>779</v>
      </c>
      <c r="E431" s="18" t="str">
        <f>HYPERLINK("#'Data'!A3215", "Main Reasons Households Reported for Using Livelihood Coping Strategies  broken down by single/joint headed HHs on the admin of overall perc")</f>
        <v>Main Reasons Households Reported for Using Livelihood Coping Strategies  broken down by single/joint headed HHs on the admin of overall perc</v>
      </c>
    </row>
    <row r="432" spans="2:5" ht="15.6" hidden="1">
      <c r="B432" s="16" t="s">
        <v>80</v>
      </c>
      <c r="C432" s="17" t="s">
        <v>99</v>
      </c>
      <c r="D432" s="24">
        <v>781</v>
      </c>
      <c r="E432" s="18" t="str">
        <f>HYPERLINK("#'Data'!A3222", "Livelihood Coping Strategy - Essential Needs (LCS-EN) broken down by rural / urban on the admin of overall perc")</f>
        <v>Livelihood Coping Strategy - Essential Needs (LCS-EN) broken down by rural / urban on the admin of overall perc</v>
      </c>
    </row>
    <row r="433" spans="2:5" ht="15.6" hidden="1">
      <c r="B433" s="16" t="s">
        <v>80</v>
      </c>
      <c r="C433" s="17" t="s">
        <v>99</v>
      </c>
      <c r="D433" s="24">
        <v>782</v>
      </c>
      <c r="E433" s="18" t="str">
        <f>HYPERLINK("#'Data'!A3228", "Livelihood Coping Strategy - Essential Needs (LCS-EN) broken down by proximity to the Frontline / Russian border on the admin of overall perc")</f>
        <v>Livelihood Coping Strategy - Essential Needs (LCS-EN) broken down by proximity to the Frontline / Russian border on the admin of overall perc</v>
      </c>
    </row>
    <row r="434" spans="2:5" ht="15.6" hidden="1">
      <c r="B434" s="16" t="s">
        <v>80</v>
      </c>
      <c r="C434" s="17" t="s">
        <v>99</v>
      </c>
      <c r="D434" s="24">
        <v>783</v>
      </c>
      <c r="E434" s="18" t="str">
        <f>HYPERLINK("#'Data'!A3235", "Livelihood Coping Strategy - Essential Needs (LCS-EN) broken down by member with WGSS disability on the admin of overall perc")</f>
        <v>Livelihood Coping Strategy - Essential Needs (LCS-EN) broken down by member with WGSS disability on the admin of overall perc</v>
      </c>
    </row>
    <row r="435" spans="2:5" ht="15.6" hidden="1">
      <c r="B435" s="16" t="s">
        <v>80</v>
      </c>
      <c r="C435" s="17" t="s">
        <v>99</v>
      </c>
      <c r="D435" s="24">
        <v>784</v>
      </c>
      <c r="E435" s="18" t="str">
        <f>HYPERLINK("#'Data'!A3241", "Livelihood Coping Strategy - Essential Needs (LCS-EN) broken down by displacement status of HoH on the admin of overall perc")</f>
        <v>Livelihood Coping Strategy - Essential Needs (LCS-EN) broken down by displacement status of HoH on the admin of overall perc</v>
      </c>
    </row>
    <row r="436" spans="2:5" ht="15.6" hidden="1">
      <c r="B436" s="16" t="s">
        <v>80</v>
      </c>
      <c r="C436" s="17" t="s">
        <v>99</v>
      </c>
      <c r="D436" s="24">
        <v>785</v>
      </c>
      <c r="E436" s="18" t="str">
        <f>HYPERLINK("#'Data'!A3250", "Livelihood Coping Strategy - Essential Needs (LCS-EN) broken down by household size on the admin of overall perc")</f>
        <v>Livelihood Coping Strategy - Essential Needs (LCS-EN) broken down by household size on the admin of overall perc</v>
      </c>
    </row>
    <row r="437" spans="2:5" ht="15.6" hidden="1">
      <c r="B437" s="16" t="s">
        <v>80</v>
      </c>
      <c r="C437" s="17" t="s">
        <v>99</v>
      </c>
      <c r="D437" s="24">
        <v>786</v>
      </c>
      <c r="E437" s="18" t="str">
        <f>HYPERLINK("#'Data'!A3257", "Livelihood Coping Strategy - Essential Needs (LCS-EN) broken down by presence of children on the admin of overall perc")</f>
        <v>Livelihood Coping Strategy - Essential Needs (LCS-EN) broken down by presence of children on the admin of overall perc</v>
      </c>
    </row>
    <row r="438" spans="2:5" ht="15.6" hidden="1">
      <c r="B438" s="16" t="s">
        <v>80</v>
      </c>
      <c r="C438" s="17" t="s">
        <v>99</v>
      </c>
      <c r="D438" s="24">
        <v>787</v>
      </c>
      <c r="E438" s="18" t="str">
        <f>HYPERLINK("#'Data'!A3263", "Livelihood Coping Strategy - Essential Needs (LCS-EN) broken down by single care provider on the admin of overall perc")</f>
        <v>Livelihood Coping Strategy - Essential Needs (LCS-EN) broken down by single care provider on the admin of overall perc</v>
      </c>
    </row>
    <row r="439" spans="2:5" ht="15.6" hidden="1">
      <c r="B439" s="16" t="s">
        <v>80</v>
      </c>
      <c r="C439" s="17" t="s">
        <v>99</v>
      </c>
      <c r="D439" s="24">
        <v>788</v>
      </c>
      <c r="E439" s="18" t="str">
        <f>HYPERLINK("#'Data'!A3271", "Livelihood Coping Strategy - Essential Needs (LCS-EN) broken down by single/joint headed HHs on the admin of overall perc")</f>
        <v>Livelihood Coping Strategy - Essential Needs (LCS-EN) broken down by single/joint headed HHs on the admin of overall perc</v>
      </c>
    </row>
    <row r="440" spans="2:5" ht="15.6" hidden="1">
      <c r="B440" s="16" t="s">
        <v>100</v>
      </c>
      <c r="C440" s="17" t="s">
        <v>101</v>
      </c>
      <c r="D440" s="24">
        <v>790</v>
      </c>
      <c r="E440" s="18" t="str">
        <f>HYPERLINK("#'Data'!A3278", "Security Factors that reportedly influenced households' sense of safety broken down by gender of respondent on the admin of overall perc")</f>
        <v>Security Factors that reportedly influenced households' sense of safety broken down by gender of respondent on the admin of overall perc</v>
      </c>
    </row>
    <row r="441" spans="2:5" ht="15.6" hidden="1">
      <c r="B441" s="16" t="s">
        <v>100</v>
      </c>
      <c r="C441" s="17" t="s">
        <v>101</v>
      </c>
      <c r="D441" s="24">
        <v>791</v>
      </c>
      <c r="E441" s="18" t="str">
        <f>HYPERLINK("#'Data'!A3285", "Security Factors that reportedly influenced households' sense of safety broken down by age of respondents on the admin of overall perc")</f>
        <v>Security Factors that reportedly influenced households' sense of safety broken down by age of respondents on the admin of overall perc</v>
      </c>
    </row>
    <row r="442" spans="2:5" ht="15.6" hidden="1">
      <c r="B442" s="16" t="s">
        <v>100</v>
      </c>
      <c r="C442" s="17" t="s">
        <v>101</v>
      </c>
      <c r="D442" s="24">
        <v>792</v>
      </c>
      <c r="E442" s="18" t="str">
        <f>HYPERLINK("#'Data'!A3293", "Security Factors that reportedly influenced households' sense of safety broken down by rural / urban on the admin of overall perc")</f>
        <v>Security Factors that reportedly influenced households' sense of safety broken down by rural / urban on the admin of overall perc</v>
      </c>
    </row>
    <row r="443" spans="2:5" ht="15.6" hidden="1">
      <c r="B443" s="16" t="s">
        <v>100</v>
      </c>
      <c r="C443" s="17" t="s">
        <v>101</v>
      </c>
      <c r="D443" s="24">
        <v>793</v>
      </c>
      <c r="E443" s="18" t="str">
        <f>HYPERLINK("#'Data'!A3299", "Security Factors that reportedly influenced households' sense of safety broken down by proximity to the Frontline / Russian border on the admin of ...")</f>
        <v>Security Factors that reportedly influenced households' sense of safety broken down by proximity to the Frontline / Russian border on the admin of ...</v>
      </c>
    </row>
    <row r="444" spans="2:5" ht="15.6" hidden="1">
      <c r="B444" s="16" t="s">
        <v>100</v>
      </c>
      <c r="C444" s="17" t="s">
        <v>101</v>
      </c>
      <c r="D444" s="24">
        <v>794</v>
      </c>
      <c r="E444" s="18" t="str">
        <f>HYPERLINK("#'Data'!A3306", "Security Factors that reportedly influenced households' sense of safety broken down by member with WGSS disability on the admin of overall perc")</f>
        <v>Security Factors that reportedly influenced households' sense of safety broken down by member with WGSS disability on the admin of overall perc</v>
      </c>
    </row>
    <row r="445" spans="2:5" ht="15.6" hidden="1">
      <c r="B445" s="16" t="s">
        <v>100</v>
      </c>
      <c r="C445" s="17" t="s">
        <v>101</v>
      </c>
      <c r="D445" s="24">
        <v>795</v>
      </c>
      <c r="E445" s="18" t="str">
        <f>HYPERLINK("#'Data'!A3312", "Security Factors that reportedly influenced households' sense of safety broken down by displacement status of HoH on the admin of overall perc")</f>
        <v>Security Factors that reportedly influenced households' sense of safety broken down by displacement status of HoH on the admin of overall perc</v>
      </c>
    </row>
    <row r="446" spans="2:5" ht="15.6" hidden="1">
      <c r="B446" s="16" t="s">
        <v>100</v>
      </c>
      <c r="C446" s="17" t="s">
        <v>101</v>
      </c>
      <c r="D446" s="24">
        <v>796</v>
      </c>
      <c r="E446" s="18" t="str">
        <f>HYPERLINK("#'Data'!A3321", "Security Factors that reportedly influenced households' sense of safety broken down by household size on the admin of overall perc")</f>
        <v>Security Factors that reportedly influenced households' sense of safety broken down by household size on the admin of overall perc</v>
      </c>
    </row>
    <row r="447" spans="2:5" ht="15.6" hidden="1">
      <c r="B447" s="16" t="s">
        <v>100</v>
      </c>
      <c r="C447" s="17" t="s">
        <v>101</v>
      </c>
      <c r="D447" s="24">
        <v>797</v>
      </c>
      <c r="E447" s="18" t="str">
        <f>HYPERLINK("#'Data'!A3328", "Security Factors that reportedly influenced households' sense of safety broken down by single/joint headed HHs on the admin of overall perc")</f>
        <v>Security Factors that reportedly influenced households' sense of safety broken down by single/joint headed HHs on the admin of overall perc</v>
      </c>
    </row>
    <row r="448" spans="2:5" ht="15.6" hidden="1">
      <c r="B448" s="16" t="s">
        <v>100</v>
      </c>
      <c r="C448" s="17" t="s">
        <v>102</v>
      </c>
      <c r="D448" s="24">
        <v>799</v>
      </c>
      <c r="E448" s="18" t="str">
        <f>HYPERLINK("#'Data'!A3335", "Reasons why social tension or discrimination impacted households' sense of safety broken down by gender of respondent on the admin of overall perc")</f>
        <v>Reasons why social tension or discrimination impacted households' sense of safety broken down by gender of respondent on the admin of overall perc</v>
      </c>
    </row>
    <row r="449" spans="2:5" ht="15.6" hidden="1">
      <c r="B449" s="16" t="s">
        <v>100</v>
      </c>
      <c r="C449" s="17" t="s">
        <v>102</v>
      </c>
      <c r="D449" s="24">
        <v>800</v>
      </c>
      <c r="E449" s="18" t="str">
        <f>HYPERLINK("#'Data'!A3341", "Reasons why social tension or discrimination impacted households' sense of safety broken down by age of respondents on the admin of overall perc")</f>
        <v>Reasons why social tension or discrimination impacted households' sense of safety broken down by age of respondents on the admin of overall perc</v>
      </c>
    </row>
    <row r="450" spans="2:5" ht="15.6" hidden="1">
      <c r="B450" s="16" t="s">
        <v>100</v>
      </c>
      <c r="C450" s="17" t="s">
        <v>102</v>
      </c>
      <c r="D450" s="24">
        <v>801</v>
      </c>
      <c r="E450" s="18" t="str">
        <f>HYPERLINK("#'Data'!A3349", "Reasons why social tension or discrimination impacted households' sense of safety broken down by rural / urban on the admin of overall perc")</f>
        <v>Reasons why social tension or discrimination impacted households' sense of safety broken down by rural / urban on the admin of overall perc</v>
      </c>
    </row>
    <row r="451" spans="2:5" ht="15.6" hidden="1">
      <c r="B451" s="16" t="s">
        <v>100</v>
      </c>
      <c r="C451" s="17" t="s">
        <v>102</v>
      </c>
      <c r="D451" s="24">
        <v>802</v>
      </c>
      <c r="E451" s="18" t="str">
        <f>HYPERLINK("#'Data'!A3355", "Reasons why social tension or discrimination impacted households' sense of safety broken down by proximity to the Frontline / Russian border on the...")</f>
        <v>Reasons why social tension or discrimination impacted households' sense of safety broken down by proximity to the Frontline / Russian border on the...</v>
      </c>
    </row>
    <row r="452" spans="2:5" ht="15.6" hidden="1">
      <c r="B452" s="16" t="s">
        <v>100</v>
      </c>
      <c r="C452" s="17" t="s">
        <v>102</v>
      </c>
      <c r="D452" s="24">
        <v>803</v>
      </c>
      <c r="E452" s="18" t="str">
        <f>HYPERLINK("#'Data'!A3362", "Reasons why social tension or discrimination impacted households' sense of safety broken down by member with WGSS disability on the admin of overal...")</f>
        <v>Reasons why social tension or discrimination impacted households' sense of safety broken down by member with WGSS disability on the admin of overal...</v>
      </c>
    </row>
    <row r="453" spans="2:5" ht="15.6" hidden="1">
      <c r="B453" s="16" t="s">
        <v>100</v>
      </c>
      <c r="C453" s="17" t="s">
        <v>102</v>
      </c>
      <c r="D453" s="24">
        <v>804</v>
      </c>
      <c r="E453" s="18" t="str">
        <f>HYPERLINK("#'Data'!A3368", "Reasons why social tension or discrimination impacted households' sense of safety broken down by displacement status of HoH on the admin of overall...")</f>
        <v>Reasons why social tension or discrimination impacted households' sense of safety broken down by displacement status of HoH on the admin of overall...</v>
      </c>
    </row>
    <row r="454" spans="2:5" ht="15.6" hidden="1">
      <c r="B454" s="16" t="s">
        <v>100</v>
      </c>
      <c r="C454" s="17" t="s">
        <v>102</v>
      </c>
      <c r="D454" s="24">
        <v>805</v>
      </c>
      <c r="E454" s="18" t="str">
        <f>HYPERLINK("#'Data'!A3376", "Reasons why social tension or discrimination impacted households' sense of safety broken down by household size on the admin of overall perc")</f>
        <v>Reasons why social tension or discrimination impacted households' sense of safety broken down by household size on the admin of overall perc</v>
      </c>
    </row>
    <row r="455" spans="2:5" ht="15.6" hidden="1">
      <c r="B455" s="16" t="s">
        <v>100</v>
      </c>
      <c r="C455" s="17" t="s">
        <v>102</v>
      </c>
      <c r="D455" s="24">
        <v>806</v>
      </c>
      <c r="E455" s="18" t="str">
        <f>HYPERLINK("#'Data'!A3383", "Reasons why social tension or discrimination impacted households' sense of safety broken down by single/joint headed HHs on the admin of overall pe...")</f>
        <v>Reasons why social tension or discrimination impacted households' sense of safety broken down by single/joint headed HHs on the admin of overall pe...</v>
      </c>
    </row>
    <row r="456" spans="2:5" ht="15.6" hidden="1">
      <c r="B456" s="16" t="s">
        <v>100</v>
      </c>
      <c r="C456" s="17" t="s">
        <v>103</v>
      </c>
      <c r="D456" s="24">
        <v>808</v>
      </c>
      <c r="E456" s="18" t="str">
        <f>HYPERLINK("#'Data'!A3390", "Households that reported being concerned about having any HH member engaging in risky activities due to the economic needs broken down by gender of...")</f>
        <v>Households that reported being concerned about having any HH member engaging in risky activities due to the economic needs broken down by gender of...</v>
      </c>
    </row>
    <row r="457" spans="2:5" ht="15.6" hidden="1">
      <c r="B457" s="16" t="s">
        <v>100</v>
      </c>
      <c r="C457" s="17" t="s">
        <v>103</v>
      </c>
      <c r="D457" s="24">
        <v>809</v>
      </c>
      <c r="E457" s="18" t="str">
        <f>HYPERLINK("#'Data'!A3397", "Households that reported being concerned about having any HH member engaging in risky activities due to the economic needs broken down by age of re...")</f>
        <v>Households that reported being concerned about having any HH member engaging in risky activities due to the economic needs broken down by age of re...</v>
      </c>
    </row>
    <row r="458" spans="2:5" ht="15.6" hidden="1">
      <c r="B458" s="16" t="s">
        <v>100</v>
      </c>
      <c r="C458" s="17" t="s">
        <v>103</v>
      </c>
      <c r="D458" s="24">
        <v>810</v>
      </c>
      <c r="E458" s="18" t="str">
        <f>HYPERLINK("#'Data'!A3405", "Households that reported being concerned about having any HH member engaging in risky activities due to the economic needs broken down by rural / u...")</f>
        <v>Households that reported being concerned about having any HH member engaging in risky activities due to the economic needs broken down by rural / u...</v>
      </c>
    </row>
    <row r="459" spans="2:5" ht="15.6" hidden="1">
      <c r="B459" s="16" t="s">
        <v>100</v>
      </c>
      <c r="C459" s="17" t="s">
        <v>103</v>
      </c>
      <c r="D459" s="24">
        <v>811</v>
      </c>
      <c r="E459" s="18" t="str">
        <f>HYPERLINK("#'Data'!A3411", "Households that reported being concerned about having any HH member engaging in risky activities due to the economic needs broken down by proximity...")</f>
        <v>Households that reported being concerned about having any HH member engaging in risky activities due to the economic needs broken down by proximity...</v>
      </c>
    </row>
    <row r="460" spans="2:5" ht="15.6" hidden="1">
      <c r="B460" s="16" t="s">
        <v>100</v>
      </c>
      <c r="C460" s="17" t="s">
        <v>103</v>
      </c>
      <c r="D460" s="24">
        <v>812</v>
      </c>
      <c r="E460" s="18" t="str">
        <f>HYPERLINK("#'Data'!A3418", "Households that reported being concerned about having any HH member engaging in risky activities due to the economic needs broken down by member wi...")</f>
        <v>Households that reported being concerned about having any HH member engaging in risky activities due to the economic needs broken down by member wi...</v>
      </c>
    </row>
    <row r="461" spans="2:5" ht="15.6" hidden="1">
      <c r="B461" s="16" t="s">
        <v>100</v>
      </c>
      <c r="C461" s="17" t="s">
        <v>103</v>
      </c>
      <c r="D461" s="24">
        <v>813</v>
      </c>
      <c r="E461" s="18" t="str">
        <f>HYPERLINK("#'Data'!A3424", "Households that reported being concerned about having any HH member engaging in risky activities due to the economic needs broken down by displacem...")</f>
        <v>Households that reported being concerned about having any HH member engaging in risky activities due to the economic needs broken down by displacem...</v>
      </c>
    </row>
    <row r="462" spans="2:5" ht="15.6" hidden="1">
      <c r="B462" s="16" t="s">
        <v>100</v>
      </c>
      <c r="C462" s="17" t="s">
        <v>103</v>
      </c>
      <c r="D462" s="24">
        <v>814</v>
      </c>
      <c r="E462" s="18" t="str">
        <f>HYPERLINK("#'Data'!A3433", "Households that reported being concerned about having any HH member engaging in risky activities due to the economic needs broken down by household...")</f>
        <v>Households that reported being concerned about having any HH member engaging in risky activities due to the economic needs broken down by household...</v>
      </c>
    </row>
    <row r="463" spans="2:5" ht="15.6" hidden="1">
      <c r="B463" s="16" t="s">
        <v>100</v>
      </c>
      <c r="C463" s="17" t="s">
        <v>103</v>
      </c>
      <c r="D463" s="24">
        <v>815</v>
      </c>
      <c r="E463" s="18" t="str">
        <f>HYPERLINK("#'Data'!A3440", "Households that reported being concerned about having any HH member engaging in risky activities due to the economic needs broken down by single/jo...")</f>
        <v>Households that reported being concerned about having any HH member engaging in risky activities due to the economic needs broken down by single/jo...</v>
      </c>
    </row>
    <row r="464" spans="2:5" ht="15.6" hidden="1">
      <c r="B464" s="16" t="s">
        <v>100</v>
      </c>
      <c r="C464" s="17" t="s">
        <v>104</v>
      </c>
      <c r="D464" s="24">
        <v>817</v>
      </c>
      <c r="E464" s="18" t="str">
        <f>HYPERLINK("#'Data'!A3447", "Households that reported being concerned about being forced to flee their home broken down by gender of respondent on the admin of overall perc")</f>
        <v>Households that reported being concerned about being forced to flee their home broken down by gender of respondent on the admin of overall perc</v>
      </c>
    </row>
    <row r="465" spans="2:5" ht="15.6" hidden="1">
      <c r="B465" s="16" t="s">
        <v>100</v>
      </c>
      <c r="C465" s="17" t="s">
        <v>104</v>
      </c>
      <c r="D465" s="24">
        <v>818</v>
      </c>
      <c r="E465" s="18" t="str">
        <f>HYPERLINK("#'Data'!A3454", "Households that reported being concerned about being forced to flee their home broken down by age of respondents on the admin of overall perc")</f>
        <v>Households that reported being concerned about being forced to flee their home broken down by age of respondents on the admin of overall perc</v>
      </c>
    </row>
    <row r="466" spans="2:5" ht="15.6" hidden="1">
      <c r="B466" s="16" t="s">
        <v>100</v>
      </c>
      <c r="C466" s="17" t="s">
        <v>104</v>
      </c>
      <c r="D466" s="24">
        <v>819</v>
      </c>
      <c r="E466" s="18" t="str">
        <f>HYPERLINK("#'Data'!A3462", "Households that reported being concerned about being forced to flee their home broken down by rural / urban on the admin of overall perc")</f>
        <v>Households that reported being concerned about being forced to flee their home broken down by rural / urban on the admin of overall perc</v>
      </c>
    </row>
    <row r="467" spans="2:5" ht="15.6" hidden="1">
      <c r="B467" s="16" t="s">
        <v>100</v>
      </c>
      <c r="C467" s="17" t="s">
        <v>104</v>
      </c>
      <c r="D467" s="24">
        <v>820</v>
      </c>
      <c r="E467" s="18" t="str">
        <f>HYPERLINK("#'Data'!A3468", "Households that reported being concerned about being forced to flee their home broken down by proximity to the Frontline / Russian border on the ad...")</f>
        <v>Households that reported being concerned about being forced to flee their home broken down by proximity to the Frontline / Russian border on the ad...</v>
      </c>
    </row>
    <row r="468" spans="2:5" ht="15.6" hidden="1">
      <c r="B468" s="16" t="s">
        <v>100</v>
      </c>
      <c r="C468" s="17" t="s">
        <v>104</v>
      </c>
      <c r="D468" s="24">
        <v>821</v>
      </c>
      <c r="E468" s="18" t="str">
        <f>HYPERLINK("#'Data'!A3475", "Households that reported being concerned about being forced to flee their home broken down by member with WGSS disability on the admin of overall p...")</f>
        <v>Households that reported being concerned about being forced to flee their home broken down by member with WGSS disability on the admin of overall p...</v>
      </c>
    </row>
    <row r="469" spans="2:5" ht="15.6" hidden="1">
      <c r="B469" s="16" t="s">
        <v>100</v>
      </c>
      <c r="C469" s="17" t="s">
        <v>104</v>
      </c>
      <c r="D469" s="24">
        <v>822</v>
      </c>
      <c r="E469" s="18" t="str">
        <f>HYPERLINK("#'Data'!A3481", "Households that reported being concerned about being forced to flee their home broken down by displacement status of HoH on the admin of overall pe...")</f>
        <v>Households that reported being concerned about being forced to flee their home broken down by displacement status of HoH on the admin of overall pe...</v>
      </c>
    </row>
    <row r="470" spans="2:5" ht="15.6" hidden="1">
      <c r="B470" s="16" t="s">
        <v>100</v>
      </c>
      <c r="C470" s="17" t="s">
        <v>104</v>
      </c>
      <c r="D470" s="24">
        <v>823</v>
      </c>
      <c r="E470" s="18" t="str">
        <f>HYPERLINK("#'Data'!A3490", "Households that reported being concerned about being forced to flee their home broken down by household size on the admin of overall perc")</f>
        <v>Households that reported being concerned about being forced to flee their home broken down by household size on the admin of overall perc</v>
      </c>
    </row>
    <row r="471" spans="2:5" ht="15.6" hidden="1">
      <c r="B471" s="16" t="s">
        <v>100</v>
      </c>
      <c r="C471" s="17" t="s">
        <v>104</v>
      </c>
      <c r="D471" s="24">
        <v>824</v>
      </c>
      <c r="E471" s="18" t="str">
        <f>HYPERLINK("#'Data'!A3497", "Households that reported being concerned about being forced to flee their home broken down by single/joint headed HHs on the admin of overall perc")</f>
        <v>Households that reported being concerned about being forced to flee their home broken down by single/joint headed HHs on the admin of overall perc</v>
      </c>
    </row>
    <row r="472" spans="2:5" ht="15.6" hidden="1">
      <c r="B472" s="16" t="s">
        <v>100</v>
      </c>
      <c r="C472" s="17" t="s">
        <v>105</v>
      </c>
      <c r="D472" s="24">
        <v>826</v>
      </c>
      <c r="E472" s="18" t="str">
        <f>HYPERLINK("#'Data'!A3504", "Security factors that reportedly influenced sense of safety of WOMEN in community broken down by gender of respondent on the admin of overall perc")</f>
        <v>Security factors that reportedly influenced sense of safety of WOMEN in community broken down by gender of respondent on the admin of overall perc</v>
      </c>
    </row>
    <row r="473" spans="2:5" ht="15.6" hidden="1">
      <c r="B473" s="16" t="s">
        <v>100</v>
      </c>
      <c r="C473" s="17" t="s">
        <v>105</v>
      </c>
      <c r="D473" s="24">
        <v>827</v>
      </c>
      <c r="E473" s="18" t="str">
        <f>HYPERLINK("#'Data'!A3511", "Security factors that reportedly influenced sense of safety of WOMEN in community broken down by age of respondents on the admin of overall perc")</f>
        <v>Security factors that reportedly influenced sense of safety of WOMEN in community broken down by age of respondents on the admin of overall perc</v>
      </c>
    </row>
    <row r="474" spans="2:5" ht="15.6" hidden="1">
      <c r="B474" s="16" t="s">
        <v>100</v>
      </c>
      <c r="C474" s="17" t="s">
        <v>105</v>
      </c>
      <c r="D474" s="24">
        <v>828</v>
      </c>
      <c r="E474" s="18" t="str">
        <f>HYPERLINK("#'Data'!A3519", "Security factors that reportedly influenced sense of safety of WOMEN in community broken down by rural / urban on the admin of overall perc")</f>
        <v>Security factors that reportedly influenced sense of safety of WOMEN in community broken down by rural / urban on the admin of overall perc</v>
      </c>
    </row>
    <row r="475" spans="2:5" ht="15.6" hidden="1">
      <c r="B475" s="16" t="s">
        <v>100</v>
      </c>
      <c r="C475" s="17" t="s">
        <v>105</v>
      </c>
      <c r="D475" s="24">
        <v>829</v>
      </c>
      <c r="E475" s="18" t="str">
        <f>HYPERLINK("#'Data'!A3525", "Security factors that reportedly influenced sense of safety of WOMEN in community broken down by proximity to the Frontline / Russian border on the...")</f>
        <v>Security factors that reportedly influenced sense of safety of WOMEN in community broken down by proximity to the Frontline / Russian border on the...</v>
      </c>
    </row>
    <row r="476" spans="2:5" ht="15.6" hidden="1">
      <c r="B476" s="16" t="s">
        <v>100</v>
      </c>
      <c r="C476" s="17" t="s">
        <v>105</v>
      </c>
      <c r="D476" s="24">
        <v>830</v>
      </c>
      <c r="E476" s="18" t="str">
        <f>HYPERLINK("#'Data'!A3532", "Security factors that reportedly influenced sense of safety of WOMEN in community broken down by member with WGSS disability on the admin of overal...")</f>
        <v>Security factors that reportedly influenced sense of safety of WOMEN in community broken down by member with WGSS disability on the admin of overal...</v>
      </c>
    </row>
    <row r="477" spans="2:5" ht="15.6" hidden="1">
      <c r="B477" s="16" t="s">
        <v>100</v>
      </c>
      <c r="C477" s="17" t="s">
        <v>105</v>
      </c>
      <c r="D477" s="24">
        <v>831</v>
      </c>
      <c r="E477" s="18" t="str">
        <f>HYPERLINK("#'Data'!A3538", "Security factors that reportedly influenced sense of safety of WOMEN in community broken down by displacement status of HoH on the admin of overall...")</f>
        <v>Security factors that reportedly influenced sense of safety of WOMEN in community broken down by displacement status of HoH on the admin of overall...</v>
      </c>
    </row>
    <row r="478" spans="2:5" ht="15.6" hidden="1">
      <c r="B478" s="16" t="s">
        <v>100</v>
      </c>
      <c r="C478" s="17" t="s">
        <v>105</v>
      </c>
      <c r="D478" s="24">
        <v>832</v>
      </c>
      <c r="E478" s="18" t="str">
        <f>HYPERLINK("#'Data'!A3547", "Security factors that reportedly influenced sense of safety of WOMEN in community broken down by household size on the admin of overall perc")</f>
        <v>Security factors that reportedly influenced sense of safety of WOMEN in community broken down by household size on the admin of overall perc</v>
      </c>
    </row>
    <row r="479" spans="2:5" ht="15.6" hidden="1">
      <c r="B479" s="16" t="s">
        <v>100</v>
      </c>
      <c r="C479" s="17" t="s">
        <v>105</v>
      </c>
      <c r="D479" s="24">
        <v>833</v>
      </c>
      <c r="E479" s="18" t="str">
        <f>HYPERLINK("#'Data'!A3554", "Security factors that reportedly influenced sense of safety of WOMEN in community broken down by single/joint headed HHs on the admin of overall pe...")</f>
        <v>Security factors that reportedly influenced sense of safety of WOMEN in community broken down by single/joint headed HHs on the admin of overall pe...</v>
      </c>
    </row>
    <row r="480" spans="2:5" ht="15.6" hidden="1">
      <c r="B480" s="16" t="s">
        <v>100</v>
      </c>
      <c r="C480" s="17" t="s">
        <v>106</v>
      </c>
      <c r="D480" s="24">
        <v>835</v>
      </c>
      <c r="E480" s="18" t="str">
        <f>HYPERLINK("#'Data'!A3561", "Households with women that reportedly feel unsafe walking in community broken down by gender of respondent on the admin of overall perc")</f>
        <v>Households with women that reportedly feel unsafe walking in community broken down by gender of respondent on the admin of overall perc</v>
      </c>
    </row>
    <row r="481" spans="2:5" ht="15.6" hidden="1">
      <c r="B481" s="16" t="s">
        <v>100</v>
      </c>
      <c r="C481" s="17" t="s">
        <v>106</v>
      </c>
      <c r="D481" s="24">
        <v>836</v>
      </c>
      <c r="E481" s="18" t="str">
        <f>HYPERLINK("#'Data'!A3568", "Households with women that reportedly feel unsafe walking in community broken down by age of respondents on the admin of overall perc")</f>
        <v>Households with women that reportedly feel unsafe walking in community broken down by age of respondents on the admin of overall perc</v>
      </c>
    </row>
    <row r="482" spans="2:5" ht="15.6" hidden="1">
      <c r="B482" s="16" t="s">
        <v>100</v>
      </c>
      <c r="C482" s="17" t="s">
        <v>106</v>
      </c>
      <c r="D482" s="24">
        <v>837</v>
      </c>
      <c r="E482" s="18" t="str">
        <f>HYPERLINK("#'Data'!A3576", "Households with women that reportedly feel unsafe walking in community broken down by rural / urban on the admin of overall perc")</f>
        <v>Households with women that reportedly feel unsafe walking in community broken down by rural / urban on the admin of overall perc</v>
      </c>
    </row>
    <row r="483" spans="2:5" ht="15.6" hidden="1">
      <c r="B483" s="16" t="s">
        <v>100</v>
      </c>
      <c r="C483" s="17" t="s">
        <v>106</v>
      </c>
      <c r="D483" s="24">
        <v>838</v>
      </c>
      <c r="E483" s="18" t="str">
        <f>HYPERLINK("#'Data'!A3582", "Households with women that reportedly feel unsafe walking in community broken down by proximity to the Frontline / Russian border on the admin of o...")</f>
        <v>Households with women that reportedly feel unsafe walking in community broken down by proximity to the Frontline / Russian border on the admin of o...</v>
      </c>
    </row>
    <row r="484" spans="2:5" ht="15.6" hidden="1">
      <c r="B484" s="16" t="s">
        <v>100</v>
      </c>
      <c r="C484" s="17" t="s">
        <v>106</v>
      </c>
      <c r="D484" s="24">
        <v>839</v>
      </c>
      <c r="E484" s="18" t="str">
        <f>HYPERLINK("#'Data'!A3589", "Households with women that reportedly feel unsafe walking in community broken down by member with WGSS disability on the admin of overall perc")</f>
        <v>Households with women that reportedly feel unsafe walking in community broken down by member with WGSS disability on the admin of overall perc</v>
      </c>
    </row>
    <row r="485" spans="2:5" ht="15.6" hidden="1">
      <c r="B485" s="16" t="s">
        <v>100</v>
      </c>
      <c r="C485" s="17" t="s">
        <v>106</v>
      </c>
      <c r="D485" s="24">
        <v>840</v>
      </c>
      <c r="E485" s="18" t="str">
        <f>HYPERLINK("#'Data'!A3595", "Households with women that reportedly feel unsafe walking in community broken down by displacement status of HoH on the admin of overall perc")</f>
        <v>Households with women that reportedly feel unsafe walking in community broken down by displacement status of HoH on the admin of overall perc</v>
      </c>
    </row>
    <row r="486" spans="2:5" ht="15.6" hidden="1">
      <c r="B486" s="16" t="s">
        <v>100</v>
      </c>
      <c r="C486" s="17" t="s">
        <v>106</v>
      </c>
      <c r="D486" s="24">
        <v>841</v>
      </c>
      <c r="E486" s="18" t="str">
        <f>HYPERLINK("#'Data'!A3604", "Households with women that reportedly feel unsafe walking in community broken down by household size on the admin of overall perc")</f>
        <v>Households with women that reportedly feel unsafe walking in community broken down by household size on the admin of overall perc</v>
      </c>
    </row>
    <row r="487" spans="2:5" ht="15.6" hidden="1">
      <c r="B487" s="16" t="s">
        <v>100</v>
      </c>
      <c r="C487" s="17" t="s">
        <v>106</v>
      </c>
      <c r="D487" s="24">
        <v>842</v>
      </c>
      <c r="E487" s="18" t="str">
        <f>HYPERLINK("#'Data'!A3611", "Households with women that reportedly feel unsafe walking in community broken down by single/joint headed HHs on the admin of overall perc")</f>
        <v>Households with women that reportedly feel unsafe walking in community broken down by single/joint headed HHs on the admin of overall perc</v>
      </c>
    </row>
    <row r="488" spans="2:5" ht="15.6" hidden="1">
      <c r="B488" s="16" t="s">
        <v>100</v>
      </c>
      <c r="C488" s="17" t="s">
        <v>107</v>
      </c>
      <c r="D488" s="24">
        <v>844</v>
      </c>
      <c r="E488" s="18" t="str">
        <f>HYPERLINK("#'Data'!A3618", "Places women reportedly avoid because of security concerns broken down by gender of respondent on the admin of overall perc")</f>
        <v>Places women reportedly avoid because of security concerns broken down by gender of respondent on the admin of overall perc</v>
      </c>
    </row>
    <row r="489" spans="2:5" ht="15.6" hidden="1">
      <c r="B489" s="16" t="s">
        <v>100</v>
      </c>
      <c r="C489" s="17" t="s">
        <v>107</v>
      </c>
      <c r="D489" s="24">
        <v>845</v>
      </c>
      <c r="E489" s="18" t="str">
        <f>HYPERLINK("#'Data'!A3625", "Places women reportedly avoid because of security concerns broken down by age of respondents on the admin of overall perc")</f>
        <v>Places women reportedly avoid because of security concerns broken down by age of respondents on the admin of overall perc</v>
      </c>
    </row>
    <row r="490" spans="2:5" ht="15.6" hidden="1">
      <c r="B490" s="16" t="s">
        <v>100</v>
      </c>
      <c r="C490" s="17" t="s">
        <v>107</v>
      </c>
      <c r="D490" s="24">
        <v>846</v>
      </c>
      <c r="E490" s="18" t="str">
        <f>HYPERLINK("#'Data'!A3633", "Places women reportedly avoid because of security concerns broken down by rural / urban on the admin of overall perc")</f>
        <v>Places women reportedly avoid because of security concerns broken down by rural / urban on the admin of overall perc</v>
      </c>
    </row>
    <row r="491" spans="2:5" ht="15.6" hidden="1">
      <c r="B491" s="16" t="s">
        <v>100</v>
      </c>
      <c r="C491" s="17" t="s">
        <v>107</v>
      </c>
      <c r="D491" s="24">
        <v>847</v>
      </c>
      <c r="E491" s="18" t="str">
        <f>HYPERLINK("#'Data'!A3639", "Places women reportedly avoid because of security concerns broken down by proximity to the Frontline / Russian border on the admin of overall perc")</f>
        <v>Places women reportedly avoid because of security concerns broken down by proximity to the Frontline / Russian border on the admin of overall perc</v>
      </c>
    </row>
    <row r="492" spans="2:5" ht="15.6" hidden="1">
      <c r="B492" s="16" t="s">
        <v>100</v>
      </c>
      <c r="C492" s="17" t="s">
        <v>107</v>
      </c>
      <c r="D492" s="24">
        <v>848</v>
      </c>
      <c r="E492" s="18" t="str">
        <f>HYPERLINK("#'Data'!A3646", "Places women reportedly avoid because of security concerns broken down by member with WGSS disability on the admin of overall perc")</f>
        <v>Places women reportedly avoid because of security concerns broken down by member with WGSS disability on the admin of overall perc</v>
      </c>
    </row>
    <row r="493" spans="2:5" ht="15.6" hidden="1">
      <c r="B493" s="16" t="s">
        <v>100</v>
      </c>
      <c r="C493" s="17" t="s">
        <v>107</v>
      </c>
      <c r="D493" s="24">
        <v>849</v>
      </c>
      <c r="E493" s="18" t="str">
        <f>HYPERLINK("#'Data'!A3652", "Places women reportedly avoid because of security concerns broken down by displacement status of HoH on the admin of overall perc")</f>
        <v>Places women reportedly avoid because of security concerns broken down by displacement status of HoH on the admin of overall perc</v>
      </c>
    </row>
    <row r="494" spans="2:5" ht="15.6" hidden="1">
      <c r="B494" s="16" t="s">
        <v>100</v>
      </c>
      <c r="C494" s="17" t="s">
        <v>107</v>
      </c>
      <c r="D494" s="24">
        <v>850</v>
      </c>
      <c r="E494" s="18" t="str">
        <f>HYPERLINK("#'Data'!A3661", "Places women reportedly avoid because of security concerns broken down by household size on the admin of overall perc")</f>
        <v>Places women reportedly avoid because of security concerns broken down by household size on the admin of overall perc</v>
      </c>
    </row>
    <row r="495" spans="2:5" ht="15.6" hidden="1">
      <c r="B495" s="16" t="s">
        <v>100</v>
      </c>
      <c r="C495" s="17" t="s">
        <v>107</v>
      </c>
      <c r="D495" s="24">
        <v>851</v>
      </c>
      <c r="E495" s="18" t="str">
        <f>HYPERLINK("#'Data'!A3668", "Places women reportedly avoid because of security concerns broken down by single/joint headed HHs on the admin of overall perc")</f>
        <v>Places women reportedly avoid because of security concerns broken down by single/joint headed HHs on the admin of overall perc</v>
      </c>
    </row>
    <row r="496" spans="2:5" ht="15.6" hidden="1">
      <c r="B496" s="16" t="s">
        <v>100</v>
      </c>
      <c r="C496" s="17" t="s">
        <v>108</v>
      </c>
      <c r="D496" s="24">
        <v>853</v>
      </c>
      <c r="E496" s="18" t="str">
        <f>HYPERLINK("#'Data'!A3675", "Security factors that reportedly influenced sense of safety of MEN in community broken down by gender of respondent on the admin of overall perc")</f>
        <v>Security factors that reportedly influenced sense of safety of MEN in community broken down by gender of respondent on the admin of overall perc</v>
      </c>
    </row>
    <row r="497" spans="2:5" ht="15.6" hidden="1">
      <c r="B497" s="16" t="s">
        <v>100</v>
      </c>
      <c r="C497" s="17" t="s">
        <v>108</v>
      </c>
      <c r="D497" s="24">
        <v>854</v>
      </c>
      <c r="E497" s="18" t="str">
        <f>HYPERLINK("#'Data'!A3682", "Security factors that reportedly influenced sense of safety of MEN in community broken down by age of respondents on the admin of overall perc")</f>
        <v>Security factors that reportedly influenced sense of safety of MEN in community broken down by age of respondents on the admin of overall perc</v>
      </c>
    </row>
    <row r="498" spans="2:5" ht="15.6" hidden="1">
      <c r="B498" s="16" t="s">
        <v>100</v>
      </c>
      <c r="C498" s="17" t="s">
        <v>108</v>
      </c>
      <c r="D498" s="24">
        <v>855</v>
      </c>
      <c r="E498" s="18" t="str">
        <f>HYPERLINK("#'Data'!A3690", "Security factors that reportedly influenced sense of safety of MEN in community broken down by rural / urban on the admin of overall perc")</f>
        <v>Security factors that reportedly influenced sense of safety of MEN in community broken down by rural / urban on the admin of overall perc</v>
      </c>
    </row>
    <row r="499" spans="2:5" ht="15.6" hidden="1">
      <c r="B499" s="16" t="s">
        <v>100</v>
      </c>
      <c r="C499" s="17" t="s">
        <v>108</v>
      </c>
      <c r="D499" s="24">
        <v>856</v>
      </c>
      <c r="E499" s="18" t="str">
        <f>HYPERLINK("#'Data'!A3696", "Security factors that reportedly influenced sense of safety of MEN in community broken down by proximity to the Frontline / Russian border on the a...")</f>
        <v>Security factors that reportedly influenced sense of safety of MEN in community broken down by proximity to the Frontline / Russian border on the a...</v>
      </c>
    </row>
    <row r="500" spans="2:5" ht="15.6" hidden="1">
      <c r="B500" s="16" t="s">
        <v>100</v>
      </c>
      <c r="C500" s="17" t="s">
        <v>108</v>
      </c>
      <c r="D500" s="24">
        <v>857</v>
      </c>
      <c r="E500" s="18" t="str">
        <f>HYPERLINK("#'Data'!A3703", "Security factors that reportedly influenced sense of safety of MEN in community broken down by member with WGSS disability on the admin of overall ...")</f>
        <v>Security factors that reportedly influenced sense of safety of MEN in community broken down by member with WGSS disability on the admin of overall ...</v>
      </c>
    </row>
    <row r="501" spans="2:5" ht="15.6" hidden="1">
      <c r="B501" s="16" t="s">
        <v>100</v>
      </c>
      <c r="C501" s="17" t="s">
        <v>108</v>
      </c>
      <c r="D501" s="24">
        <v>858</v>
      </c>
      <c r="E501" s="18" t="str">
        <f>HYPERLINK("#'Data'!A3709", "Security factors that reportedly influenced sense of safety of MEN in community broken down by displacement status of HoH on the admin of overall p...")</f>
        <v>Security factors that reportedly influenced sense of safety of MEN in community broken down by displacement status of HoH on the admin of overall p...</v>
      </c>
    </row>
    <row r="502" spans="2:5" ht="15.6" hidden="1">
      <c r="B502" s="16" t="s">
        <v>100</v>
      </c>
      <c r="C502" s="17" t="s">
        <v>108</v>
      </c>
      <c r="D502" s="24">
        <v>859</v>
      </c>
      <c r="E502" s="18" t="str">
        <f>HYPERLINK("#'Data'!A3718", "Security factors that reportedly influenced sense of safety of MEN in community broken down by household size on the admin of overall perc")</f>
        <v>Security factors that reportedly influenced sense of safety of MEN in community broken down by household size on the admin of overall perc</v>
      </c>
    </row>
    <row r="503" spans="2:5" ht="15.6" hidden="1">
      <c r="B503" s="16" t="s">
        <v>100</v>
      </c>
      <c r="C503" s="17" t="s">
        <v>108</v>
      </c>
      <c r="D503" s="24">
        <v>860</v>
      </c>
      <c r="E503" s="18" t="str">
        <f>HYPERLINK("#'Data'!A3725", "Security factors that reportedly influenced sense of safety of MEN in community broken down by single/joint headed HHs on the admin of overall perc")</f>
        <v>Security factors that reportedly influenced sense of safety of MEN in community broken down by single/joint headed HHs on the admin of overall perc</v>
      </c>
    </row>
    <row r="504" spans="2:5" ht="15.6" hidden="1">
      <c r="B504" s="16" t="s">
        <v>100</v>
      </c>
      <c r="C504" s="17" t="s">
        <v>109</v>
      </c>
      <c r="D504" s="24">
        <v>862</v>
      </c>
      <c r="E504" s="18" t="str">
        <f>HYPERLINK("#'Data'!A3732", "Security factors that reportedly influenced sense of safety of CHILDREN in community broken down by gender of respondent on the admin of overall pe...")</f>
        <v>Security factors that reportedly influenced sense of safety of CHILDREN in community broken down by gender of respondent on the admin of overall pe...</v>
      </c>
    </row>
    <row r="505" spans="2:5" ht="15.6" hidden="1">
      <c r="B505" s="16" t="s">
        <v>100</v>
      </c>
      <c r="C505" s="17" t="s">
        <v>109</v>
      </c>
      <c r="D505" s="24">
        <v>863</v>
      </c>
      <c r="E505" s="18" t="str">
        <f>HYPERLINK("#'Data'!A3739", "Security factors that reportedly influenced sense of safety of CHILDREN in community broken down by presence of children on the admin of overall pe...")</f>
        <v>Security factors that reportedly influenced sense of safety of CHILDREN in community broken down by presence of children on the admin of overall pe...</v>
      </c>
    </row>
    <row r="506" spans="2:5" ht="15.6" hidden="1">
      <c r="B506" s="16" t="s">
        <v>100</v>
      </c>
      <c r="C506" s="17" t="s">
        <v>109</v>
      </c>
      <c r="D506" s="24">
        <v>864</v>
      </c>
      <c r="E506" s="18" t="str">
        <f>HYPERLINK("#'Data'!A3745", "Security factors that reportedly influenced sense of safety of CHILDREN in community broken down by age of respondents on the admin of overall perc")</f>
        <v>Security factors that reportedly influenced sense of safety of CHILDREN in community broken down by age of respondents on the admin of overall perc</v>
      </c>
    </row>
    <row r="507" spans="2:5" ht="15.6" hidden="1">
      <c r="B507" s="16" t="s">
        <v>100</v>
      </c>
      <c r="C507" s="17" t="s">
        <v>109</v>
      </c>
      <c r="D507" s="24">
        <v>865</v>
      </c>
      <c r="E507" s="18" t="str">
        <f>HYPERLINK("#'Data'!A3753", "Security factors that reportedly influenced sense of safety of CHILDREN in community broken down by rural / urban on the admin of overall perc")</f>
        <v>Security factors that reportedly influenced sense of safety of CHILDREN in community broken down by rural / urban on the admin of overall perc</v>
      </c>
    </row>
    <row r="508" spans="2:5" ht="15.6" hidden="1">
      <c r="B508" s="16" t="s">
        <v>100</v>
      </c>
      <c r="C508" s="17" t="s">
        <v>109</v>
      </c>
      <c r="D508" s="24">
        <v>866</v>
      </c>
      <c r="E508" s="18" t="str">
        <f>HYPERLINK("#'Data'!A3759", "Security factors that reportedly influenced sense of safety of CHILDREN in community broken down by proximity to the Frontline / Russian border on ...")</f>
        <v>Security factors that reportedly influenced sense of safety of CHILDREN in community broken down by proximity to the Frontline / Russian border on ...</v>
      </c>
    </row>
    <row r="509" spans="2:5" ht="15.6" hidden="1">
      <c r="B509" s="16" t="s">
        <v>100</v>
      </c>
      <c r="C509" s="17" t="s">
        <v>109</v>
      </c>
      <c r="D509" s="24">
        <v>867</v>
      </c>
      <c r="E509" s="18" t="str">
        <f>HYPERLINK("#'Data'!A3766", "Security factors that reportedly influenced sense of safety of CHILDREN in community broken down by member with WGSS disability on the admin of ove...")</f>
        <v>Security factors that reportedly influenced sense of safety of CHILDREN in community broken down by member with WGSS disability on the admin of ove...</v>
      </c>
    </row>
    <row r="510" spans="2:5" ht="15.6" hidden="1">
      <c r="B510" s="16" t="s">
        <v>100</v>
      </c>
      <c r="C510" s="17" t="s">
        <v>109</v>
      </c>
      <c r="D510" s="24">
        <v>868</v>
      </c>
      <c r="E510" s="18" t="str">
        <f>HYPERLINK("#'Data'!A3772", "Security factors that reportedly influenced sense of safety of CHILDREN in community broken down by displacement status of HoH on the admin of over...")</f>
        <v>Security factors that reportedly influenced sense of safety of CHILDREN in community broken down by displacement status of HoH on the admin of over...</v>
      </c>
    </row>
    <row r="511" spans="2:5" ht="15.6" hidden="1">
      <c r="B511" s="16" t="s">
        <v>100</v>
      </c>
      <c r="C511" s="17" t="s">
        <v>109</v>
      </c>
      <c r="D511" s="24">
        <v>869</v>
      </c>
      <c r="E511" s="18" t="str">
        <f>HYPERLINK("#'Data'!A3781", "Security factors that reportedly influenced sense of safety of CHILDREN in community broken down by household size on the admin of overall perc")</f>
        <v>Security factors that reportedly influenced sense of safety of CHILDREN in community broken down by household size on the admin of overall perc</v>
      </c>
    </row>
    <row r="512" spans="2:5" ht="15.6" hidden="1">
      <c r="B512" s="16" t="s">
        <v>100</v>
      </c>
      <c r="C512" s="17" t="s">
        <v>109</v>
      </c>
      <c r="D512" s="24">
        <v>870</v>
      </c>
      <c r="E512" s="18" t="str">
        <f>HYPERLINK("#'Data'!A3788", "Security factors that reportedly influenced sense of safety of CHILDREN in community broken down by single/joint headed HHs on the admin of overall...")</f>
        <v>Security factors that reportedly influenced sense of safety of CHILDREN in community broken down by single/joint headed HHs on the admin of overall...</v>
      </c>
    </row>
    <row r="513" spans="2:5" ht="15.6" hidden="1">
      <c r="B513" s="16" t="s">
        <v>100</v>
      </c>
      <c r="C513" s="17" t="s">
        <v>110</v>
      </c>
      <c r="D513" s="24">
        <v>872</v>
      </c>
      <c r="E513" s="18" t="str">
        <f>HYPERLINK("#'Data'!A3795", "Housing/land/property (HLP) concerns households reported experiencing broken down by rural / urban on the admin of overall perc")</f>
        <v>Housing/land/property (HLP) concerns households reported experiencing broken down by rural / urban on the admin of overall perc</v>
      </c>
    </row>
    <row r="514" spans="2:5" ht="15.6" hidden="1">
      <c r="B514" s="16" t="s">
        <v>100</v>
      </c>
      <c r="C514" s="17" t="s">
        <v>110</v>
      </c>
      <c r="D514" s="24">
        <v>873</v>
      </c>
      <c r="E514" s="18" t="str">
        <f>HYPERLINK("#'Data'!A3801", "Housing/land/property (HLP) concerns households reported experiencing broken down by proximity to the Frontline / Russian border on the admin of ov...")</f>
        <v>Housing/land/property (HLP) concerns households reported experiencing broken down by proximity to the Frontline / Russian border on the admin of ov...</v>
      </c>
    </row>
    <row r="515" spans="2:5" ht="15.6" hidden="1">
      <c r="B515" s="16" t="s">
        <v>100</v>
      </c>
      <c r="C515" s="17" t="s">
        <v>110</v>
      </c>
      <c r="D515" s="24">
        <v>874</v>
      </c>
      <c r="E515" s="18" t="str">
        <f>HYPERLINK("#'Data'!A3808", "Housing/land/property (HLP) concerns households reported experiencing broken down by member with WGSS disability on the admin of overall perc")</f>
        <v>Housing/land/property (HLP) concerns households reported experiencing broken down by member with WGSS disability on the admin of overall perc</v>
      </c>
    </row>
    <row r="516" spans="2:5" ht="15.6" hidden="1">
      <c r="B516" s="16" t="s">
        <v>100</v>
      </c>
      <c r="C516" s="17" t="s">
        <v>110</v>
      </c>
      <c r="D516" s="24">
        <v>875</v>
      </c>
      <c r="E516" s="18" t="str">
        <f>HYPERLINK("#'Data'!A3814", "Housing/land/property (HLP) concerns households reported experiencing broken down by displacement status of HoH on the admin of overall perc")</f>
        <v>Housing/land/property (HLP) concerns households reported experiencing broken down by displacement status of HoH on the admin of overall perc</v>
      </c>
    </row>
    <row r="517" spans="2:5" ht="15.6" hidden="1">
      <c r="B517" s="16" t="s">
        <v>100</v>
      </c>
      <c r="C517" s="17" t="s">
        <v>110</v>
      </c>
      <c r="D517" s="24">
        <v>876</v>
      </c>
      <c r="E517" s="18" t="str">
        <f>HYPERLINK("#'Data'!A3823", "Housing/land/property (HLP) concerns households reported experiencing broken down by household size on the admin of overall perc")</f>
        <v>Housing/land/property (HLP) concerns households reported experiencing broken down by household size on the admin of overall perc</v>
      </c>
    </row>
    <row r="518" spans="2:5" ht="15.6" hidden="1">
      <c r="B518" s="16" t="s">
        <v>100</v>
      </c>
      <c r="C518" s="17" t="s">
        <v>110</v>
      </c>
      <c r="D518" s="24">
        <v>877</v>
      </c>
      <c r="E518" s="18" t="str">
        <f>HYPERLINK("#'Data'!A3830", "Housing/land/property (HLP) concerns households reported experiencing broken down by single/joint headed HHs on the admin of overall perc")</f>
        <v>Housing/land/property (HLP) concerns households reported experiencing broken down by single/joint headed HHs on the admin of overall perc</v>
      </c>
    </row>
    <row r="519" spans="2:5" ht="15.6" hidden="1">
      <c r="B519" s="16" t="s">
        <v>111</v>
      </c>
      <c r="C519" s="17" t="s">
        <v>112</v>
      </c>
      <c r="D519" s="24">
        <v>879</v>
      </c>
      <c r="E519" s="18" t="str">
        <f>HYPERLINK("#'Data'!A3837", "Number of times Household members reportedly were trained on safe behaviours towards Explosive Ordnances  broken down by rural / urban on the admin...")</f>
        <v>Number of times Household members reportedly were trained on safe behaviours towards Explosive Ordnances  broken down by rural / urban on the admin...</v>
      </c>
    </row>
    <row r="520" spans="2:5" ht="15.6" hidden="1">
      <c r="B520" s="16" t="s">
        <v>111</v>
      </c>
      <c r="C520" s="17" t="s">
        <v>112</v>
      </c>
      <c r="D520" s="24">
        <v>880</v>
      </c>
      <c r="E520" s="18" t="str">
        <f>HYPERLINK("#'Data'!A3843", "Number of times Household members reportedly were trained on safe behaviours towards Explosive Ordnances  broken down by proximity to the Frontline...")</f>
        <v>Number of times Household members reportedly were trained on safe behaviours towards Explosive Ordnances  broken down by proximity to the Frontline...</v>
      </c>
    </row>
    <row r="521" spans="2:5" ht="15.6" hidden="1">
      <c r="B521" s="16" t="s">
        <v>111</v>
      </c>
      <c r="C521" s="17" t="s">
        <v>112</v>
      </c>
      <c r="D521" s="24">
        <v>881</v>
      </c>
      <c r="E521" s="18" t="str">
        <f>HYPERLINK("#'Data'!A3850", "Number of times Household members reportedly were trained on safe behaviours towards Explosive Ordnances  broken down by member with WGSS disabilit...")</f>
        <v>Number of times Household members reportedly were trained on safe behaviours towards Explosive Ordnances  broken down by member with WGSS disabilit...</v>
      </c>
    </row>
    <row r="522" spans="2:5" ht="15.6" hidden="1">
      <c r="B522" s="16" t="s">
        <v>111</v>
      </c>
      <c r="C522" s="17" t="s">
        <v>112</v>
      </c>
      <c r="D522" s="24">
        <v>882</v>
      </c>
      <c r="E522" s="18" t="str">
        <f>HYPERLINK("#'Data'!A3856", "Number of times Household members reportedly were trained on safe behaviours towards Explosive Ordnances  broken down by displacement status of HoH...")</f>
        <v>Number of times Household members reportedly were trained on safe behaviours towards Explosive Ordnances  broken down by displacement status of HoH...</v>
      </c>
    </row>
    <row r="523" spans="2:5" ht="15.6" hidden="1">
      <c r="B523" s="16" t="s">
        <v>111</v>
      </c>
      <c r="C523" s="17" t="s">
        <v>112</v>
      </c>
      <c r="D523" s="24">
        <v>883</v>
      </c>
      <c r="E523" s="18" t="str">
        <f>HYPERLINK("#'Data'!A3865", "Number of times Household members reportedly were trained on safe behaviours towards Explosive Ordnances  broken down by household size on the admi...")</f>
        <v>Number of times Household members reportedly were trained on safe behaviours towards Explosive Ordnances  broken down by household size on the admi...</v>
      </c>
    </row>
    <row r="524" spans="2:5" ht="15.6" hidden="1">
      <c r="B524" s="16" t="s">
        <v>111</v>
      </c>
      <c r="C524" s="17" t="s">
        <v>112</v>
      </c>
      <c r="D524" s="24">
        <v>884</v>
      </c>
      <c r="E524" s="18" t="str">
        <f>HYPERLINK("#'Data'!A3872", "Number of times Household members reportedly were trained on safe behaviours towards Explosive Ordnances  broken down by single/joint headed HHs on...")</f>
        <v>Number of times Household members reportedly were trained on safe behaviours towards Explosive Ordnances  broken down by single/joint headed HHs on...</v>
      </c>
    </row>
    <row r="525" spans="2:5" ht="15.6" hidden="1">
      <c r="B525" s="16" t="s">
        <v>111</v>
      </c>
      <c r="C525" s="17" t="s">
        <v>113</v>
      </c>
      <c r="D525" s="24">
        <v>886</v>
      </c>
      <c r="E525" s="18" t="str">
        <f>HYPERLINK("#'Data'!A3879", "Households Reporting Explosive Ordnance Currently Present in their Community broken down by rural / urban on the admin of overall perc")</f>
        <v>Households Reporting Explosive Ordnance Currently Present in their Community broken down by rural / urban on the admin of overall perc</v>
      </c>
    </row>
    <row r="526" spans="2:5" ht="15.6" hidden="1">
      <c r="B526" s="16" t="s">
        <v>111</v>
      </c>
      <c r="C526" s="17" t="s">
        <v>113</v>
      </c>
      <c r="D526" s="24">
        <v>887</v>
      </c>
      <c r="E526" s="18" t="str">
        <f>HYPERLINK("#'Data'!A3885", "Households Reporting Explosive Ordnance Currently Present in their Community broken down by proximity to the Frontline / Russian border on the admi...")</f>
        <v>Households Reporting Explosive Ordnance Currently Present in their Community broken down by proximity to the Frontline / Russian border on the admi...</v>
      </c>
    </row>
    <row r="527" spans="2:5" ht="15.6" hidden="1">
      <c r="B527" s="16" t="s">
        <v>111</v>
      </c>
      <c r="C527" s="17" t="s">
        <v>113</v>
      </c>
      <c r="D527" s="24">
        <v>888</v>
      </c>
      <c r="E527" s="18" t="str">
        <f>HYPERLINK("#'Data'!A3892", "Households Reporting Explosive Ordnance Currently Present in their Community broken down by member with WGSS disability on the admin of overall per...")</f>
        <v>Households Reporting Explosive Ordnance Currently Present in their Community broken down by member with WGSS disability on the admin of overall per...</v>
      </c>
    </row>
    <row r="528" spans="2:5" ht="15.6" hidden="1">
      <c r="B528" s="16" t="s">
        <v>111</v>
      </c>
      <c r="C528" s="17" t="s">
        <v>113</v>
      </c>
      <c r="D528" s="24">
        <v>889</v>
      </c>
      <c r="E528" s="18" t="str">
        <f>HYPERLINK("#'Data'!A3898", "Households Reporting Explosive Ordnance Currently Present in their Community broken down by displacement status of HoH on the admin of overall perc")</f>
        <v>Households Reporting Explosive Ordnance Currently Present in their Community broken down by displacement status of HoH on the admin of overall perc</v>
      </c>
    </row>
    <row r="529" spans="2:5" ht="15.6" hidden="1">
      <c r="B529" s="16" t="s">
        <v>111</v>
      </c>
      <c r="C529" s="17" t="s">
        <v>113</v>
      </c>
      <c r="D529" s="24">
        <v>890</v>
      </c>
      <c r="E529" s="18" t="str">
        <f>HYPERLINK("#'Data'!A3907", "Households Reporting Explosive Ordnance Currently Present in their Community broken down by household size on the admin of overall perc")</f>
        <v>Households Reporting Explosive Ordnance Currently Present in their Community broken down by household size on the admin of overall perc</v>
      </c>
    </row>
    <row r="530" spans="2:5" ht="15.6" hidden="1">
      <c r="B530" s="16" t="s">
        <v>111</v>
      </c>
      <c r="C530" s="17" t="s">
        <v>113</v>
      </c>
      <c r="D530" s="24">
        <v>891</v>
      </c>
      <c r="E530" s="18" t="str">
        <f>HYPERLINK("#'Data'!A3914", "Households Reporting Explosive Ordnance Currently Present in their Community broken down by single/joint headed HHs on the admin of overall perc")</f>
        <v>Households Reporting Explosive Ordnance Currently Present in their Community broken down by single/joint headed HHs on the admin of overall perc</v>
      </c>
    </row>
    <row r="531" spans="2:5" ht="15.6" hidden="1">
      <c r="B531" s="16" t="s">
        <v>111</v>
      </c>
      <c r="C531" s="17" t="s">
        <v>114</v>
      </c>
      <c r="D531" s="24">
        <v>893</v>
      </c>
      <c r="E531" s="18" t="str">
        <f>HYPERLINK("#'Data'!A3921", "Households Reporting that Explosive Ordnance Affect the Livelihoods of People within their Community broken down by rural / urban on the admin of o...")</f>
        <v>Households Reporting that Explosive Ordnance Affect the Livelihoods of People within their Community broken down by rural / urban on the admin of o...</v>
      </c>
    </row>
    <row r="532" spans="2:5" ht="15.6" hidden="1">
      <c r="B532" s="16" t="s">
        <v>111</v>
      </c>
      <c r="C532" s="17" t="s">
        <v>114</v>
      </c>
      <c r="D532" s="24">
        <v>894</v>
      </c>
      <c r="E532" s="18" t="str">
        <f>HYPERLINK("#'Data'!A3927", "Households Reporting that Explosive Ordnance Affect the Livelihoods of People within their Community broken down by proximity to the Frontline / Ru...")</f>
        <v>Households Reporting that Explosive Ordnance Affect the Livelihoods of People within their Community broken down by proximity to the Frontline / Ru...</v>
      </c>
    </row>
    <row r="533" spans="2:5" ht="15.6" hidden="1">
      <c r="B533" s="16" t="s">
        <v>111</v>
      </c>
      <c r="C533" s="17" t="s">
        <v>114</v>
      </c>
      <c r="D533" s="24">
        <v>895</v>
      </c>
      <c r="E533" s="18" t="str">
        <f>HYPERLINK("#'Data'!A3934", "Households Reporting that Explosive Ordnance Affect the Livelihoods of People within their Community broken down by member with WGSS disability on ...")</f>
        <v>Households Reporting that Explosive Ordnance Affect the Livelihoods of People within their Community broken down by member with WGSS disability on ...</v>
      </c>
    </row>
    <row r="534" spans="2:5" ht="15.6" hidden="1">
      <c r="B534" s="16" t="s">
        <v>111</v>
      </c>
      <c r="C534" s="17" t="s">
        <v>114</v>
      </c>
      <c r="D534" s="24">
        <v>896</v>
      </c>
      <c r="E534" s="18" t="str">
        <f>HYPERLINK("#'Data'!A3940", "Households Reporting that Explosive Ordnance Affect the Livelihoods of People within their Community broken down by displacement status of HoH on t...")</f>
        <v>Households Reporting that Explosive Ordnance Affect the Livelihoods of People within their Community broken down by displacement status of HoH on t...</v>
      </c>
    </row>
    <row r="535" spans="2:5" ht="15.6" hidden="1">
      <c r="B535" s="16" t="s">
        <v>111</v>
      </c>
      <c r="C535" s="17" t="s">
        <v>114</v>
      </c>
      <c r="D535" s="24">
        <v>897</v>
      </c>
      <c r="E535" s="18" t="str">
        <f>HYPERLINK("#'Data'!A3949", "Households Reporting that Explosive Ordnance Affect the Livelihoods of People within their Community broken down by household size on the admin of ...")</f>
        <v>Households Reporting that Explosive Ordnance Affect the Livelihoods of People within their Community broken down by household size on the admin of ...</v>
      </c>
    </row>
    <row r="536" spans="2:5" ht="15.6" hidden="1">
      <c r="B536" s="16" t="s">
        <v>111</v>
      </c>
      <c r="C536" s="17" t="s">
        <v>114</v>
      </c>
      <c r="D536" s="24">
        <v>898</v>
      </c>
      <c r="E536" s="18" t="str">
        <f>HYPERLINK("#'Data'!A3956", "Households Reporting that Explosive Ordnance Affect the Livelihoods of People within their Community broken down by single/joint headed HHs on the ...")</f>
        <v>Households Reporting that Explosive Ordnance Affect the Livelihoods of People within their Community broken down by single/joint headed HHs on the ...</v>
      </c>
    </row>
    <row r="537" spans="2:5" ht="15.6" hidden="1">
      <c r="B537" s="16" t="s">
        <v>88</v>
      </c>
      <c r="C537" s="17" t="s">
        <v>115</v>
      </c>
      <c r="D537" s="24">
        <v>900</v>
      </c>
      <c r="E537" s="18" t="str">
        <f>HYPERLINK("#'Data'!A3963", "Households describing their shelter situation broken down by rural / urban on the admin of overall perc")</f>
        <v>Households describing their shelter situation broken down by rural / urban on the admin of overall perc</v>
      </c>
    </row>
    <row r="538" spans="2:5" ht="15.6" hidden="1">
      <c r="B538" s="16" t="s">
        <v>88</v>
      </c>
      <c r="C538" s="17" t="s">
        <v>115</v>
      </c>
      <c r="D538" s="24">
        <v>901</v>
      </c>
      <c r="E538" s="18" t="str">
        <f>HYPERLINK("#'Data'!A3969", "Households describing their shelter situation broken down by proximity to the Frontline / Russian border on the admin of overall perc")</f>
        <v>Households describing their shelter situation broken down by proximity to the Frontline / Russian border on the admin of overall perc</v>
      </c>
    </row>
    <row r="539" spans="2:5" ht="15.6" hidden="1">
      <c r="B539" s="16" t="s">
        <v>88</v>
      </c>
      <c r="C539" s="17" t="s">
        <v>115</v>
      </c>
      <c r="D539" s="24">
        <v>902</v>
      </c>
      <c r="E539" s="18" t="str">
        <f>HYPERLINK("#'Data'!A3976", "Households describing their shelter situation broken down by member with WGSS disability on the admin of overall perc")</f>
        <v>Households describing their shelter situation broken down by member with WGSS disability on the admin of overall perc</v>
      </c>
    </row>
    <row r="540" spans="2:5" ht="15.6" hidden="1">
      <c r="B540" s="16" t="s">
        <v>88</v>
      </c>
      <c r="C540" s="17" t="s">
        <v>115</v>
      </c>
      <c r="D540" s="24">
        <v>903</v>
      </c>
      <c r="E540" s="18" t="str">
        <f>HYPERLINK("#'Data'!A3982", "Households describing their shelter situation broken down by displacement status of HoH on the admin of overall perc")</f>
        <v>Households describing their shelter situation broken down by displacement status of HoH on the admin of overall perc</v>
      </c>
    </row>
    <row r="541" spans="2:5" ht="15.6" hidden="1">
      <c r="B541" s="16" t="s">
        <v>88</v>
      </c>
      <c r="C541" s="17" t="s">
        <v>115</v>
      </c>
      <c r="D541" s="24">
        <v>904</v>
      </c>
      <c r="E541" s="18" t="str">
        <f>HYPERLINK("#'Data'!A3991", "Households describing their shelter situation broken down by household size on the admin of overall perc")</f>
        <v>Households describing their shelter situation broken down by household size on the admin of overall perc</v>
      </c>
    </row>
    <row r="542" spans="2:5" ht="15.6" hidden="1">
      <c r="B542" s="16" t="s">
        <v>88</v>
      </c>
      <c r="C542" s="17" t="s">
        <v>115</v>
      </c>
      <c r="D542" s="24">
        <v>905</v>
      </c>
      <c r="E542" s="18" t="str">
        <f>HYPERLINK("#'Data'!A3998", "Households describing their shelter situation broken down by single/joint headed HHs on the admin of overall perc")</f>
        <v>Households describing their shelter situation broken down by single/joint headed HHs on the admin of overall perc</v>
      </c>
    </row>
    <row r="543" spans="2:5" ht="15.6" hidden="1">
      <c r="B543" s="16" t="s">
        <v>88</v>
      </c>
      <c r="C543" s="17" t="s">
        <v>116</v>
      </c>
      <c r="D543" s="24">
        <v>907</v>
      </c>
      <c r="E543" s="18" t="str">
        <f>HYPERLINK("#'Data'!A4005", "Households reporting type of shelter they live in broken down by rural / urban on the admin of overall perc")</f>
        <v>Households reporting type of shelter they live in broken down by rural / urban on the admin of overall perc</v>
      </c>
    </row>
    <row r="544" spans="2:5" ht="15.6" hidden="1">
      <c r="B544" s="16" t="s">
        <v>88</v>
      </c>
      <c r="C544" s="17" t="s">
        <v>116</v>
      </c>
      <c r="D544" s="24">
        <v>908</v>
      </c>
      <c r="E544" s="18" t="str">
        <f>HYPERLINK("#'Data'!A4011", "Households reporting type of shelter they live in broken down by proximity to the Frontline / Russian border on the admin of overall perc")</f>
        <v>Households reporting type of shelter they live in broken down by proximity to the Frontline / Russian border on the admin of overall perc</v>
      </c>
    </row>
    <row r="545" spans="2:5" ht="15.6" hidden="1">
      <c r="B545" s="16" t="s">
        <v>88</v>
      </c>
      <c r="C545" s="17" t="s">
        <v>116</v>
      </c>
      <c r="D545" s="24">
        <v>909</v>
      </c>
      <c r="E545" s="18" t="str">
        <f>HYPERLINK("#'Data'!A4018", "Households reporting type of shelter they live in broken down by member with WGSS disability on the admin of overall perc")</f>
        <v>Households reporting type of shelter they live in broken down by member with WGSS disability on the admin of overall perc</v>
      </c>
    </row>
    <row r="546" spans="2:5" ht="15.6" hidden="1">
      <c r="B546" s="16" t="s">
        <v>88</v>
      </c>
      <c r="C546" s="17" t="s">
        <v>116</v>
      </c>
      <c r="D546" s="24">
        <v>910</v>
      </c>
      <c r="E546" s="18" t="str">
        <f>HYPERLINK("#'Data'!A4024", "Households reporting type of shelter they live in broken down by displacement status of HoH on the admin of overall perc")</f>
        <v>Households reporting type of shelter they live in broken down by displacement status of HoH on the admin of overall perc</v>
      </c>
    </row>
    <row r="547" spans="2:5" ht="15.6" hidden="1">
      <c r="B547" s="16" t="s">
        <v>88</v>
      </c>
      <c r="C547" s="17" t="s">
        <v>116</v>
      </c>
      <c r="D547" s="24">
        <v>911</v>
      </c>
      <c r="E547" s="18" t="str">
        <f>HYPERLINK("#'Data'!A4033", "Households reporting type of shelter they live in broken down by household size on the admin of overall perc")</f>
        <v>Households reporting type of shelter they live in broken down by household size on the admin of overall perc</v>
      </c>
    </row>
    <row r="548" spans="2:5" ht="15.6" hidden="1">
      <c r="B548" s="16" t="s">
        <v>88</v>
      </c>
      <c r="C548" s="17" t="s">
        <v>116</v>
      </c>
      <c r="D548" s="24">
        <v>912</v>
      </c>
      <c r="E548" s="18" t="str">
        <f>HYPERLINK("#'Data'!A4040", "Households reporting type of shelter they live in broken down by single/joint headed HHs on the admin of overall perc")</f>
        <v>Households reporting type of shelter they live in broken down by single/joint headed HHs on the admin of overall perc</v>
      </c>
    </row>
    <row r="549" spans="2:5" ht="15.6" hidden="1">
      <c r="B549" s="16" t="s">
        <v>88</v>
      </c>
      <c r="C549" s="17" t="s">
        <v>117</v>
      </c>
      <c r="D549" s="24">
        <v>914</v>
      </c>
      <c r="E549" s="18" t="str">
        <f>HYPERLINK("#'Data'!A4047", "Households reporting number of square meters in their shelter broken down by rural / urban on the admin of overall mean")</f>
        <v>Households reporting number of square meters in their shelter broken down by rural / urban on the admin of overall mean</v>
      </c>
    </row>
    <row r="550" spans="2:5" ht="15.6" hidden="1">
      <c r="B550" s="16" t="s">
        <v>88</v>
      </c>
      <c r="C550" s="17" t="s">
        <v>117</v>
      </c>
      <c r="D550" s="24">
        <v>915</v>
      </c>
      <c r="E550" s="18" t="str">
        <f>HYPERLINK("#'Data'!A4053", "Households reporting number of square meters in their shelter broken down by proximity to the Frontline / Russian border on the admin of overall me...")</f>
        <v>Households reporting number of square meters in their shelter broken down by proximity to the Frontline / Russian border on the admin of overall me...</v>
      </c>
    </row>
    <row r="551" spans="2:5" ht="15.6" hidden="1">
      <c r="B551" s="16" t="s">
        <v>88</v>
      </c>
      <c r="C551" s="17" t="s">
        <v>117</v>
      </c>
      <c r="D551" s="24">
        <v>916</v>
      </c>
      <c r="E551" s="18" t="str">
        <f>HYPERLINK("#'Data'!A4060", "Households reporting number of square meters in their shelter broken down by member with WGSS disability on the admin of overall mean")</f>
        <v>Households reporting number of square meters in their shelter broken down by member with WGSS disability on the admin of overall mean</v>
      </c>
    </row>
    <row r="552" spans="2:5" ht="15.6" hidden="1">
      <c r="B552" s="16" t="s">
        <v>88</v>
      </c>
      <c r="C552" s="17" t="s">
        <v>117</v>
      </c>
      <c r="D552" s="24">
        <v>917</v>
      </c>
      <c r="E552" s="18" t="str">
        <f>HYPERLINK("#'Data'!A4066", "Households reporting number of square meters in their shelter broken down by displacement status of HoH on the admin of overall mean")</f>
        <v>Households reporting number of square meters in their shelter broken down by displacement status of HoH on the admin of overall mean</v>
      </c>
    </row>
    <row r="553" spans="2:5" ht="15.6" hidden="1">
      <c r="B553" s="16" t="s">
        <v>88</v>
      </c>
      <c r="C553" s="17" t="s">
        <v>117</v>
      </c>
      <c r="D553" s="24">
        <v>918</v>
      </c>
      <c r="E553" s="18" t="str">
        <f>HYPERLINK("#'Data'!A4075", "Households reporting number of square meters in their shelter broken down by household size on the admin of overall mean")</f>
        <v>Households reporting number of square meters in their shelter broken down by household size on the admin of overall mean</v>
      </c>
    </row>
    <row r="554" spans="2:5" ht="15.6" hidden="1">
      <c r="B554" s="16" t="s">
        <v>88</v>
      </c>
      <c r="C554" s="17" t="s">
        <v>117</v>
      </c>
      <c r="D554" s="24">
        <v>919</v>
      </c>
      <c r="E554" s="18" t="str">
        <f>HYPERLINK("#'Data'!A4082", "Households reporting number of square meters in their shelter broken down by single/joint headed HHs on the admin of overall mean")</f>
        <v>Households reporting number of square meters in their shelter broken down by single/joint headed HHs on the admin of overall mean</v>
      </c>
    </row>
    <row r="555" spans="2:5" ht="15.6" hidden="1">
      <c r="B555" s="16" t="s">
        <v>88</v>
      </c>
      <c r="C555" s="17" t="s">
        <v>118</v>
      </c>
      <c r="D555" s="24">
        <v>921</v>
      </c>
      <c r="E555" s="18" t="str">
        <f>HYPERLINK("#'Data'!A4089", "Households reporting number of individuals living in their current shelter broken down by rural / urban on the admin of overall mean")</f>
        <v>Households reporting number of individuals living in their current shelter broken down by rural / urban on the admin of overall mean</v>
      </c>
    </row>
    <row r="556" spans="2:5" ht="15.6" hidden="1">
      <c r="B556" s="16" t="s">
        <v>88</v>
      </c>
      <c r="C556" s="17" t="s">
        <v>118</v>
      </c>
      <c r="D556" s="24">
        <v>922</v>
      </c>
      <c r="E556" s="18" t="str">
        <f>HYPERLINK("#'Data'!A4095", "Households reporting number of individuals living in their current shelter broken down by proximity to the Frontline / Russian border on the admin ...")</f>
        <v>Households reporting number of individuals living in their current shelter broken down by proximity to the Frontline / Russian border on the admin ...</v>
      </c>
    </row>
    <row r="557" spans="2:5" ht="15.6" hidden="1">
      <c r="B557" s="16" t="s">
        <v>88</v>
      </c>
      <c r="C557" s="17" t="s">
        <v>118</v>
      </c>
      <c r="D557" s="24">
        <v>923</v>
      </c>
      <c r="E557" s="18" t="str">
        <f>HYPERLINK("#'Data'!A4102", "Households reporting number of individuals living in their current shelter broken down by member with WGSS disability on the admin of overall mean")</f>
        <v>Households reporting number of individuals living in their current shelter broken down by member with WGSS disability on the admin of overall mean</v>
      </c>
    </row>
    <row r="558" spans="2:5" ht="15.6" hidden="1">
      <c r="B558" s="16" t="s">
        <v>88</v>
      </c>
      <c r="C558" s="17" t="s">
        <v>118</v>
      </c>
      <c r="D558" s="24">
        <v>924</v>
      </c>
      <c r="E558" s="18" t="str">
        <f>HYPERLINK("#'Data'!A4108", "Households reporting number of individuals living in their current shelter broken down by displacement status of HoH on the admin of overall mean")</f>
        <v>Households reporting number of individuals living in their current shelter broken down by displacement status of HoH on the admin of overall mean</v>
      </c>
    </row>
    <row r="559" spans="2:5" ht="15.6" hidden="1">
      <c r="B559" s="16" t="s">
        <v>88</v>
      </c>
      <c r="C559" s="17" t="s">
        <v>118</v>
      </c>
      <c r="D559" s="24">
        <v>925</v>
      </c>
      <c r="E559" s="18" t="str">
        <f>HYPERLINK("#'Data'!A4117", "Households reporting number of individuals living in their current shelter broken down by household size on the admin of overall mean")</f>
        <v>Households reporting number of individuals living in their current shelter broken down by household size on the admin of overall mean</v>
      </c>
    </row>
    <row r="560" spans="2:5" ht="15.6" hidden="1">
      <c r="B560" s="16" t="s">
        <v>88</v>
      </c>
      <c r="C560" s="17" t="s">
        <v>118</v>
      </c>
      <c r="D560" s="24">
        <v>926</v>
      </c>
      <c r="E560" s="18" t="str">
        <f>HYPERLINK("#'Data'!A4124", "Households reporting number of individuals living in their current shelter broken down by single/joint headed HHs on the admin of overall mean")</f>
        <v>Households reporting number of individuals living in their current shelter broken down by single/joint headed HHs on the admin of overall mean</v>
      </c>
    </row>
    <row r="561" spans="2:5" ht="15.6" hidden="1">
      <c r="B561" s="16" t="s">
        <v>88</v>
      </c>
      <c r="C561" s="17" t="s">
        <v>119</v>
      </c>
      <c r="D561" s="24">
        <v>928</v>
      </c>
      <c r="E561" s="18" t="str">
        <f>HYPERLINK("#'Data'!A4131", "Shelter overcrowding broken down by rural / urban on the admin of overall mean")</f>
        <v>Shelter overcrowding broken down by rural / urban on the admin of overall mean</v>
      </c>
    </row>
    <row r="562" spans="2:5" ht="15.6" hidden="1">
      <c r="B562" s="16" t="s">
        <v>88</v>
      </c>
      <c r="C562" s="17" t="s">
        <v>119</v>
      </c>
      <c r="D562" s="24">
        <v>929</v>
      </c>
      <c r="E562" s="18" t="str">
        <f>HYPERLINK("#'Data'!A4137", "Shelter overcrowding broken down by proximity to the Frontline / Russian border on the admin of overall mean")</f>
        <v>Shelter overcrowding broken down by proximity to the Frontline / Russian border on the admin of overall mean</v>
      </c>
    </row>
    <row r="563" spans="2:5" ht="15.6" hidden="1">
      <c r="B563" s="16" t="s">
        <v>88</v>
      </c>
      <c r="C563" s="17" t="s">
        <v>119</v>
      </c>
      <c r="D563" s="24">
        <v>930</v>
      </c>
      <c r="E563" s="18" t="str">
        <f>HYPERLINK("#'Data'!A4144", "Shelter overcrowding broken down by member with WGSS disability on the admin of overall mean")</f>
        <v>Shelter overcrowding broken down by member with WGSS disability on the admin of overall mean</v>
      </c>
    </row>
    <row r="564" spans="2:5" ht="15.6" hidden="1">
      <c r="B564" s="16" t="s">
        <v>88</v>
      </c>
      <c r="C564" s="17" t="s">
        <v>119</v>
      </c>
      <c r="D564" s="24">
        <v>931</v>
      </c>
      <c r="E564" s="18" t="str">
        <f>HYPERLINK("#'Data'!A4150", "Shelter overcrowding broken down by displacement status of HoH on the admin of overall mean")</f>
        <v>Shelter overcrowding broken down by displacement status of HoH on the admin of overall mean</v>
      </c>
    </row>
    <row r="565" spans="2:5" ht="15.6" hidden="1">
      <c r="B565" s="16" t="s">
        <v>88</v>
      </c>
      <c r="C565" s="17" t="s">
        <v>119</v>
      </c>
      <c r="D565" s="24">
        <v>932</v>
      </c>
      <c r="E565" s="18" t="str">
        <f>HYPERLINK("#'Data'!A4159", "Shelter overcrowding broken down by household size on the admin of overall mean")</f>
        <v>Shelter overcrowding broken down by household size on the admin of overall mean</v>
      </c>
    </row>
    <row r="566" spans="2:5" ht="15.6" hidden="1">
      <c r="B566" s="16" t="s">
        <v>88</v>
      </c>
      <c r="C566" s="17" t="s">
        <v>119</v>
      </c>
      <c r="D566" s="24">
        <v>933</v>
      </c>
      <c r="E566" s="18" t="str">
        <f>HYPERLINK("#'Data'!A4166", "Shelter overcrowding broken down by single/joint headed HHs on the admin of overall mean")</f>
        <v>Shelter overcrowding broken down by single/joint headed HHs on the admin of overall mean</v>
      </c>
    </row>
    <row r="567" spans="2:5" ht="15.6" hidden="1">
      <c r="B567" s="16" t="s">
        <v>88</v>
      </c>
      <c r="C567" s="17" t="s">
        <v>120</v>
      </c>
      <c r="D567" s="24">
        <v>935</v>
      </c>
      <c r="E567" s="18" t="str">
        <f>HYPERLINK("#'Data'!A4173", "Households reporting occupancy arrangement of their shelter broken down by rural / urban on the admin of overall perc")</f>
        <v>Households reporting occupancy arrangement of their shelter broken down by rural / urban on the admin of overall perc</v>
      </c>
    </row>
    <row r="568" spans="2:5" ht="15.6" hidden="1">
      <c r="B568" s="16" t="s">
        <v>88</v>
      </c>
      <c r="C568" s="17" t="s">
        <v>120</v>
      </c>
      <c r="D568" s="24">
        <v>936</v>
      </c>
      <c r="E568" s="18" t="str">
        <f>HYPERLINK("#'Data'!A4179", "Households reporting occupancy arrangement of their shelter broken down by proximity to the Frontline / Russian border on the admin of overall perc")</f>
        <v>Households reporting occupancy arrangement of their shelter broken down by proximity to the Frontline / Russian border on the admin of overall perc</v>
      </c>
    </row>
    <row r="569" spans="2:5" ht="15.6" hidden="1">
      <c r="B569" s="16" t="s">
        <v>88</v>
      </c>
      <c r="C569" s="17" t="s">
        <v>120</v>
      </c>
      <c r="D569" s="24">
        <v>937</v>
      </c>
      <c r="E569" s="18" t="str">
        <f>HYPERLINK("#'Data'!A4186", "Households reporting occupancy arrangement of their shelter broken down by member with WGSS disability on the admin of overall perc")</f>
        <v>Households reporting occupancy arrangement of their shelter broken down by member with WGSS disability on the admin of overall perc</v>
      </c>
    </row>
    <row r="570" spans="2:5" ht="15.6" hidden="1">
      <c r="B570" s="16" t="s">
        <v>88</v>
      </c>
      <c r="C570" s="17" t="s">
        <v>120</v>
      </c>
      <c r="D570" s="24">
        <v>938</v>
      </c>
      <c r="E570" s="18" t="str">
        <f>HYPERLINK("#'Data'!A4192", "Households reporting occupancy arrangement of their shelter broken down by displacement status of HoH on the admin of overall perc")</f>
        <v>Households reporting occupancy arrangement of their shelter broken down by displacement status of HoH on the admin of overall perc</v>
      </c>
    </row>
    <row r="571" spans="2:5" ht="15.6" hidden="1">
      <c r="B571" s="16" t="s">
        <v>88</v>
      </c>
      <c r="C571" s="17" t="s">
        <v>120</v>
      </c>
      <c r="D571" s="24">
        <v>939</v>
      </c>
      <c r="E571" s="18" t="str">
        <f>HYPERLINK("#'Data'!A4201", "Households reporting occupancy arrangement of their shelter broken down by household size on the admin of overall perc")</f>
        <v>Households reporting occupancy arrangement of their shelter broken down by household size on the admin of overall perc</v>
      </c>
    </row>
    <row r="572" spans="2:5" ht="15.6" hidden="1">
      <c r="B572" s="16" t="s">
        <v>88</v>
      </c>
      <c r="C572" s="17" t="s">
        <v>120</v>
      </c>
      <c r="D572" s="24">
        <v>940</v>
      </c>
      <c r="E572" s="18" t="str">
        <f>HYPERLINK("#'Data'!A4208", "Households reporting occupancy arrangement of their shelter broken down by single/joint headed HHs on the admin of overall perc")</f>
        <v>Households reporting occupancy arrangement of their shelter broken down by single/joint headed HHs on the admin of overall perc</v>
      </c>
    </row>
    <row r="573" spans="2:5" ht="15.6" hidden="1">
      <c r="B573" s="16" t="s">
        <v>88</v>
      </c>
      <c r="C573" s="17" t="s">
        <v>121</v>
      </c>
      <c r="D573" s="24">
        <v>942</v>
      </c>
      <c r="E573" s="18" t="str">
        <f>HYPERLINK("#'Data'!A4215", "Households reporting risk of being evicted from their shelter broken down by rural / urban on the admin of overall perc")</f>
        <v>Households reporting risk of being evicted from their shelter broken down by rural / urban on the admin of overall perc</v>
      </c>
    </row>
    <row r="574" spans="2:5" ht="15.6" hidden="1">
      <c r="B574" s="16" t="s">
        <v>88</v>
      </c>
      <c r="C574" s="17" t="s">
        <v>121</v>
      </c>
      <c r="D574" s="24">
        <v>943</v>
      </c>
      <c r="E574" s="18" t="str">
        <f>HYPERLINK("#'Data'!A4221", "Households reporting risk of being evicted from their shelter broken down by proximity to the Frontline / Russian border on the admin of overall pe...")</f>
        <v>Households reporting risk of being evicted from their shelter broken down by proximity to the Frontline / Russian border on the admin of overall pe...</v>
      </c>
    </row>
    <row r="575" spans="2:5" ht="15.6" hidden="1">
      <c r="B575" s="16" t="s">
        <v>88</v>
      </c>
      <c r="C575" s="17" t="s">
        <v>121</v>
      </c>
      <c r="D575" s="24">
        <v>944</v>
      </c>
      <c r="E575" s="18" t="str">
        <f>HYPERLINK("#'Data'!A4228", "Households reporting risk of being evicted from their shelter broken down by member with WGSS disability on the admin of overall perc")</f>
        <v>Households reporting risk of being evicted from their shelter broken down by member with WGSS disability on the admin of overall perc</v>
      </c>
    </row>
    <row r="576" spans="2:5" ht="15.6" hidden="1">
      <c r="B576" s="16" t="s">
        <v>88</v>
      </c>
      <c r="C576" s="17" t="s">
        <v>121</v>
      </c>
      <c r="D576" s="24">
        <v>945</v>
      </c>
      <c r="E576" s="18" t="str">
        <f>HYPERLINK("#'Data'!A4234", "Households reporting risk of being evicted from their shelter broken down by displacement status of HoH on the admin of overall perc")</f>
        <v>Households reporting risk of being evicted from their shelter broken down by displacement status of HoH on the admin of overall perc</v>
      </c>
    </row>
    <row r="577" spans="2:5" ht="15.6" hidden="1">
      <c r="B577" s="16" t="s">
        <v>88</v>
      </c>
      <c r="C577" s="17" t="s">
        <v>121</v>
      </c>
      <c r="D577" s="24">
        <v>946</v>
      </c>
      <c r="E577" s="18" t="str">
        <f>HYPERLINK("#'Data'!A4243", "Households reporting risk of being evicted from their shelter broken down by household size on the admin of overall perc")</f>
        <v>Households reporting risk of being evicted from their shelter broken down by household size on the admin of overall perc</v>
      </c>
    </row>
    <row r="578" spans="2:5" ht="15.6" hidden="1">
      <c r="B578" s="16" t="s">
        <v>88</v>
      </c>
      <c r="C578" s="17" t="s">
        <v>121</v>
      </c>
      <c r="D578" s="24">
        <v>947</v>
      </c>
      <c r="E578" s="18" t="str">
        <f>HYPERLINK("#'Data'!A4250", "Households reporting risk of being evicted from their shelter broken down by single/joint headed HHs on the admin of overall perc")</f>
        <v>Households reporting risk of being evicted from their shelter broken down by single/joint headed HHs on the admin of overall perc</v>
      </c>
    </row>
    <row r="579" spans="2:5" ht="15.6" hidden="1">
      <c r="B579" s="16" t="s">
        <v>88</v>
      </c>
      <c r="C579" s="17" t="s">
        <v>122</v>
      </c>
      <c r="D579" s="24">
        <v>949</v>
      </c>
      <c r="E579" s="18" t="str">
        <f>HYPERLINK("#'Data'!A4257", "Households reporting shelter issues that were NOT caused by the war broken down by rural / urban on the admin of overall perc")</f>
        <v>Households reporting shelter issues that were NOT caused by the war broken down by rural / urban on the admin of overall perc</v>
      </c>
    </row>
    <row r="580" spans="2:5" ht="15.6" hidden="1">
      <c r="B580" s="16" t="s">
        <v>88</v>
      </c>
      <c r="C580" s="17" t="s">
        <v>122</v>
      </c>
      <c r="D580" s="24">
        <v>950</v>
      </c>
      <c r="E580" s="18" t="str">
        <f>HYPERLINK("#'Data'!A4263", "Households reporting shelter issues that were NOT caused by the war broken down by proximity to the Frontline / Russian border on the admin of over...")</f>
        <v>Households reporting shelter issues that were NOT caused by the war broken down by proximity to the Frontline / Russian border on the admin of over...</v>
      </c>
    </row>
    <row r="581" spans="2:5" ht="15.6" hidden="1">
      <c r="B581" s="16" t="s">
        <v>88</v>
      </c>
      <c r="C581" s="17" t="s">
        <v>122</v>
      </c>
      <c r="D581" s="24">
        <v>951</v>
      </c>
      <c r="E581" s="18" t="str">
        <f>HYPERLINK("#'Data'!A4270", "Households reporting shelter issues that were NOT caused by the war broken down by member with WGSS disability on the admin of overall perc")</f>
        <v>Households reporting shelter issues that were NOT caused by the war broken down by member with WGSS disability on the admin of overall perc</v>
      </c>
    </row>
    <row r="582" spans="2:5" ht="15.6" hidden="1">
      <c r="B582" s="16" t="s">
        <v>88</v>
      </c>
      <c r="C582" s="17" t="s">
        <v>122</v>
      </c>
      <c r="D582" s="24">
        <v>952</v>
      </c>
      <c r="E582" s="18" t="str">
        <f>HYPERLINK("#'Data'!A4276", "Households reporting shelter issues that were NOT caused by the war broken down by displacement status of HoH on the admin of overall perc")</f>
        <v>Households reporting shelter issues that were NOT caused by the war broken down by displacement status of HoH on the admin of overall perc</v>
      </c>
    </row>
    <row r="583" spans="2:5" ht="15.6" hidden="1">
      <c r="B583" s="16" t="s">
        <v>88</v>
      </c>
      <c r="C583" s="17" t="s">
        <v>122</v>
      </c>
      <c r="D583" s="24">
        <v>953</v>
      </c>
      <c r="E583" s="18" t="str">
        <f>HYPERLINK("#'Data'!A4285", "Households reporting shelter issues that were NOT caused by the war broken down by household size on the admin of overall perc")</f>
        <v>Households reporting shelter issues that were NOT caused by the war broken down by household size on the admin of overall perc</v>
      </c>
    </row>
    <row r="584" spans="2:5" ht="15.6" hidden="1">
      <c r="B584" s="16" t="s">
        <v>88</v>
      </c>
      <c r="C584" s="17" t="s">
        <v>122</v>
      </c>
      <c r="D584" s="24">
        <v>954</v>
      </c>
      <c r="E584" s="18" t="str">
        <f>HYPERLINK("#'Data'!A4292", "Households reporting shelter issues that were NOT caused by the war broken down by single/joint headed HHs on the admin of overall perc")</f>
        <v>Households reporting shelter issues that were NOT caused by the war broken down by single/joint headed HHs on the admin of overall perc</v>
      </c>
    </row>
    <row r="585" spans="2:5" ht="15.6" hidden="1">
      <c r="B585" s="16" t="s">
        <v>88</v>
      </c>
      <c r="C585" s="17" t="s">
        <v>123</v>
      </c>
      <c r="D585" s="24">
        <v>956</v>
      </c>
      <c r="E585" s="18" t="str">
        <f>HYPERLINK("#'Data'!A4299", "Households reporting damage to their current shelter (caused by the war) broken down by rural / urban on the admin of overall perc")</f>
        <v>Households reporting damage to their current shelter (caused by the war) broken down by rural / urban on the admin of overall perc</v>
      </c>
    </row>
    <row r="586" spans="2:5" ht="15.6" hidden="1">
      <c r="B586" s="16" t="s">
        <v>88</v>
      </c>
      <c r="C586" s="17" t="s">
        <v>123</v>
      </c>
      <c r="D586" s="24">
        <v>957</v>
      </c>
      <c r="E586" s="18" t="str">
        <f>HYPERLINK("#'Data'!A4305", "Households reporting damage to their current shelter (caused by the war) broken down by proximity to the Frontline / Russian border on the admin of...")</f>
        <v>Households reporting damage to their current shelter (caused by the war) broken down by proximity to the Frontline / Russian border on the admin of...</v>
      </c>
    </row>
    <row r="587" spans="2:5" ht="15.6" hidden="1">
      <c r="B587" s="16" t="s">
        <v>88</v>
      </c>
      <c r="C587" s="17" t="s">
        <v>123</v>
      </c>
      <c r="D587" s="24">
        <v>958</v>
      </c>
      <c r="E587" s="18" t="str">
        <f>HYPERLINK("#'Data'!A4312", "Households reporting damage to their current shelter (caused by the war) broken down by member with WGSS disability on the admin of overall perc")</f>
        <v>Households reporting damage to their current shelter (caused by the war) broken down by member with WGSS disability on the admin of overall perc</v>
      </c>
    </row>
    <row r="588" spans="2:5" ht="15.6" hidden="1">
      <c r="B588" s="16" t="s">
        <v>88</v>
      </c>
      <c r="C588" s="17" t="s">
        <v>123</v>
      </c>
      <c r="D588" s="24">
        <v>959</v>
      </c>
      <c r="E588" s="18" t="str">
        <f>HYPERLINK("#'Data'!A4318", "Households reporting damage to their current shelter (caused by the war) broken down by displacement status of HoH on the admin of overall perc")</f>
        <v>Households reporting damage to their current shelter (caused by the war) broken down by displacement status of HoH on the admin of overall perc</v>
      </c>
    </row>
    <row r="589" spans="2:5" ht="15.6" hidden="1">
      <c r="B589" s="16" t="s">
        <v>88</v>
      </c>
      <c r="C589" s="17" t="s">
        <v>123</v>
      </c>
      <c r="D589" s="24">
        <v>960</v>
      </c>
      <c r="E589" s="18" t="str">
        <f>HYPERLINK("#'Data'!A4327", "Households reporting damage to their current shelter (caused by the war) broken down by household size on the admin of overall perc")</f>
        <v>Households reporting damage to their current shelter (caused by the war) broken down by household size on the admin of overall perc</v>
      </c>
    </row>
    <row r="590" spans="2:5" ht="15.6" hidden="1">
      <c r="B590" s="16" t="s">
        <v>88</v>
      </c>
      <c r="C590" s="17" t="s">
        <v>123</v>
      </c>
      <c r="D590" s="24">
        <v>961</v>
      </c>
      <c r="E590" s="18" t="str">
        <f>HYPERLINK("#'Data'!A4334", "Households reporting damage to their current shelter (caused by the war) broken down by single/joint headed HHs on the admin of overall perc")</f>
        <v>Households reporting damage to their current shelter (caused by the war) broken down by single/joint headed HHs on the admin of overall perc</v>
      </c>
    </row>
    <row r="591" spans="2:5" ht="15.6" hidden="1">
      <c r="B591" s="16" t="s">
        <v>88</v>
      </c>
      <c r="C591" s="17" t="s">
        <v>124</v>
      </c>
      <c r="D591" s="24">
        <v>963</v>
      </c>
      <c r="E591" s="18" t="str">
        <f>HYPERLINK("#'Data'!A4341", "Households assessing shelter damage in their current shelter broken down by rural / urban on the admin of overall perc")</f>
        <v>Households assessing shelter damage in their current shelter broken down by rural / urban on the admin of overall perc</v>
      </c>
    </row>
    <row r="592" spans="2:5" ht="15.6" hidden="1">
      <c r="B592" s="16" t="s">
        <v>88</v>
      </c>
      <c r="C592" s="17" t="s">
        <v>124</v>
      </c>
      <c r="D592" s="24">
        <v>964</v>
      </c>
      <c r="E592" s="18" t="str">
        <f>HYPERLINK("#'Data'!A4347", "Households assessing shelter damage in their current shelter broken down by proximity to the Frontline / Russian border on the admin of overall per...")</f>
        <v>Households assessing shelter damage in their current shelter broken down by proximity to the Frontline / Russian border on the admin of overall per...</v>
      </c>
    </row>
    <row r="593" spans="2:5" ht="15.6" hidden="1">
      <c r="B593" s="16" t="s">
        <v>88</v>
      </c>
      <c r="C593" s="17" t="s">
        <v>124</v>
      </c>
      <c r="D593" s="24">
        <v>965</v>
      </c>
      <c r="E593" s="18" t="str">
        <f>HYPERLINK("#'Data'!A4354", "Households assessing shelter damage in their current shelter broken down by member with WGSS disability on the admin of overall perc")</f>
        <v>Households assessing shelter damage in their current shelter broken down by member with WGSS disability on the admin of overall perc</v>
      </c>
    </row>
    <row r="594" spans="2:5" ht="15.6" hidden="1">
      <c r="B594" s="16" t="s">
        <v>88</v>
      </c>
      <c r="C594" s="17" t="s">
        <v>124</v>
      </c>
      <c r="D594" s="24">
        <v>966</v>
      </c>
      <c r="E594" s="18" t="str">
        <f>HYPERLINK("#'Data'!A4360", "Households assessing shelter damage in their current shelter broken down by displacement status of HoH on the admin of overall perc")</f>
        <v>Households assessing shelter damage in their current shelter broken down by displacement status of HoH on the admin of overall perc</v>
      </c>
    </row>
    <row r="595" spans="2:5" ht="15.6" hidden="1">
      <c r="B595" s="16" t="s">
        <v>88</v>
      </c>
      <c r="C595" s="17" t="s">
        <v>124</v>
      </c>
      <c r="D595" s="24">
        <v>967</v>
      </c>
      <c r="E595" s="18" t="str">
        <f>HYPERLINK("#'Data'!A4369", "Households assessing shelter damage in their current shelter broken down by household size on the admin of overall perc")</f>
        <v>Households assessing shelter damage in their current shelter broken down by household size on the admin of overall perc</v>
      </c>
    </row>
    <row r="596" spans="2:5" ht="15.6" hidden="1">
      <c r="B596" s="16" t="s">
        <v>88</v>
      </c>
      <c r="C596" s="17" t="s">
        <v>124</v>
      </c>
      <c r="D596" s="24">
        <v>968</v>
      </c>
      <c r="E596" s="18" t="str">
        <f>HYPERLINK("#'Data'!A4376", "Households assessing shelter damage in their current shelter broken down by single/joint headed HHs on the admin of overall perc")</f>
        <v>Households assessing shelter damage in their current shelter broken down by single/joint headed HHs on the admin of overall perc</v>
      </c>
    </row>
    <row r="597" spans="2:5" ht="15.6" hidden="1">
      <c r="B597" s="16" t="s">
        <v>88</v>
      </c>
      <c r="C597" s="17" t="s">
        <v>125</v>
      </c>
      <c r="D597" s="24">
        <v>970</v>
      </c>
      <c r="E597" s="18" t="str">
        <f>HYPERLINK("#'Data'!A4383", "Households reportedly experiencing issues while cooking broken down by rural / urban on the admin of overall perc")</f>
        <v>Households reportedly experiencing issues while cooking broken down by rural / urban on the admin of overall perc</v>
      </c>
    </row>
    <row r="598" spans="2:5" ht="15.6" hidden="1">
      <c r="B598" s="16" t="s">
        <v>88</v>
      </c>
      <c r="C598" s="17" t="s">
        <v>125</v>
      </c>
      <c r="D598" s="24">
        <v>971</v>
      </c>
      <c r="E598" s="18" t="str">
        <f>HYPERLINK("#'Data'!A4389", "Households reportedly experiencing issues while cooking broken down by proximity to the Frontline / Russian border on the admin of overall perc")</f>
        <v>Households reportedly experiencing issues while cooking broken down by proximity to the Frontline / Russian border on the admin of overall perc</v>
      </c>
    </row>
    <row r="599" spans="2:5" ht="15.6" hidden="1">
      <c r="B599" s="16" t="s">
        <v>88</v>
      </c>
      <c r="C599" s="17" t="s">
        <v>125</v>
      </c>
      <c r="D599" s="24">
        <v>972</v>
      </c>
      <c r="E599" s="18" t="str">
        <f>HYPERLINK("#'Data'!A4396", "Households reportedly experiencing issues while cooking broken down by member with WGSS disability on the admin of overall perc")</f>
        <v>Households reportedly experiencing issues while cooking broken down by member with WGSS disability on the admin of overall perc</v>
      </c>
    </row>
    <row r="600" spans="2:5" ht="15.6" hidden="1">
      <c r="B600" s="16" t="s">
        <v>88</v>
      </c>
      <c r="C600" s="17" t="s">
        <v>125</v>
      </c>
      <c r="D600" s="24">
        <v>973</v>
      </c>
      <c r="E600" s="18" t="str">
        <f>HYPERLINK("#'Data'!A4402", "Households reportedly experiencing issues while cooking broken down by displacement status of HoH on the admin of overall perc")</f>
        <v>Households reportedly experiencing issues while cooking broken down by displacement status of HoH on the admin of overall perc</v>
      </c>
    </row>
    <row r="601" spans="2:5" ht="15.6" hidden="1">
      <c r="B601" s="16" t="s">
        <v>88</v>
      </c>
      <c r="C601" s="17" t="s">
        <v>125</v>
      </c>
      <c r="D601" s="24">
        <v>974</v>
      </c>
      <c r="E601" s="18" t="str">
        <f>HYPERLINK("#'Data'!A4411", "Households reportedly experiencing issues while cooking broken down by household size on the admin of overall perc")</f>
        <v>Households reportedly experiencing issues while cooking broken down by household size on the admin of overall perc</v>
      </c>
    </row>
    <row r="602" spans="2:5" ht="15.6" hidden="1">
      <c r="B602" s="16" t="s">
        <v>88</v>
      </c>
      <c r="C602" s="17" t="s">
        <v>125</v>
      </c>
      <c r="D602" s="24">
        <v>975</v>
      </c>
      <c r="E602" s="18" t="str">
        <f>HYPERLINK("#'Data'!A4418", "Households reportedly experiencing issues while cooking broken down by single/joint headed HHs on the admin of overall perc")</f>
        <v>Households reportedly experiencing issues while cooking broken down by single/joint headed HHs on the admin of overall perc</v>
      </c>
    </row>
    <row r="603" spans="2:5" ht="15.6" hidden="1">
      <c r="B603" s="16" t="s">
        <v>88</v>
      </c>
      <c r="C603" s="17" t="s">
        <v>126</v>
      </c>
      <c r="D603" s="24">
        <v>977</v>
      </c>
      <c r="E603" s="18" t="str">
        <f>HYPERLINK("#'Data'!A4425", "Households reportedly experiencing issues while sleeping broken down by rural / urban on the admin of overall perc")</f>
        <v>Households reportedly experiencing issues while sleeping broken down by rural / urban on the admin of overall perc</v>
      </c>
    </row>
    <row r="604" spans="2:5" ht="15.6" hidden="1">
      <c r="B604" s="16" t="s">
        <v>88</v>
      </c>
      <c r="C604" s="17" t="s">
        <v>126</v>
      </c>
      <c r="D604" s="24">
        <v>978</v>
      </c>
      <c r="E604" s="18" t="str">
        <f>HYPERLINK("#'Data'!A4431", "Households reportedly experiencing issues while sleeping broken down by proximity to the Frontline / Russian border on the admin of overall perc")</f>
        <v>Households reportedly experiencing issues while sleeping broken down by proximity to the Frontline / Russian border on the admin of overall perc</v>
      </c>
    </row>
    <row r="605" spans="2:5" ht="15.6" hidden="1">
      <c r="B605" s="16" t="s">
        <v>88</v>
      </c>
      <c r="C605" s="17" t="s">
        <v>126</v>
      </c>
      <c r="D605" s="24">
        <v>979</v>
      </c>
      <c r="E605" s="18" t="str">
        <f>HYPERLINK("#'Data'!A4438", "Households reportedly experiencing issues while sleeping broken down by member with WGSS disability on the admin of overall perc")</f>
        <v>Households reportedly experiencing issues while sleeping broken down by member with WGSS disability on the admin of overall perc</v>
      </c>
    </row>
    <row r="606" spans="2:5" ht="15.6" hidden="1">
      <c r="B606" s="16" t="s">
        <v>88</v>
      </c>
      <c r="C606" s="17" t="s">
        <v>126</v>
      </c>
      <c r="D606" s="24">
        <v>980</v>
      </c>
      <c r="E606" s="18" t="str">
        <f>HYPERLINK("#'Data'!A4444", "Households reportedly experiencing issues while sleeping broken down by displacement status of HoH on the admin of overall perc")</f>
        <v>Households reportedly experiencing issues while sleeping broken down by displacement status of HoH on the admin of overall perc</v>
      </c>
    </row>
    <row r="607" spans="2:5" ht="15.6" hidden="1">
      <c r="B607" s="16" t="s">
        <v>88</v>
      </c>
      <c r="C607" s="17" t="s">
        <v>126</v>
      </c>
      <c r="D607" s="24">
        <v>981</v>
      </c>
      <c r="E607" s="18" t="str">
        <f>HYPERLINK("#'Data'!A4453", "Households reportedly experiencing issues while sleeping broken down by household size on the admin of overall perc")</f>
        <v>Households reportedly experiencing issues while sleeping broken down by household size on the admin of overall perc</v>
      </c>
    </row>
    <row r="608" spans="2:5" ht="15.6" hidden="1">
      <c r="B608" s="16" t="s">
        <v>88</v>
      </c>
      <c r="C608" s="17" t="s">
        <v>126</v>
      </c>
      <c r="D608" s="24">
        <v>982</v>
      </c>
      <c r="E608" s="18" t="str">
        <f>HYPERLINK("#'Data'!A4460", "Households reportedly experiencing issues while sleeping broken down by single/joint headed HHs on the admin of overall perc")</f>
        <v>Households reportedly experiencing issues while sleeping broken down by single/joint headed HHs on the admin of overall perc</v>
      </c>
    </row>
    <row r="609" spans="2:5" ht="15.6" hidden="1">
      <c r="B609" s="16" t="s">
        <v>88</v>
      </c>
      <c r="C609" s="17" t="s">
        <v>127</v>
      </c>
      <c r="D609" s="24">
        <v>984</v>
      </c>
      <c r="E609" s="18" t="str">
        <f>HYPERLINK("#'Data'!A4467", "Households reporting main heating source last winter broken down by rural / urban on the admin of overall perc")</f>
        <v>Households reporting main heating source last winter broken down by rural / urban on the admin of overall perc</v>
      </c>
    </row>
    <row r="610" spans="2:5" ht="15.6" hidden="1">
      <c r="B610" s="16" t="s">
        <v>88</v>
      </c>
      <c r="C610" s="17" t="s">
        <v>127</v>
      </c>
      <c r="D610" s="24">
        <v>985</v>
      </c>
      <c r="E610" s="18" t="str">
        <f>HYPERLINK("#'Data'!A4473", "Households reporting main heating source last winter broken down by proximity to the Frontline / Russian border on the admin of overall perc")</f>
        <v>Households reporting main heating source last winter broken down by proximity to the Frontline / Russian border on the admin of overall perc</v>
      </c>
    </row>
    <row r="611" spans="2:5" ht="15.6" hidden="1">
      <c r="B611" s="16" t="s">
        <v>88</v>
      </c>
      <c r="C611" s="17" t="s">
        <v>127</v>
      </c>
      <c r="D611" s="24">
        <v>986</v>
      </c>
      <c r="E611" s="18" t="str">
        <f>HYPERLINK("#'Data'!A4480", "Households reporting main heating source last winter broken down by member with WGSS disability on the admin of overall perc")</f>
        <v>Households reporting main heating source last winter broken down by member with WGSS disability on the admin of overall perc</v>
      </c>
    </row>
    <row r="612" spans="2:5" ht="15.6" hidden="1">
      <c r="B612" s="16" t="s">
        <v>88</v>
      </c>
      <c r="C612" s="17" t="s">
        <v>127</v>
      </c>
      <c r="D612" s="24">
        <v>987</v>
      </c>
      <c r="E612" s="18" t="str">
        <f>HYPERLINK("#'Data'!A4486", "Households reporting main heating source last winter broken down by displacement status of HoH on the admin of overall perc")</f>
        <v>Households reporting main heating source last winter broken down by displacement status of HoH on the admin of overall perc</v>
      </c>
    </row>
    <row r="613" spans="2:5" ht="15.6" hidden="1">
      <c r="B613" s="16" t="s">
        <v>88</v>
      </c>
      <c r="C613" s="17" t="s">
        <v>127</v>
      </c>
      <c r="D613" s="24">
        <v>988</v>
      </c>
      <c r="E613" s="18" t="str">
        <f>HYPERLINK("#'Data'!A4495", "Households reporting main heating source last winter broken down by household size on the admin of overall perc")</f>
        <v>Households reporting main heating source last winter broken down by household size on the admin of overall perc</v>
      </c>
    </row>
    <row r="614" spans="2:5" ht="15.6" hidden="1">
      <c r="B614" s="16" t="s">
        <v>88</v>
      </c>
      <c r="C614" s="17" t="s">
        <v>127</v>
      </c>
      <c r="D614" s="24">
        <v>989</v>
      </c>
      <c r="E614" s="18" t="str">
        <f>HYPERLINK("#'Data'!A4502", "Households reporting main heating source last winter broken down by single/joint headed HHs on the admin of overall perc")</f>
        <v>Households reporting main heating source last winter broken down by single/joint headed HHs on the admin of overall perc</v>
      </c>
    </row>
    <row r="615" spans="2:5" ht="15.6" hidden="1">
      <c r="B615" s="16" t="s">
        <v>88</v>
      </c>
      <c r="C615" s="17" t="s">
        <v>128</v>
      </c>
      <c r="D615" s="24">
        <v>998</v>
      </c>
      <c r="E615" s="18" t="str">
        <f>HYPERLINK("#'Data'!A4551", "Households reportedly experiencing issues while storing food broken down by rural / urban on the admin of overall perc")</f>
        <v>Households reportedly experiencing issues while storing food broken down by rural / urban on the admin of overall perc</v>
      </c>
    </row>
    <row r="616" spans="2:5" ht="15.6" hidden="1">
      <c r="B616" s="16" t="s">
        <v>88</v>
      </c>
      <c r="C616" s="17" t="s">
        <v>128</v>
      </c>
      <c r="D616" s="24">
        <v>999</v>
      </c>
      <c r="E616" s="18" t="str">
        <f>HYPERLINK("#'Data'!A4557", "Households reportedly experiencing issues while storing food broken down by proximity to the Frontline / Russian border on the admin of overall per...")</f>
        <v>Households reportedly experiencing issues while storing food broken down by proximity to the Frontline / Russian border on the admin of overall per...</v>
      </c>
    </row>
    <row r="617" spans="2:5" ht="15.6" hidden="1">
      <c r="B617" s="16" t="s">
        <v>88</v>
      </c>
      <c r="C617" s="17" t="s">
        <v>128</v>
      </c>
      <c r="D617" s="24">
        <v>1000</v>
      </c>
      <c r="E617" s="18" t="str">
        <f>HYPERLINK("#'Data'!A4564", "Households reportedly experiencing issues while storing food broken down by member with WGSS disability on the admin of overall perc")</f>
        <v>Households reportedly experiencing issues while storing food broken down by member with WGSS disability on the admin of overall perc</v>
      </c>
    </row>
    <row r="618" spans="2:5" ht="15.6" hidden="1">
      <c r="B618" s="16" t="s">
        <v>88</v>
      </c>
      <c r="C618" s="17" t="s">
        <v>128</v>
      </c>
      <c r="D618" s="24">
        <v>1001</v>
      </c>
      <c r="E618" s="18" t="str">
        <f>HYPERLINK("#'Data'!A4570", "Households reportedly experiencing issues while storing food broken down by displacement status of HoH on the admin of overall perc")</f>
        <v>Households reportedly experiencing issues while storing food broken down by displacement status of HoH on the admin of overall perc</v>
      </c>
    </row>
    <row r="619" spans="2:5" ht="15.6" hidden="1">
      <c r="B619" s="16" t="s">
        <v>88</v>
      </c>
      <c r="C619" s="17" t="s">
        <v>128</v>
      </c>
      <c r="D619" s="24">
        <v>1002</v>
      </c>
      <c r="E619" s="18" t="str">
        <f>HYPERLINK("#'Data'!A4579", "Households reportedly experiencing issues while storing food broken down by household size on the admin of overall perc")</f>
        <v>Households reportedly experiencing issues while storing food broken down by household size on the admin of overall perc</v>
      </c>
    </row>
    <row r="620" spans="2:5" ht="15.6" hidden="1">
      <c r="B620" s="16" t="s">
        <v>88</v>
      </c>
      <c r="C620" s="17" t="s">
        <v>128</v>
      </c>
      <c r="D620" s="24">
        <v>1003</v>
      </c>
      <c r="E620" s="18" t="str">
        <f>HYPERLINK("#'Data'!A4586", "Households reportedly experiencing issues while storing food broken down by single/joint headed HHs on the admin of overall perc")</f>
        <v>Households reportedly experiencing issues while storing food broken down by single/joint headed HHs on the admin of overall perc</v>
      </c>
    </row>
    <row r="621" spans="2:5" ht="15.6" hidden="1">
      <c r="B621" s="16" t="s">
        <v>88</v>
      </c>
      <c r="C621" s="17" t="s">
        <v>129</v>
      </c>
      <c r="D621" s="24">
        <v>1005</v>
      </c>
      <c r="E621" s="18" t="str">
        <f>HYPERLINK("#'Data'!A4593", "Households reportedly experiencing issues with electricity broken down by rural / urban on the admin of overall perc")</f>
        <v>Households reportedly experiencing issues with electricity broken down by rural / urban on the admin of overall perc</v>
      </c>
    </row>
    <row r="622" spans="2:5" ht="15.6" hidden="1">
      <c r="B622" s="16" t="s">
        <v>88</v>
      </c>
      <c r="C622" s="17" t="s">
        <v>129</v>
      </c>
      <c r="D622" s="24">
        <v>1006</v>
      </c>
      <c r="E622" s="18" t="str">
        <f>HYPERLINK("#'Data'!A4599", "Households reportedly experiencing issues with electricity broken down by proximity to the Frontline / Russian border on the admin of overall perc")</f>
        <v>Households reportedly experiencing issues with electricity broken down by proximity to the Frontline / Russian border on the admin of overall perc</v>
      </c>
    </row>
    <row r="623" spans="2:5" ht="15.6" hidden="1">
      <c r="B623" s="16" t="s">
        <v>88</v>
      </c>
      <c r="C623" s="17" t="s">
        <v>129</v>
      </c>
      <c r="D623" s="24">
        <v>1007</v>
      </c>
      <c r="E623" s="18" t="str">
        <f>HYPERLINK("#'Data'!A4606", "Households reportedly experiencing issues with electricity broken down by member with WGSS disability on the admin of overall perc")</f>
        <v>Households reportedly experiencing issues with electricity broken down by member with WGSS disability on the admin of overall perc</v>
      </c>
    </row>
    <row r="624" spans="2:5" ht="15.6" hidden="1">
      <c r="B624" s="16" t="s">
        <v>88</v>
      </c>
      <c r="C624" s="17" t="s">
        <v>129</v>
      </c>
      <c r="D624" s="24">
        <v>1008</v>
      </c>
      <c r="E624" s="18" t="str">
        <f>HYPERLINK("#'Data'!A4612", "Households reportedly experiencing issues with electricity broken down by displacement status of HoH on the admin of overall perc")</f>
        <v>Households reportedly experiencing issues with electricity broken down by displacement status of HoH on the admin of overall perc</v>
      </c>
    </row>
    <row r="625" spans="2:5" ht="15.6" hidden="1">
      <c r="B625" s="16" t="s">
        <v>88</v>
      </c>
      <c r="C625" s="17" t="s">
        <v>129</v>
      </c>
      <c r="D625" s="24">
        <v>1009</v>
      </c>
      <c r="E625" s="18" t="str">
        <f>HYPERLINK("#'Data'!A4621", "Households reportedly experiencing issues with electricity broken down by household size on the admin of overall perc")</f>
        <v>Households reportedly experiencing issues with electricity broken down by household size on the admin of overall perc</v>
      </c>
    </row>
    <row r="626" spans="2:5" ht="15.6" hidden="1">
      <c r="B626" s="16" t="s">
        <v>88</v>
      </c>
      <c r="C626" s="17" t="s">
        <v>129</v>
      </c>
      <c r="D626" s="24">
        <v>1010</v>
      </c>
      <c r="E626" s="18" t="str">
        <f>HYPERLINK("#'Data'!A4628", "Households reportedly experiencing issues with electricity broken down by single/joint headed HHs on the admin of overall perc")</f>
        <v>Households reportedly experiencing issues with electricity broken down by single/joint headed HHs on the admin of overall perc</v>
      </c>
    </row>
    <row r="627" spans="2:5" ht="15.6" hidden="1">
      <c r="B627" s="16" t="s">
        <v>88</v>
      </c>
      <c r="C627" s="17" t="s">
        <v>130</v>
      </c>
      <c r="D627" s="24">
        <v>1012</v>
      </c>
      <c r="E627" s="18" t="str">
        <f>HYPERLINK("#'Data'!A4635", "Households reportedly experiencing utility interruptions broken down by rural / urban on the admin of overall perc")</f>
        <v>Households reportedly experiencing utility interruptions broken down by rural / urban on the admin of overall perc</v>
      </c>
    </row>
    <row r="628" spans="2:5" ht="15.6" hidden="1">
      <c r="B628" s="16" t="s">
        <v>88</v>
      </c>
      <c r="C628" s="17" t="s">
        <v>130</v>
      </c>
      <c r="D628" s="24">
        <v>1013</v>
      </c>
      <c r="E628" s="18" t="str">
        <f>HYPERLINK("#'Data'!A4641", "Households reportedly experiencing utility interruptions broken down by proximity to the Frontline / Russian border on the admin of overall perc")</f>
        <v>Households reportedly experiencing utility interruptions broken down by proximity to the Frontline / Russian border on the admin of overall perc</v>
      </c>
    </row>
    <row r="629" spans="2:5" ht="15.6" hidden="1">
      <c r="B629" s="16" t="s">
        <v>88</v>
      </c>
      <c r="C629" s="17" t="s">
        <v>130</v>
      </c>
      <c r="D629" s="24">
        <v>1014</v>
      </c>
      <c r="E629" s="18" t="str">
        <f>HYPERLINK("#'Data'!A4648", "Households reportedly experiencing utility interruptions broken down by member with WGSS disability on the admin of overall perc")</f>
        <v>Households reportedly experiencing utility interruptions broken down by member with WGSS disability on the admin of overall perc</v>
      </c>
    </row>
    <row r="630" spans="2:5" ht="15.6" hidden="1">
      <c r="B630" s="16" t="s">
        <v>88</v>
      </c>
      <c r="C630" s="17" t="s">
        <v>130</v>
      </c>
      <c r="D630" s="24">
        <v>1015</v>
      </c>
      <c r="E630" s="18" t="str">
        <f>HYPERLINK("#'Data'!A4654", "Households reportedly experiencing utility interruptions broken down by displacement status of HoH on the admin of overall perc")</f>
        <v>Households reportedly experiencing utility interruptions broken down by displacement status of HoH on the admin of overall perc</v>
      </c>
    </row>
    <row r="631" spans="2:5" ht="15.6" hidden="1">
      <c r="B631" s="16" t="s">
        <v>88</v>
      </c>
      <c r="C631" s="17" t="s">
        <v>130</v>
      </c>
      <c r="D631" s="24">
        <v>1016</v>
      </c>
      <c r="E631" s="18" t="str">
        <f>HYPERLINK("#'Data'!A4663", "Households reportedly experiencing utility interruptions broken down by household size on the admin of overall perc")</f>
        <v>Households reportedly experiencing utility interruptions broken down by household size on the admin of overall perc</v>
      </c>
    </row>
    <row r="632" spans="2:5" ht="15.6" hidden="1">
      <c r="B632" s="16" t="s">
        <v>88</v>
      </c>
      <c r="C632" s="17" t="s">
        <v>130</v>
      </c>
      <c r="D632" s="24">
        <v>1017</v>
      </c>
      <c r="E632" s="18" t="str">
        <f>HYPERLINK("#'Data'!A4670", "Households reportedly experiencing utility interruptions broken down by single/joint headed HHs on the admin of overall perc")</f>
        <v>Households reportedly experiencing utility interruptions broken down by single/joint headed HHs on the admin of overall perc</v>
      </c>
    </row>
    <row r="633" spans="2:5" ht="15.6" hidden="1">
      <c r="B633" s="16" t="s">
        <v>88</v>
      </c>
      <c r="C633" s="17" t="s">
        <v>131</v>
      </c>
      <c r="D633" s="24">
        <v>1019</v>
      </c>
      <c r="E633" s="18" t="str">
        <f>HYPERLINK("#'Data'!A4677", "Households reportedly having alternative energy sources  broken down by rural / urban on the admin of overall perc")</f>
        <v>Households reportedly having alternative energy sources  broken down by rural / urban on the admin of overall perc</v>
      </c>
    </row>
    <row r="634" spans="2:5" ht="15.6" hidden="1">
      <c r="B634" s="16" t="s">
        <v>88</v>
      </c>
      <c r="C634" s="17" t="s">
        <v>131</v>
      </c>
      <c r="D634" s="24">
        <v>1020</v>
      </c>
      <c r="E634" s="18" t="str">
        <f>HYPERLINK("#'Data'!A4683", "Households reportedly having alternative energy sources  broken down by proximity to the Frontline / Russian border on the admin of overall perc")</f>
        <v>Households reportedly having alternative energy sources  broken down by proximity to the Frontline / Russian border on the admin of overall perc</v>
      </c>
    </row>
    <row r="635" spans="2:5" ht="15.6" hidden="1">
      <c r="B635" s="16" t="s">
        <v>88</v>
      </c>
      <c r="C635" s="17" t="s">
        <v>131</v>
      </c>
      <c r="D635" s="24">
        <v>1021</v>
      </c>
      <c r="E635" s="18" t="str">
        <f>HYPERLINK("#'Data'!A4690", "Households reportedly having alternative energy sources  broken down by member with WGSS disability on the admin of overall perc")</f>
        <v>Households reportedly having alternative energy sources  broken down by member with WGSS disability on the admin of overall perc</v>
      </c>
    </row>
    <row r="636" spans="2:5" ht="15.6" hidden="1">
      <c r="B636" s="16" t="s">
        <v>88</v>
      </c>
      <c r="C636" s="17" t="s">
        <v>131</v>
      </c>
      <c r="D636" s="24">
        <v>1022</v>
      </c>
      <c r="E636" s="18" t="str">
        <f>HYPERLINK("#'Data'!A4696", "Households reportedly having alternative energy sources  broken down by displacement status of HoH on the admin of overall perc")</f>
        <v>Households reportedly having alternative energy sources  broken down by displacement status of HoH on the admin of overall perc</v>
      </c>
    </row>
    <row r="637" spans="2:5" ht="15.6" hidden="1">
      <c r="B637" s="16" t="s">
        <v>88</v>
      </c>
      <c r="C637" s="17" t="s">
        <v>131</v>
      </c>
      <c r="D637" s="24">
        <v>1023</v>
      </c>
      <c r="E637" s="18" t="str">
        <f>HYPERLINK("#'Data'!A4705", "Households reportedly having alternative energy sources  broken down by household size on the admin of overall perc")</f>
        <v>Households reportedly having alternative energy sources  broken down by household size on the admin of overall perc</v>
      </c>
    </row>
    <row r="638" spans="2:5" ht="15.6" hidden="1">
      <c r="B638" s="16" t="s">
        <v>88</v>
      </c>
      <c r="C638" s="17" t="s">
        <v>131</v>
      </c>
      <c r="D638" s="24">
        <v>1024</v>
      </c>
      <c r="E638" s="18" t="str">
        <f>HYPERLINK("#'Data'!A4712", "Households reportedly having alternative energy sources  broken down by single/joint headed HHs on the admin of overall perc")</f>
        <v>Households reportedly having alternative energy sources  broken down by single/joint headed HHs on the admin of overall perc</v>
      </c>
    </row>
    <row r="639" spans="2:5" ht="15.6" hidden="1">
      <c r="B639" s="16" t="s">
        <v>88</v>
      </c>
      <c r="C639" s="17" t="s">
        <v>132</v>
      </c>
      <c r="D639" s="24">
        <v>1026</v>
      </c>
      <c r="E639" s="18" t="str">
        <f>HYPERLINK("#'Data'!A4719", "Households reportedly having access to the Internet broken down by rural / urban on the admin of overall perc")</f>
        <v>Households reportedly having access to the Internet broken down by rural / urban on the admin of overall perc</v>
      </c>
    </row>
    <row r="640" spans="2:5" ht="15.6" hidden="1">
      <c r="B640" s="16" t="s">
        <v>88</v>
      </c>
      <c r="C640" s="17" t="s">
        <v>132</v>
      </c>
      <c r="D640" s="24">
        <v>1027</v>
      </c>
      <c r="E640" s="18" t="str">
        <f>HYPERLINK("#'Data'!A4725", "Households reportedly having access to the Internet broken down by proximity to the Frontline / Russian border on the admin of overall perc")</f>
        <v>Households reportedly having access to the Internet broken down by proximity to the Frontline / Russian border on the admin of overall perc</v>
      </c>
    </row>
    <row r="641" spans="2:5" ht="15.6" hidden="1">
      <c r="B641" s="16" t="s">
        <v>88</v>
      </c>
      <c r="C641" s="17" t="s">
        <v>132</v>
      </c>
      <c r="D641" s="24">
        <v>1028</v>
      </c>
      <c r="E641" s="18" t="str">
        <f>HYPERLINK("#'Data'!A4732", "Households reportedly having access to the Internet broken down by member with WGSS disability on the admin of overall perc")</f>
        <v>Households reportedly having access to the Internet broken down by member with WGSS disability on the admin of overall perc</v>
      </c>
    </row>
    <row r="642" spans="2:5" ht="15.6" hidden="1">
      <c r="B642" s="16" t="s">
        <v>88</v>
      </c>
      <c r="C642" s="17" t="s">
        <v>132</v>
      </c>
      <c r="D642" s="24">
        <v>1029</v>
      </c>
      <c r="E642" s="18" t="str">
        <f>HYPERLINK("#'Data'!A4738", "Households reportedly having access to the Internet broken down by displacement status of HoH on the admin of overall perc")</f>
        <v>Households reportedly having access to the Internet broken down by displacement status of HoH on the admin of overall perc</v>
      </c>
    </row>
    <row r="643" spans="2:5" ht="15.6" hidden="1">
      <c r="B643" s="16" t="s">
        <v>88</v>
      </c>
      <c r="C643" s="17" t="s">
        <v>132</v>
      </c>
      <c r="D643" s="24">
        <v>1030</v>
      </c>
      <c r="E643" s="18" t="str">
        <f>HYPERLINK("#'Data'!A4747", "Households reportedly having access to the Internet broken down by household size on the admin of overall perc")</f>
        <v>Households reportedly having access to the Internet broken down by household size on the admin of overall perc</v>
      </c>
    </row>
    <row r="644" spans="2:5" ht="15.6" hidden="1">
      <c r="B644" s="16" t="s">
        <v>88</v>
      </c>
      <c r="C644" s="17" t="s">
        <v>132</v>
      </c>
      <c r="D644" s="24">
        <v>1031</v>
      </c>
      <c r="E644" s="18" t="str">
        <f>HYPERLINK("#'Data'!A4754", "Households reportedly having access to the Internet broken down by single/joint headed HHs on the admin of overall perc")</f>
        <v>Households reportedly having access to the Internet broken down by single/joint headed HHs on the admin of overall perc</v>
      </c>
    </row>
    <row r="645" spans="2:5" ht="15.6" hidden="1">
      <c r="B645" s="16" t="s">
        <v>88</v>
      </c>
      <c r="C645" s="17" t="s">
        <v>133</v>
      </c>
      <c r="D645" s="24">
        <v>1033</v>
      </c>
      <c r="E645" s="18" t="str">
        <f>HYPERLINK("#'Data'!A4761", "Households reporting main source of access to the Internet broken down by rural / urban on the admin of overall perc")</f>
        <v>Households reporting main source of access to the Internet broken down by rural / urban on the admin of overall perc</v>
      </c>
    </row>
    <row r="646" spans="2:5" ht="15.6" hidden="1">
      <c r="B646" s="16" t="s">
        <v>88</v>
      </c>
      <c r="C646" s="17" t="s">
        <v>133</v>
      </c>
      <c r="D646" s="24">
        <v>1034</v>
      </c>
      <c r="E646" s="18" t="str">
        <f>HYPERLINK("#'Data'!A4767", "Households reporting main source of access to the Internet broken down by proximity to the Frontline / Russian border on the admin of overall perc")</f>
        <v>Households reporting main source of access to the Internet broken down by proximity to the Frontline / Russian border on the admin of overall perc</v>
      </c>
    </row>
    <row r="647" spans="2:5" ht="15.6" hidden="1">
      <c r="B647" s="16" t="s">
        <v>88</v>
      </c>
      <c r="C647" s="17" t="s">
        <v>133</v>
      </c>
      <c r="D647" s="24">
        <v>1035</v>
      </c>
      <c r="E647" s="18" t="str">
        <f>HYPERLINK("#'Data'!A4774", "Households reporting main source of access to the Internet broken down by member with WGSS disability on the admin of overall perc")</f>
        <v>Households reporting main source of access to the Internet broken down by member with WGSS disability on the admin of overall perc</v>
      </c>
    </row>
    <row r="648" spans="2:5" ht="15.6" hidden="1">
      <c r="B648" s="16" t="s">
        <v>88</v>
      </c>
      <c r="C648" s="17" t="s">
        <v>133</v>
      </c>
      <c r="D648" s="24">
        <v>1036</v>
      </c>
      <c r="E648" s="18" t="str">
        <f>HYPERLINK("#'Data'!A4780", "Households reporting main source of access to the Internet broken down by displacement status of HoH on the admin of overall perc")</f>
        <v>Households reporting main source of access to the Internet broken down by displacement status of HoH on the admin of overall perc</v>
      </c>
    </row>
    <row r="649" spans="2:5" ht="15.6" hidden="1">
      <c r="B649" s="16" t="s">
        <v>88</v>
      </c>
      <c r="C649" s="17" t="s">
        <v>133</v>
      </c>
      <c r="D649" s="24">
        <v>1037</v>
      </c>
      <c r="E649" s="18" t="str">
        <f>HYPERLINK("#'Data'!A4789", "Households reporting main source of access to the Internet broken down by household size on the admin of overall perc")</f>
        <v>Households reporting main source of access to the Internet broken down by household size on the admin of overall perc</v>
      </c>
    </row>
    <row r="650" spans="2:5" ht="15.6" hidden="1">
      <c r="B650" s="16" t="s">
        <v>88</v>
      </c>
      <c r="C650" s="17" t="s">
        <v>133</v>
      </c>
      <c r="D650" s="24">
        <v>1038</v>
      </c>
      <c r="E650" s="18" t="str">
        <f>HYPERLINK("#'Data'!A4796", "Households reporting main source of access to the Internet broken down by single/joint headed HHs on the admin of overall perc")</f>
        <v>Households reporting main source of access to the Internet broken down by single/joint headed HHs on the admin of overall perc</v>
      </c>
    </row>
    <row r="651" spans="2:5" ht="15.6" hidden="1">
      <c r="B651" s="16" t="s">
        <v>88</v>
      </c>
      <c r="C651" s="17" t="s">
        <v>134</v>
      </c>
      <c r="D651" s="24">
        <v>1040</v>
      </c>
      <c r="E651" s="18" t="str">
        <f>HYPERLINK("#'Data'!A4803", "Households reporting distance to the nearest bomb shelter broken down by rural / urban on the admin of overall perc")</f>
        <v>Households reporting distance to the nearest bomb shelter broken down by rural / urban on the admin of overall perc</v>
      </c>
    </row>
    <row r="652" spans="2:5" ht="15.6" hidden="1">
      <c r="B652" s="16" t="s">
        <v>88</v>
      </c>
      <c r="C652" s="17" t="s">
        <v>134</v>
      </c>
      <c r="D652" s="24">
        <v>1041</v>
      </c>
      <c r="E652" s="18" t="str">
        <f>HYPERLINK("#'Data'!A4809", "Households reporting distance to the nearest bomb shelter broken down by proximity to the Frontline / Russian border on the admin of overall perc")</f>
        <v>Households reporting distance to the nearest bomb shelter broken down by proximity to the Frontline / Russian border on the admin of overall perc</v>
      </c>
    </row>
    <row r="653" spans="2:5" ht="15.6" hidden="1">
      <c r="B653" s="16" t="s">
        <v>88</v>
      </c>
      <c r="C653" s="17" t="s">
        <v>134</v>
      </c>
      <c r="D653" s="24">
        <v>1042</v>
      </c>
      <c r="E653" s="18" t="str">
        <f>HYPERLINK("#'Data'!A4816", "Households reporting distance to the nearest bomb shelter broken down by member with WGSS disability on the admin of overall perc")</f>
        <v>Households reporting distance to the nearest bomb shelter broken down by member with WGSS disability on the admin of overall perc</v>
      </c>
    </row>
    <row r="654" spans="2:5" ht="15.6" hidden="1">
      <c r="B654" s="16" t="s">
        <v>88</v>
      </c>
      <c r="C654" s="17" t="s">
        <v>134</v>
      </c>
      <c r="D654" s="24">
        <v>1043</v>
      </c>
      <c r="E654" s="18" t="str">
        <f>HYPERLINK("#'Data'!A4822", "Households reporting distance to the nearest bomb shelter broken down by displacement status of HoH on the admin of overall perc")</f>
        <v>Households reporting distance to the nearest bomb shelter broken down by displacement status of HoH on the admin of overall perc</v>
      </c>
    </row>
    <row r="655" spans="2:5" ht="15.6" hidden="1">
      <c r="B655" s="16" t="s">
        <v>88</v>
      </c>
      <c r="C655" s="17" t="s">
        <v>134</v>
      </c>
      <c r="D655" s="24">
        <v>1044</v>
      </c>
      <c r="E655" s="18" t="str">
        <f>HYPERLINK("#'Data'!A4831", "Households reporting distance to the nearest bomb shelter broken down by household size on the admin of overall perc")</f>
        <v>Households reporting distance to the nearest bomb shelter broken down by household size on the admin of overall perc</v>
      </c>
    </row>
    <row r="656" spans="2:5" ht="15.6" hidden="1">
      <c r="B656" s="16" t="s">
        <v>88</v>
      </c>
      <c r="C656" s="17" t="s">
        <v>134</v>
      </c>
      <c r="D656" s="24">
        <v>1045</v>
      </c>
      <c r="E656" s="18" t="str">
        <f>HYPERLINK("#'Data'!A4838", "Households reporting distance to the nearest bomb shelter broken down by single/joint headed HHs on the admin of overall perc")</f>
        <v>Households reporting distance to the nearest bomb shelter broken down by single/joint headed HHs on the admin of overall perc</v>
      </c>
    </row>
    <row r="657" spans="2:5" ht="15.6" hidden="1">
      <c r="B657" s="16" t="s">
        <v>88</v>
      </c>
      <c r="C657" s="17" t="s">
        <v>135</v>
      </c>
      <c r="D657" s="24">
        <v>1047</v>
      </c>
      <c r="E657" s="18" t="str">
        <f>HYPERLINK("#'Data'!A4845", "Households reporting damage to the shelter in their area of origin (for IDP members) broken down by rural / urban on the admin of overall perc")</f>
        <v>Households reporting damage to the shelter in their area of origin (for IDP members) broken down by rural / urban on the admin of overall perc</v>
      </c>
    </row>
    <row r="658" spans="2:5" ht="15.6" hidden="1">
      <c r="B658" s="16" t="s">
        <v>88</v>
      </c>
      <c r="C658" s="17" t="s">
        <v>135</v>
      </c>
      <c r="D658" s="24">
        <v>1048</v>
      </c>
      <c r="E658" s="18" t="str">
        <f>HYPERLINK("#'Data'!A4851", "Households reporting damage to the shelter in their area of origin (for IDP members) broken down by proximity to the Frontline / Russian border on ...")</f>
        <v>Households reporting damage to the shelter in their area of origin (for IDP members) broken down by proximity to the Frontline / Russian border on ...</v>
      </c>
    </row>
    <row r="659" spans="2:5" ht="15.6" hidden="1">
      <c r="B659" s="16" t="s">
        <v>88</v>
      </c>
      <c r="C659" s="17" t="s">
        <v>135</v>
      </c>
      <c r="D659" s="24">
        <v>1049</v>
      </c>
      <c r="E659" s="18" t="str">
        <f>HYPERLINK("#'Data'!A4858", "Households reporting damage to the shelter in their area of origin (for IDP members) broken down by member with WGSS disability on the admin of ove...")</f>
        <v>Households reporting damage to the shelter in their area of origin (for IDP members) broken down by member with WGSS disability on the admin of ove...</v>
      </c>
    </row>
    <row r="660" spans="2:5" ht="15.6" hidden="1">
      <c r="B660" s="16" t="s">
        <v>88</v>
      </c>
      <c r="C660" s="17" t="s">
        <v>135</v>
      </c>
      <c r="D660" s="24">
        <v>1050</v>
      </c>
      <c r="E660" s="18" t="str">
        <f>HYPERLINK("#'Data'!A4864", "Households reporting damage to the shelter in their area of origin (for IDP members) broken down by displacement status of HoH on the admin of over...")</f>
        <v>Households reporting damage to the shelter in their area of origin (for IDP members) broken down by displacement status of HoH on the admin of over...</v>
      </c>
    </row>
    <row r="661" spans="2:5" ht="15.6" hidden="1">
      <c r="B661" s="16" t="s">
        <v>88</v>
      </c>
      <c r="C661" s="17" t="s">
        <v>135</v>
      </c>
      <c r="D661" s="24">
        <v>1051</v>
      </c>
      <c r="E661" s="18" t="str">
        <f>HYPERLINK("#'Data'!A4873", "Households reporting damage to the shelter in their area of origin (for IDP members) broken down by household size on the admin of overall perc")</f>
        <v>Households reporting damage to the shelter in their area of origin (for IDP members) broken down by household size on the admin of overall perc</v>
      </c>
    </row>
    <row r="662" spans="2:5" ht="15.6" hidden="1">
      <c r="B662" s="16" t="s">
        <v>88</v>
      </c>
      <c r="C662" s="17" t="s">
        <v>135</v>
      </c>
      <c r="D662" s="24">
        <v>1052</v>
      </c>
      <c r="E662" s="18" t="str">
        <f>HYPERLINK("#'Data'!A4880", "Households reporting damage to the shelter in their area of origin (for IDP members) broken down by single/joint headed HHs on the admin of overall...")</f>
        <v>Households reporting damage to the shelter in their area of origin (for IDP members) broken down by single/joint headed HHs on the admin of overall...</v>
      </c>
    </row>
    <row r="663" spans="2:5" ht="15.6" hidden="1">
      <c r="B663" s="16" t="s">
        <v>88</v>
      </c>
      <c r="C663" s="17" t="s">
        <v>136</v>
      </c>
      <c r="D663" s="24">
        <v>1054</v>
      </c>
      <c r="E663" s="18" t="str">
        <f>HYPERLINK("#'Data'!A4887", "Households assessing shelter damage in their shelter in area of origin broken down by rural / urban on the admin of overall perc")</f>
        <v>Households assessing shelter damage in their shelter in area of origin broken down by rural / urban on the admin of overall perc</v>
      </c>
    </row>
    <row r="664" spans="2:5" ht="15.6" hidden="1">
      <c r="B664" s="16" t="s">
        <v>88</v>
      </c>
      <c r="C664" s="17" t="s">
        <v>136</v>
      </c>
      <c r="D664" s="24">
        <v>1055</v>
      </c>
      <c r="E664" s="18" t="str">
        <f>HYPERLINK("#'Data'!A4893", "Households assessing shelter damage in their shelter in area of origin broken down by proximity to the Frontline / Russian border on the admin of o...")</f>
        <v>Households assessing shelter damage in their shelter in area of origin broken down by proximity to the Frontline / Russian border on the admin of o...</v>
      </c>
    </row>
    <row r="665" spans="2:5" ht="15.6" hidden="1">
      <c r="B665" s="16" t="s">
        <v>88</v>
      </c>
      <c r="C665" s="17" t="s">
        <v>136</v>
      </c>
      <c r="D665" s="24">
        <v>1056</v>
      </c>
      <c r="E665" s="18" t="str">
        <f>HYPERLINK("#'Data'!A4900", "Households assessing shelter damage in their shelter in area of origin broken down by member with WGSS disability on the admin of overall perc")</f>
        <v>Households assessing shelter damage in their shelter in area of origin broken down by member with WGSS disability on the admin of overall perc</v>
      </c>
    </row>
    <row r="666" spans="2:5" ht="15.6" hidden="1">
      <c r="B666" s="16" t="s">
        <v>88</v>
      </c>
      <c r="C666" s="17" t="s">
        <v>136</v>
      </c>
      <c r="D666" s="24">
        <v>1057</v>
      </c>
      <c r="E666" s="18" t="str">
        <f>HYPERLINK("#'Data'!A4906", "Households assessing shelter damage in their shelter in area of origin broken down by displacement status of HoH on the admin of overall perc")</f>
        <v>Households assessing shelter damage in their shelter in area of origin broken down by displacement status of HoH on the admin of overall perc</v>
      </c>
    </row>
    <row r="667" spans="2:5" ht="15.6" hidden="1">
      <c r="B667" s="16" t="s">
        <v>88</v>
      </c>
      <c r="C667" s="17" t="s">
        <v>136</v>
      </c>
      <c r="D667" s="24">
        <v>1058</v>
      </c>
      <c r="E667" s="18" t="str">
        <f>HYPERLINK("#'Data'!A4915", "Households assessing shelter damage in their shelter in area of origin broken down by household size on the admin of overall perc")</f>
        <v>Households assessing shelter damage in their shelter in area of origin broken down by household size on the admin of overall perc</v>
      </c>
    </row>
    <row r="668" spans="2:5" ht="15.6" hidden="1">
      <c r="B668" s="16" t="s">
        <v>88</v>
      </c>
      <c r="C668" s="17" t="s">
        <v>136</v>
      </c>
      <c r="D668" s="24">
        <v>1059</v>
      </c>
      <c r="E668" s="18" t="str">
        <f>HYPERLINK("#'Data'!A4922", "Households assessing shelter damage in their shelter in area of origin broken down by single/joint headed HHs on the admin of overall perc")</f>
        <v>Households assessing shelter damage in their shelter in area of origin broken down by single/joint headed HHs on the admin of overall perc</v>
      </c>
    </row>
    <row r="669" spans="2:5" ht="15.6" hidden="1">
      <c r="B669" s="16" t="s">
        <v>137</v>
      </c>
      <c r="C669" s="17" t="s">
        <v>138</v>
      </c>
      <c r="D669" s="24">
        <v>1061</v>
      </c>
      <c r="E669" s="18" t="str">
        <f>HYPERLINK("#'Data'!A4929", "Households reporting their main source of drinking water broken down by rural / urban on the admin of overall perc")</f>
        <v>Households reporting their main source of drinking water broken down by rural / urban on the admin of overall perc</v>
      </c>
    </row>
    <row r="670" spans="2:5" ht="15.6" hidden="1">
      <c r="B670" s="16" t="s">
        <v>137</v>
      </c>
      <c r="C670" s="17" t="s">
        <v>138</v>
      </c>
      <c r="D670" s="24">
        <v>1062</v>
      </c>
      <c r="E670" s="18" t="str">
        <f>HYPERLINK("#'Data'!A4935", "Households reporting their main source of drinking water broken down by proximity to the Frontline / Russian border on the admin of overall perc")</f>
        <v>Households reporting their main source of drinking water broken down by proximity to the Frontline / Russian border on the admin of overall perc</v>
      </c>
    </row>
    <row r="671" spans="2:5" ht="15.6" hidden="1">
      <c r="B671" s="16" t="s">
        <v>137</v>
      </c>
      <c r="C671" s="17" t="s">
        <v>138</v>
      </c>
      <c r="D671" s="24">
        <v>1063</v>
      </c>
      <c r="E671" s="18" t="str">
        <f>HYPERLINK("#'Data'!A4942", "Households reporting their main source of drinking water broken down by member with WGSS disability on the admin of overall perc")</f>
        <v>Households reporting their main source of drinking water broken down by member with WGSS disability on the admin of overall perc</v>
      </c>
    </row>
    <row r="672" spans="2:5" ht="15.6" hidden="1">
      <c r="B672" s="16" t="s">
        <v>137</v>
      </c>
      <c r="C672" s="17" t="s">
        <v>138</v>
      </c>
      <c r="D672" s="24">
        <v>1064</v>
      </c>
      <c r="E672" s="18" t="str">
        <f>HYPERLINK("#'Data'!A4948", "Households reporting their main source of drinking water broken down by displacement status of HoH on the admin of overall perc")</f>
        <v>Households reporting their main source of drinking water broken down by displacement status of HoH on the admin of overall perc</v>
      </c>
    </row>
    <row r="673" spans="2:5" ht="15.6" hidden="1">
      <c r="B673" s="16" t="s">
        <v>137</v>
      </c>
      <c r="C673" s="17" t="s">
        <v>138</v>
      </c>
      <c r="D673" s="24">
        <v>1065</v>
      </c>
      <c r="E673" s="18" t="str">
        <f>HYPERLINK("#'Data'!A4957", "Households reporting their main source of drinking water broken down by household size on the admin of overall perc")</f>
        <v>Households reporting their main source of drinking water broken down by household size on the admin of overall perc</v>
      </c>
    </row>
    <row r="674" spans="2:5" ht="15.6" hidden="1">
      <c r="B674" s="16" t="s">
        <v>137</v>
      </c>
      <c r="C674" s="17" t="s">
        <v>138</v>
      </c>
      <c r="D674" s="24">
        <v>1066</v>
      </c>
      <c r="E674" s="18" t="str">
        <f>HYPERLINK("#'Data'!A4964", "Households reporting their main source of drinking water broken down by single/joint headed HHs on the admin of overall perc")</f>
        <v>Households reporting their main source of drinking water broken down by single/joint headed HHs on the admin of overall perc</v>
      </c>
    </row>
    <row r="675" spans="2:5" ht="15.6" hidden="1">
      <c r="B675" s="16" t="s">
        <v>137</v>
      </c>
      <c r="C675" s="17" t="s">
        <v>139</v>
      </c>
      <c r="D675" s="24">
        <v>1068</v>
      </c>
      <c r="E675" s="18" t="str">
        <f>HYPERLINK("#'Data'!A4971", "Time reported by Households to Fetch Water from Main Source of Water used for Drinking overall broken down by rural / urban on the admin of overall...")</f>
        <v>Time reported by Households to Fetch Water from Main Source of Water used for Drinking overall broken down by rural / urban on the admin of overall...</v>
      </c>
    </row>
    <row r="676" spans="2:5" ht="15.6" hidden="1">
      <c r="B676" s="16" t="s">
        <v>137</v>
      </c>
      <c r="C676" s="17" t="s">
        <v>139</v>
      </c>
      <c r="D676" s="24">
        <v>1069</v>
      </c>
      <c r="E676" s="18" t="str">
        <f>HYPERLINK("#'Data'!A4977", "Time reported by Households to Fetch Water from Main Source of Water used for Drinking overall broken down by proximity to the Frontline / Russian ...")</f>
        <v>Time reported by Households to Fetch Water from Main Source of Water used for Drinking overall broken down by proximity to the Frontline / Russian ...</v>
      </c>
    </row>
    <row r="677" spans="2:5" ht="15.6" hidden="1">
      <c r="B677" s="16" t="s">
        <v>137</v>
      </c>
      <c r="C677" s="17" t="s">
        <v>139</v>
      </c>
      <c r="D677" s="24">
        <v>1070</v>
      </c>
      <c r="E677" s="18" t="str">
        <f>HYPERLINK("#'Data'!A4984", "Time reported by Households to Fetch Water from Main Source of Water used for Drinking overall broken down by member with WGSS disability on the ad...")</f>
        <v>Time reported by Households to Fetch Water from Main Source of Water used for Drinking overall broken down by member with WGSS disability on the ad...</v>
      </c>
    </row>
    <row r="678" spans="2:5" ht="15.6" hidden="1">
      <c r="B678" s="16" t="s">
        <v>137</v>
      </c>
      <c r="C678" s="17" t="s">
        <v>139</v>
      </c>
      <c r="D678" s="24">
        <v>1071</v>
      </c>
      <c r="E678" s="18" t="str">
        <f>HYPERLINK("#'Data'!A4990", "Time reported by Households to Fetch Water from Main Source of Water used for Drinking overall broken down by displacement status of HoH on the adm...")</f>
        <v>Time reported by Households to Fetch Water from Main Source of Water used for Drinking overall broken down by displacement status of HoH on the adm...</v>
      </c>
    </row>
    <row r="679" spans="2:5" ht="15.6" hidden="1">
      <c r="B679" s="16" t="s">
        <v>137</v>
      </c>
      <c r="C679" s="17" t="s">
        <v>139</v>
      </c>
      <c r="D679" s="24">
        <v>1072</v>
      </c>
      <c r="E679" s="18" t="str">
        <f>HYPERLINK("#'Data'!A4999", "Time reported by Households to Fetch Water from Main Source of Water used for Drinking overall broken down by household size on the admin of overal...")</f>
        <v>Time reported by Households to Fetch Water from Main Source of Water used for Drinking overall broken down by household size on the admin of overal...</v>
      </c>
    </row>
    <row r="680" spans="2:5" ht="15.6" hidden="1">
      <c r="B680" s="16" t="s">
        <v>137</v>
      </c>
      <c r="C680" s="17" t="s">
        <v>139</v>
      </c>
      <c r="D680" s="24">
        <v>1073</v>
      </c>
      <c r="E680" s="18" t="str">
        <f>HYPERLINK("#'Data'!A5006", "Time reported by Households to Fetch Water from Main Source of Water used for Drinking overall broken down by single/joint headed HHs on the admin ...")</f>
        <v>Time reported by Households to Fetch Water from Main Source of Water used for Drinking overall broken down by single/joint headed HHs on the admin ...</v>
      </c>
    </row>
    <row r="681" spans="2:5" ht="15.6" hidden="1">
      <c r="B681" s="16" t="s">
        <v>137</v>
      </c>
      <c r="C681" s="17" t="s">
        <v>140</v>
      </c>
      <c r="D681" s="24">
        <v>1075</v>
      </c>
      <c r="E681" s="18" t="str">
        <f>HYPERLINK("#'Data'!A5013", "Households assessing drinking water from their main source broken down by rural / urban on the admin of overall perc")</f>
        <v>Households assessing drinking water from their main source broken down by rural / urban on the admin of overall perc</v>
      </c>
    </row>
    <row r="682" spans="2:5" ht="15.6" hidden="1">
      <c r="B682" s="16" t="s">
        <v>137</v>
      </c>
      <c r="C682" s="17" t="s">
        <v>140</v>
      </c>
      <c r="D682" s="24">
        <v>1076</v>
      </c>
      <c r="E682" s="18" t="str">
        <f>HYPERLINK("#'Data'!A5019", "Households assessing drinking water from their main source broken down by proximity to the Frontline / Russian border on the admin of overall perc")</f>
        <v>Households assessing drinking water from their main source broken down by proximity to the Frontline / Russian border on the admin of overall perc</v>
      </c>
    </row>
    <row r="683" spans="2:5" ht="15.6" hidden="1">
      <c r="B683" s="16" t="s">
        <v>137</v>
      </c>
      <c r="C683" s="17" t="s">
        <v>140</v>
      </c>
      <c r="D683" s="24">
        <v>1077</v>
      </c>
      <c r="E683" s="18" t="str">
        <f>HYPERLINK("#'Data'!A5026", "Households assessing drinking water from their main source broken down by member with WGSS disability on the admin of overall perc")</f>
        <v>Households assessing drinking water from their main source broken down by member with WGSS disability on the admin of overall perc</v>
      </c>
    </row>
    <row r="684" spans="2:5" ht="15.6" hidden="1">
      <c r="B684" s="16" t="s">
        <v>137</v>
      </c>
      <c r="C684" s="17" t="s">
        <v>140</v>
      </c>
      <c r="D684" s="24">
        <v>1078</v>
      </c>
      <c r="E684" s="18" t="str">
        <f>HYPERLINK("#'Data'!A5032", "Households assessing drinking water from their main source broken down by displacement status of HoH on the admin of overall perc")</f>
        <v>Households assessing drinking water from their main source broken down by displacement status of HoH on the admin of overall perc</v>
      </c>
    </row>
    <row r="685" spans="2:5" ht="15.6" hidden="1">
      <c r="B685" s="16" t="s">
        <v>137</v>
      </c>
      <c r="C685" s="17" t="s">
        <v>140</v>
      </c>
      <c r="D685" s="24">
        <v>1079</v>
      </c>
      <c r="E685" s="18" t="str">
        <f>HYPERLINK("#'Data'!A5041", "Households assessing drinking water from their main source broken down by household size on the admin of overall perc")</f>
        <v>Households assessing drinking water from their main source broken down by household size on the admin of overall perc</v>
      </c>
    </row>
    <row r="686" spans="2:5" ht="15.6" hidden="1">
      <c r="B686" s="16" t="s">
        <v>137</v>
      </c>
      <c r="C686" s="17" t="s">
        <v>140</v>
      </c>
      <c r="D686" s="24">
        <v>1080</v>
      </c>
      <c r="E686" s="18" t="str">
        <f>HYPERLINK("#'Data'!A5048", "Households assessing drinking water from their main source broken down by single/joint headed HHs on the admin of overall perc")</f>
        <v>Households assessing drinking water from their main source broken down by single/joint headed HHs on the admin of overall perc</v>
      </c>
    </row>
    <row r="687" spans="2:5" ht="15.6" hidden="1">
      <c r="B687" s="16" t="s">
        <v>137</v>
      </c>
      <c r="C687" s="17" t="s">
        <v>141</v>
      </c>
      <c r="D687" s="24">
        <v>1082</v>
      </c>
      <c r="E687" s="18" t="str">
        <f>HYPERLINK("#'Data'!A5055", "Households reportedly treating drinking water from their main source broken down by rural / urban on the admin of overall perc")</f>
        <v>Households reportedly treating drinking water from their main source broken down by rural / urban on the admin of overall perc</v>
      </c>
    </row>
    <row r="688" spans="2:5" ht="15.6" hidden="1">
      <c r="B688" s="16" t="s">
        <v>137</v>
      </c>
      <c r="C688" s="17" t="s">
        <v>141</v>
      </c>
      <c r="D688" s="24">
        <v>1083</v>
      </c>
      <c r="E688" s="18" t="str">
        <f>HYPERLINK("#'Data'!A5061", "Households reportedly treating drinking water from their main source broken down by proximity to the Frontline / Russian border on the admin of ove...")</f>
        <v>Households reportedly treating drinking water from their main source broken down by proximity to the Frontline / Russian border on the admin of ove...</v>
      </c>
    </row>
    <row r="689" spans="2:5" ht="15.6" hidden="1">
      <c r="B689" s="16" t="s">
        <v>137</v>
      </c>
      <c r="C689" s="17" t="s">
        <v>141</v>
      </c>
      <c r="D689" s="24">
        <v>1084</v>
      </c>
      <c r="E689" s="18" t="str">
        <f>HYPERLINK("#'Data'!A5068", "Households reportedly treating drinking water from their main source broken down by member with WGSS disability on the admin of overall perc")</f>
        <v>Households reportedly treating drinking water from their main source broken down by member with WGSS disability on the admin of overall perc</v>
      </c>
    </row>
    <row r="690" spans="2:5" ht="15.6" hidden="1">
      <c r="B690" s="16" t="s">
        <v>137</v>
      </c>
      <c r="C690" s="17" t="s">
        <v>141</v>
      </c>
      <c r="D690" s="24">
        <v>1085</v>
      </c>
      <c r="E690" s="18" t="str">
        <f>HYPERLINK("#'Data'!A5074", "Households reportedly treating drinking water from their main source broken down by displacement status of HoH on the admin of overall perc")</f>
        <v>Households reportedly treating drinking water from their main source broken down by displacement status of HoH on the admin of overall perc</v>
      </c>
    </row>
    <row r="691" spans="2:5" ht="15.6" hidden="1">
      <c r="B691" s="16" t="s">
        <v>137</v>
      </c>
      <c r="C691" s="17" t="s">
        <v>141</v>
      </c>
      <c r="D691" s="24">
        <v>1086</v>
      </c>
      <c r="E691" s="18" t="str">
        <f>HYPERLINK("#'Data'!A5083", "Households reportedly treating drinking water from their main source broken down by household size on the admin of overall perc")</f>
        <v>Households reportedly treating drinking water from their main source broken down by household size on the admin of overall perc</v>
      </c>
    </row>
    <row r="692" spans="2:5" ht="15.6" hidden="1">
      <c r="B692" s="16" t="s">
        <v>137</v>
      </c>
      <c r="C692" s="17" t="s">
        <v>141</v>
      </c>
      <c r="D692" s="24">
        <v>1087</v>
      </c>
      <c r="E692" s="18" t="str">
        <f>HYPERLINK("#'Data'!A5090", "Households reportedly treating drinking water from their main source broken down by single/joint headed HHs on the admin of overall perc")</f>
        <v>Households reportedly treating drinking water from their main source broken down by single/joint headed HHs on the admin of overall perc</v>
      </c>
    </row>
    <row r="693" spans="2:5" ht="15.6" hidden="1">
      <c r="B693" s="16" t="s">
        <v>137</v>
      </c>
      <c r="C693" s="17" t="s">
        <v>142</v>
      </c>
      <c r="D693" s="24">
        <v>1089</v>
      </c>
      <c r="E693" s="18" t="str">
        <f>HYPERLINK("#'Data'!A5097", "Households reporting days without sufficient drinking water in the last 4 weeks broken down by rural / urban on the admin of overall mean")</f>
        <v>Households reporting days without sufficient drinking water in the last 4 weeks broken down by rural / urban on the admin of overall mean</v>
      </c>
    </row>
    <row r="694" spans="2:5" ht="15.6" hidden="1">
      <c r="B694" s="16" t="s">
        <v>137</v>
      </c>
      <c r="C694" s="17" t="s">
        <v>142</v>
      </c>
      <c r="D694" s="24">
        <v>1090</v>
      </c>
      <c r="E694" s="18" t="str">
        <f>HYPERLINK("#'Data'!A5103", "Households reporting days without sufficient drinking water in the last 4 weeks broken down by proximity to the Frontline / Russian border on the a...")</f>
        <v>Households reporting days without sufficient drinking water in the last 4 weeks broken down by proximity to the Frontline / Russian border on the a...</v>
      </c>
    </row>
    <row r="695" spans="2:5" ht="15.6" hidden="1">
      <c r="B695" s="16" t="s">
        <v>137</v>
      </c>
      <c r="C695" s="17" t="s">
        <v>142</v>
      </c>
      <c r="D695" s="24">
        <v>1091</v>
      </c>
      <c r="E695" s="18" t="str">
        <f>HYPERLINK("#'Data'!A5110", "Households reporting days without sufficient drinking water in the last 4 weeks broken down by member with WGSS disability on the admin of overall ...")</f>
        <v>Households reporting days without sufficient drinking water in the last 4 weeks broken down by member with WGSS disability on the admin of overall ...</v>
      </c>
    </row>
    <row r="696" spans="2:5" ht="15.6" hidden="1">
      <c r="B696" s="16" t="s">
        <v>137</v>
      </c>
      <c r="C696" s="17" t="s">
        <v>142</v>
      </c>
      <c r="D696" s="24">
        <v>1092</v>
      </c>
      <c r="E696" s="18" t="str">
        <f>HYPERLINK("#'Data'!A5116", "Households reporting days without sufficient drinking water in the last 4 weeks broken down by displacement status of HoH on the admin of overall m...")</f>
        <v>Households reporting days without sufficient drinking water in the last 4 weeks broken down by displacement status of HoH on the admin of overall m...</v>
      </c>
    </row>
    <row r="697" spans="2:5" ht="15.6" hidden="1">
      <c r="B697" s="16" t="s">
        <v>137</v>
      </c>
      <c r="C697" s="17" t="s">
        <v>142</v>
      </c>
      <c r="D697" s="24">
        <v>1093</v>
      </c>
      <c r="E697" s="18" t="str">
        <f>HYPERLINK("#'Data'!A5125", "Households reporting days without sufficient drinking water in the last 4 weeks broken down by household size on the admin of overall mean")</f>
        <v>Households reporting days without sufficient drinking water in the last 4 weeks broken down by household size on the admin of overall mean</v>
      </c>
    </row>
    <row r="698" spans="2:5" ht="15.6" hidden="1">
      <c r="B698" s="16" t="s">
        <v>137</v>
      </c>
      <c r="C698" s="17" t="s">
        <v>142</v>
      </c>
      <c r="D698" s="24">
        <v>1094</v>
      </c>
      <c r="E698" s="18" t="str">
        <f>HYPERLINK("#'Data'!A5132", "Households reporting days without sufficient drinking water in the last 4 weeks broken down by single/joint headed HHs on the admin of overall mean")</f>
        <v>Households reporting days without sufficient drinking water in the last 4 weeks broken down by single/joint headed HHs on the admin of overall mean</v>
      </c>
    </row>
    <row r="699" spans="2:5" ht="15.6" hidden="1">
      <c r="B699" s="16" t="s">
        <v>137</v>
      </c>
      <c r="C699" s="17" t="s">
        <v>143</v>
      </c>
      <c r="D699" s="24">
        <v>1096</v>
      </c>
      <c r="E699" s="18" t="str">
        <f>HYPERLINK("#'Data'!A5139", "Households reporting sources of water for domestic purposes broken down by rural / urban on the admin of overall perc")</f>
        <v>Households reporting sources of water for domestic purposes broken down by rural / urban on the admin of overall perc</v>
      </c>
    </row>
    <row r="700" spans="2:5" ht="15.6" hidden="1">
      <c r="B700" s="16" t="s">
        <v>137</v>
      </c>
      <c r="C700" s="17" t="s">
        <v>143</v>
      </c>
      <c r="D700" s="24">
        <v>1097</v>
      </c>
      <c r="E700" s="18" t="str">
        <f>HYPERLINK("#'Data'!A5145", "Households reporting sources of water for domestic purposes broken down by proximity to the Frontline / Russian border on the admin of overall perc")</f>
        <v>Households reporting sources of water for domestic purposes broken down by proximity to the Frontline / Russian border on the admin of overall perc</v>
      </c>
    </row>
    <row r="701" spans="2:5" ht="15.6" hidden="1">
      <c r="B701" s="16" t="s">
        <v>137</v>
      </c>
      <c r="C701" s="17" t="s">
        <v>143</v>
      </c>
      <c r="D701" s="24">
        <v>1098</v>
      </c>
      <c r="E701" s="18" t="str">
        <f>HYPERLINK("#'Data'!A5152", "Households reporting sources of water for domestic purposes broken down by member with WGSS disability on the admin of overall perc")</f>
        <v>Households reporting sources of water for domestic purposes broken down by member with WGSS disability on the admin of overall perc</v>
      </c>
    </row>
    <row r="702" spans="2:5" ht="15.6" hidden="1">
      <c r="B702" s="16" t="s">
        <v>137</v>
      </c>
      <c r="C702" s="17" t="s">
        <v>143</v>
      </c>
      <c r="D702" s="24">
        <v>1099</v>
      </c>
      <c r="E702" s="18" t="str">
        <f>HYPERLINK("#'Data'!A5158", "Households reporting sources of water for domestic purposes broken down by displacement status of HoH on the admin of overall perc")</f>
        <v>Households reporting sources of water for domestic purposes broken down by displacement status of HoH on the admin of overall perc</v>
      </c>
    </row>
    <row r="703" spans="2:5" ht="15.6" hidden="1">
      <c r="B703" s="16" t="s">
        <v>137</v>
      </c>
      <c r="C703" s="17" t="s">
        <v>143</v>
      </c>
      <c r="D703" s="24">
        <v>1100</v>
      </c>
      <c r="E703" s="18" t="str">
        <f>HYPERLINK("#'Data'!A5167", "Households reporting sources of water for domestic purposes broken down by household size on the admin of overall perc")</f>
        <v>Households reporting sources of water for domestic purposes broken down by household size on the admin of overall perc</v>
      </c>
    </row>
    <row r="704" spans="2:5" ht="15.6" hidden="1">
      <c r="B704" s="16" t="s">
        <v>137</v>
      </c>
      <c r="C704" s="17" t="s">
        <v>143</v>
      </c>
      <c r="D704" s="24">
        <v>1101</v>
      </c>
      <c r="E704" s="18" t="str">
        <f>HYPERLINK("#'Data'!A5174", "Households reporting sources of water for domestic purposes broken down by single/joint headed HHs on the admin of overall perc")</f>
        <v>Households reporting sources of water for domestic purposes broken down by single/joint headed HHs on the admin of overall perc</v>
      </c>
    </row>
    <row r="705" spans="2:5" ht="15.6" hidden="1">
      <c r="B705" s="16" t="s">
        <v>137</v>
      </c>
      <c r="C705" s="17" t="s">
        <v>144</v>
      </c>
      <c r="D705" s="24">
        <v>1103</v>
      </c>
      <c r="E705" s="18" t="str">
        <f>HYPERLINK("#'Data'!A5181", "Households reporting having enough water for technical needs broken down by rural / urban on the admin of overall perc")</f>
        <v>Households reporting having enough water for technical needs broken down by rural / urban on the admin of overall perc</v>
      </c>
    </row>
    <row r="706" spans="2:5" ht="15.6" hidden="1">
      <c r="B706" s="16" t="s">
        <v>137</v>
      </c>
      <c r="C706" s="17" t="s">
        <v>144</v>
      </c>
      <c r="D706" s="24">
        <v>1104</v>
      </c>
      <c r="E706" s="18" t="str">
        <f>HYPERLINK("#'Data'!A5187", "Households reporting having enough water for technical needs broken down by proximity to the Frontline / Russian border on the admin of overall per...")</f>
        <v>Households reporting having enough water for technical needs broken down by proximity to the Frontline / Russian border on the admin of overall per...</v>
      </c>
    </row>
    <row r="707" spans="2:5" ht="15.6" hidden="1">
      <c r="B707" s="16" t="s">
        <v>137</v>
      </c>
      <c r="C707" s="17" t="s">
        <v>144</v>
      </c>
      <c r="D707" s="24">
        <v>1105</v>
      </c>
      <c r="E707" s="18" t="str">
        <f>HYPERLINK("#'Data'!A5194", "Households reporting having enough water for technical needs broken down by member with WGSS disability on the admin of overall perc")</f>
        <v>Households reporting having enough water for technical needs broken down by member with WGSS disability on the admin of overall perc</v>
      </c>
    </row>
    <row r="708" spans="2:5" ht="15.6" hidden="1">
      <c r="B708" s="16" t="s">
        <v>137</v>
      </c>
      <c r="C708" s="17" t="s">
        <v>144</v>
      </c>
      <c r="D708" s="24">
        <v>1106</v>
      </c>
      <c r="E708" s="18" t="str">
        <f>HYPERLINK("#'Data'!A5200", "Households reporting having enough water for technical needs broken down by displacement status of HoH on the admin of overall perc")</f>
        <v>Households reporting having enough water for technical needs broken down by displacement status of HoH on the admin of overall perc</v>
      </c>
    </row>
    <row r="709" spans="2:5" ht="15.6" hidden="1">
      <c r="B709" s="16" t="s">
        <v>137</v>
      </c>
      <c r="C709" s="17" t="s">
        <v>144</v>
      </c>
      <c r="D709" s="24">
        <v>1107</v>
      </c>
      <c r="E709" s="18" t="str">
        <f>HYPERLINK("#'Data'!A5209", "Households reporting having enough water for technical needs broken down by household size on the admin of overall perc")</f>
        <v>Households reporting having enough water for technical needs broken down by household size on the admin of overall perc</v>
      </c>
    </row>
    <row r="710" spans="2:5" ht="15.6" hidden="1">
      <c r="B710" s="16" t="s">
        <v>137</v>
      </c>
      <c r="C710" s="17" t="s">
        <v>144</v>
      </c>
      <c r="D710" s="24">
        <v>1108</v>
      </c>
      <c r="E710" s="18" t="str">
        <f>HYPERLINK("#'Data'!A5216", "Households reporting having enough water for technical needs broken down by single/joint headed HHs on the admin of overall perc")</f>
        <v>Households reporting having enough water for technical needs broken down by single/joint headed HHs on the admin of overall perc</v>
      </c>
    </row>
    <row r="711" spans="2:5" ht="15.6" hidden="1">
      <c r="B711" s="16" t="s">
        <v>137</v>
      </c>
      <c r="C711" s="17" t="s">
        <v>145</v>
      </c>
      <c r="D711" s="24">
        <v>1110</v>
      </c>
      <c r="E711" s="18" t="str">
        <f>HYPERLINK("#'Data'!A5223", "Households reportedly having issues with performing personal hygiene broken down by rural / urban on the admin of overall perc")</f>
        <v>Households reportedly having issues with performing personal hygiene broken down by rural / urban on the admin of overall perc</v>
      </c>
    </row>
    <row r="712" spans="2:5" ht="15.6" hidden="1">
      <c r="B712" s="16" t="s">
        <v>137</v>
      </c>
      <c r="C712" s="17" t="s">
        <v>145</v>
      </c>
      <c r="D712" s="24">
        <v>1111</v>
      </c>
      <c r="E712" s="18" t="str">
        <f>HYPERLINK("#'Data'!A5229", "Households reportedly having issues with performing personal hygiene broken down by proximity to the Frontline / Russian border on the admin of ove...")</f>
        <v>Households reportedly having issues with performing personal hygiene broken down by proximity to the Frontline / Russian border on the admin of ove...</v>
      </c>
    </row>
    <row r="713" spans="2:5" ht="15.6" hidden="1">
      <c r="B713" s="16" t="s">
        <v>137</v>
      </c>
      <c r="C713" s="17" t="s">
        <v>145</v>
      </c>
      <c r="D713" s="24">
        <v>1112</v>
      </c>
      <c r="E713" s="18" t="str">
        <f>HYPERLINK("#'Data'!A5236", "Households reportedly having issues with performing personal hygiene broken down by member with WGSS disability on the admin of overall perc")</f>
        <v>Households reportedly having issues with performing personal hygiene broken down by member with WGSS disability on the admin of overall perc</v>
      </c>
    </row>
    <row r="714" spans="2:5" ht="15.6" hidden="1">
      <c r="B714" s="16" t="s">
        <v>137</v>
      </c>
      <c r="C714" s="17" t="s">
        <v>145</v>
      </c>
      <c r="D714" s="24">
        <v>1113</v>
      </c>
      <c r="E714" s="18" t="str">
        <f>HYPERLINK("#'Data'!A5242", "Households reportedly having issues with performing personal hygiene broken down by displacement status of HoH on the admin of overall perc")</f>
        <v>Households reportedly having issues with performing personal hygiene broken down by displacement status of HoH on the admin of overall perc</v>
      </c>
    </row>
    <row r="715" spans="2:5" ht="15.6" hidden="1">
      <c r="B715" s="16" t="s">
        <v>137</v>
      </c>
      <c r="C715" s="17" t="s">
        <v>145</v>
      </c>
      <c r="D715" s="24">
        <v>1114</v>
      </c>
      <c r="E715" s="18" t="str">
        <f>HYPERLINK("#'Data'!A5251", "Households reportedly having issues with performing personal hygiene broken down by household size on the admin of overall perc")</f>
        <v>Households reportedly having issues with performing personal hygiene broken down by household size on the admin of overall perc</v>
      </c>
    </row>
    <row r="716" spans="2:5" ht="15.6" hidden="1">
      <c r="B716" s="16" t="s">
        <v>137</v>
      </c>
      <c r="C716" s="17" t="s">
        <v>145</v>
      </c>
      <c r="D716" s="24">
        <v>1115</v>
      </c>
      <c r="E716" s="18" t="str">
        <f>HYPERLINK("#'Data'!A5258", "Households reportedly having issues with performing personal hygiene broken down by single/joint headed HHs on the admin of overall perc")</f>
        <v>Households reportedly having issues with performing personal hygiene broken down by single/joint headed HHs on the admin of overall perc</v>
      </c>
    </row>
    <row r="717" spans="2:5" ht="15.6" hidden="1">
      <c r="B717" s="16" t="s">
        <v>137</v>
      </c>
      <c r="C717" s="17" t="s">
        <v>146</v>
      </c>
      <c r="D717" s="24">
        <v>1117</v>
      </c>
      <c r="E717" s="18" t="str">
        <f>HYPERLINK("#'Data'!A5265", "Reasons why households reported issues with performing personal hygiene broken down by rural / urban on the admin of overall perc")</f>
        <v>Reasons why households reported issues with performing personal hygiene broken down by rural / urban on the admin of overall perc</v>
      </c>
    </row>
    <row r="718" spans="2:5" ht="15.6" hidden="1">
      <c r="B718" s="16" t="s">
        <v>137</v>
      </c>
      <c r="C718" s="17" t="s">
        <v>146</v>
      </c>
      <c r="D718" s="24">
        <v>1118</v>
      </c>
      <c r="E718" s="18" t="str">
        <f>HYPERLINK("#'Data'!A5271", "Reasons why households reported issues with performing personal hygiene broken down by proximity to the Frontline / Russian border on the admin of ...")</f>
        <v>Reasons why households reported issues with performing personal hygiene broken down by proximity to the Frontline / Russian border on the admin of ...</v>
      </c>
    </row>
    <row r="719" spans="2:5" ht="15.6" hidden="1">
      <c r="B719" s="16" t="s">
        <v>137</v>
      </c>
      <c r="C719" s="17" t="s">
        <v>146</v>
      </c>
      <c r="D719" s="24">
        <v>1119</v>
      </c>
      <c r="E719" s="18" t="str">
        <f>HYPERLINK("#'Data'!A5278", "Reasons why households reported issues with performing personal hygiene broken down by member with WGSS disability on the admin of overall perc")</f>
        <v>Reasons why households reported issues with performing personal hygiene broken down by member with WGSS disability on the admin of overall perc</v>
      </c>
    </row>
    <row r="720" spans="2:5" ht="15.6" hidden="1">
      <c r="B720" s="16" t="s">
        <v>137</v>
      </c>
      <c r="C720" s="17" t="s">
        <v>146</v>
      </c>
      <c r="D720" s="24">
        <v>1120</v>
      </c>
      <c r="E720" s="18" t="str">
        <f>HYPERLINK("#'Data'!A5284", "Reasons why households reported issues with performing personal hygiene broken down by displacement status of HoH on the admin of overall perc")</f>
        <v>Reasons why households reported issues with performing personal hygiene broken down by displacement status of HoH on the admin of overall perc</v>
      </c>
    </row>
    <row r="721" spans="2:5" ht="15.6" hidden="1">
      <c r="B721" s="16" t="s">
        <v>137</v>
      </c>
      <c r="C721" s="17" t="s">
        <v>146</v>
      </c>
      <c r="D721" s="24">
        <v>1121</v>
      </c>
      <c r="E721" s="18" t="str">
        <f>HYPERLINK("#'Data'!A5293", "Reasons why households reported issues with performing personal hygiene broken down by household size on the admin of overall perc")</f>
        <v>Reasons why households reported issues with performing personal hygiene broken down by household size on the admin of overall perc</v>
      </c>
    </row>
    <row r="722" spans="2:5" ht="15.6" hidden="1">
      <c r="B722" s="16" t="s">
        <v>137</v>
      </c>
      <c r="C722" s="17" t="s">
        <v>146</v>
      </c>
      <c r="D722" s="24">
        <v>1122</v>
      </c>
      <c r="E722" s="18" t="str">
        <f>HYPERLINK("#'Data'!A5300", "Reasons why households reported issues with performing personal hygiene broken down by single/joint headed HHs on the admin of overall perc")</f>
        <v>Reasons why households reported issues with performing personal hygiene broken down by single/joint headed HHs on the admin of overall perc</v>
      </c>
    </row>
    <row r="723" spans="2:5" ht="15.6" hidden="1">
      <c r="B723" s="16" t="s">
        <v>137</v>
      </c>
      <c r="C723" s="17" t="s">
        <v>147</v>
      </c>
      <c r="D723" s="24">
        <v>1124</v>
      </c>
      <c r="E723" s="18" t="str">
        <f>HYPERLINK("#'Data'!A5307", "Main handwashing facilities reported by households broken down by rural / urban on the admin of overall perc")</f>
        <v>Main handwashing facilities reported by households broken down by rural / urban on the admin of overall perc</v>
      </c>
    </row>
    <row r="724" spans="2:5" ht="15.6" hidden="1">
      <c r="B724" s="16" t="s">
        <v>137</v>
      </c>
      <c r="C724" s="17" t="s">
        <v>147</v>
      </c>
      <c r="D724" s="24">
        <v>1125</v>
      </c>
      <c r="E724" s="18" t="str">
        <f>HYPERLINK("#'Data'!A5313", "Main handwashing facilities reported by households broken down by proximity to the Frontline / Russian border on the admin of overall perc")</f>
        <v>Main handwashing facilities reported by households broken down by proximity to the Frontline / Russian border on the admin of overall perc</v>
      </c>
    </row>
    <row r="725" spans="2:5" ht="15.6" hidden="1">
      <c r="B725" s="16" t="s">
        <v>137</v>
      </c>
      <c r="C725" s="17" t="s">
        <v>147</v>
      </c>
      <c r="D725" s="24">
        <v>1126</v>
      </c>
      <c r="E725" s="18" t="str">
        <f>HYPERLINK("#'Data'!A5320", "Main handwashing facilities reported by households broken down by member with WGSS disability on the admin of overall perc")</f>
        <v>Main handwashing facilities reported by households broken down by member with WGSS disability on the admin of overall perc</v>
      </c>
    </row>
    <row r="726" spans="2:5" ht="15.6" hidden="1">
      <c r="B726" s="16" t="s">
        <v>137</v>
      </c>
      <c r="C726" s="17" t="s">
        <v>147</v>
      </c>
      <c r="D726" s="24">
        <v>1127</v>
      </c>
      <c r="E726" s="18" t="str">
        <f>HYPERLINK("#'Data'!A5326", "Main handwashing facilities reported by households broken down by displacement status of HoH on the admin of overall perc")</f>
        <v>Main handwashing facilities reported by households broken down by displacement status of HoH on the admin of overall perc</v>
      </c>
    </row>
    <row r="727" spans="2:5" ht="15.6" hidden="1">
      <c r="B727" s="16" t="s">
        <v>137</v>
      </c>
      <c r="C727" s="17" t="s">
        <v>147</v>
      </c>
      <c r="D727" s="24">
        <v>1128</v>
      </c>
      <c r="E727" s="18" t="str">
        <f>HYPERLINK("#'Data'!A5335", "Main handwashing facilities reported by households broken down by household size on the admin of overall perc")</f>
        <v>Main handwashing facilities reported by households broken down by household size on the admin of overall perc</v>
      </c>
    </row>
    <row r="728" spans="2:5" ht="15.6" hidden="1">
      <c r="B728" s="16" t="s">
        <v>137</v>
      </c>
      <c r="C728" s="17" t="s">
        <v>147</v>
      </c>
      <c r="D728" s="24">
        <v>1129</v>
      </c>
      <c r="E728" s="18" t="str">
        <f>HYPERLINK("#'Data'!A5342", "Main handwashing facilities reported by households broken down by single/joint headed HHs on the admin of overall perc")</f>
        <v>Main handwashing facilities reported by households broken down by single/joint headed HHs on the admin of overall perc</v>
      </c>
    </row>
    <row r="729" spans="2:5" ht="15.6" hidden="1">
      <c r="B729" s="16" t="s">
        <v>137</v>
      </c>
      <c r="C729" s="17" t="s">
        <v>148</v>
      </c>
      <c r="D729" s="24">
        <v>1131</v>
      </c>
      <c r="E729" s="18" t="str">
        <f>HYPERLINK("#'Data'!A5349", "Households reportedly having soap in their household broken down by rural / urban on the admin of overall perc")</f>
        <v>Households reportedly having soap in their household broken down by rural / urban on the admin of overall perc</v>
      </c>
    </row>
    <row r="730" spans="2:5" ht="15.6" hidden="1">
      <c r="B730" s="16" t="s">
        <v>137</v>
      </c>
      <c r="C730" s="17" t="s">
        <v>148</v>
      </c>
      <c r="D730" s="24">
        <v>1132</v>
      </c>
      <c r="E730" s="18" t="str">
        <f>HYPERLINK("#'Data'!A5355", "Households reportedly having soap in their household broken down by proximity to the Frontline / Russian border on the admin of overall perc")</f>
        <v>Households reportedly having soap in their household broken down by proximity to the Frontline / Russian border on the admin of overall perc</v>
      </c>
    </row>
    <row r="731" spans="2:5" ht="15.6" hidden="1">
      <c r="B731" s="16" t="s">
        <v>137</v>
      </c>
      <c r="C731" s="17" t="s">
        <v>148</v>
      </c>
      <c r="D731" s="24">
        <v>1133</v>
      </c>
      <c r="E731" s="18" t="str">
        <f>HYPERLINK("#'Data'!A5362", "Households reportedly having soap in their household broken down by member with WGSS disability on the admin of overall perc")</f>
        <v>Households reportedly having soap in their household broken down by member with WGSS disability on the admin of overall perc</v>
      </c>
    </row>
    <row r="732" spans="2:5" ht="15.6" hidden="1">
      <c r="B732" s="16" t="s">
        <v>137</v>
      </c>
      <c r="C732" s="17" t="s">
        <v>148</v>
      </c>
      <c r="D732" s="24">
        <v>1134</v>
      </c>
      <c r="E732" s="18" t="str">
        <f>HYPERLINK("#'Data'!A5368", "Households reportedly having soap in their household broken down by displacement status of HoH on the admin of overall perc")</f>
        <v>Households reportedly having soap in their household broken down by displacement status of HoH on the admin of overall perc</v>
      </c>
    </row>
    <row r="733" spans="2:5" ht="15.6" hidden="1">
      <c r="B733" s="16" t="s">
        <v>137</v>
      </c>
      <c r="C733" s="17" t="s">
        <v>148</v>
      </c>
      <c r="D733" s="24">
        <v>1135</v>
      </c>
      <c r="E733" s="18" t="str">
        <f>HYPERLINK("#'Data'!A5377", "Households reportedly having soap in their household broken down by household size on the admin of overall perc")</f>
        <v>Households reportedly having soap in their household broken down by household size on the admin of overall perc</v>
      </c>
    </row>
    <row r="734" spans="2:5" ht="15.6" hidden="1">
      <c r="B734" s="16" t="s">
        <v>137</v>
      </c>
      <c r="C734" s="17" t="s">
        <v>148</v>
      </c>
      <c r="D734" s="24">
        <v>1136</v>
      </c>
      <c r="E734" s="18" t="str">
        <f>HYPERLINK("#'Data'!A5384", "Households reportedly having soap in their household broken down by single/joint headed HHs on the admin of overall perc")</f>
        <v>Households reportedly having soap in their household broken down by single/joint headed HHs on the admin of overall perc</v>
      </c>
    </row>
    <row r="735" spans="2:5" ht="15.6" hidden="1">
      <c r="B735" s="16" t="s">
        <v>137</v>
      </c>
      <c r="C735" s="17" t="s">
        <v>149</v>
      </c>
      <c r="D735" s="24">
        <v>1138</v>
      </c>
      <c r="E735" s="18" t="str">
        <f>HYPERLINK("#'Data'!A5391", "Households reporting main toilet facility in their household broken down by rural / urban on the admin of overall perc")</f>
        <v>Households reporting main toilet facility in their household broken down by rural / urban on the admin of overall perc</v>
      </c>
    </row>
    <row r="736" spans="2:5" ht="15.6" hidden="1">
      <c r="B736" s="16" t="s">
        <v>137</v>
      </c>
      <c r="C736" s="17" t="s">
        <v>149</v>
      </c>
      <c r="D736" s="24">
        <v>1139</v>
      </c>
      <c r="E736" s="18" t="str">
        <f>HYPERLINK("#'Data'!A5397", "Households reporting main toilet facility in their household broken down by proximity to the Frontline / Russian border on the admin of overall per...")</f>
        <v>Households reporting main toilet facility in their household broken down by proximity to the Frontline / Russian border on the admin of overall per...</v>
      </c>
    </row>
    <row r="737" spans="2:5" ht="15.6" hidden="1">
      <c r="B737" s="16" t="s">
        <v>137</v>
      </c>
      <c r="C737" s="17" t="s">
        <v>149</v>
      </c>
      <c r="D737" s="24">
        <v>1140</v>
      </c>
      <c r="E737" s="18" t="str">
        <f>HYPERLINK("#'Data'!A5404", "Households reporting main toilet facility in their household broken down by member with WGSS disability on the admin of overall perc")</f>
        <v>Households reporting main toilet facility in their household broken down by member with WGSS disability on the admin of overall perc</v>
      </c>
    </row>
    <row r="738" spans="2:5" ht="15.6" hidden="1">
      <c r="B738" s="16" t="s">
        <v>137</v>
      </c>
      <c r="C738" s="17" t="s">
        <v>149</v>
      </c>
      <c r="D738" s="24">
        <v>1141</v>
      </c>
      <c r="E738" s="18" t="str">
        <f>HYPERLINK("#'Data'!A5410", "Households reporting main toilet facility in their household broken down by displacement status of HoH on the admin of overall perc")</f>
        <v>Households reporting main toilet facility in their household broken down by displacement status of HoH on the admin of overall perc</v>
      </c>
    </row>
    <row r="739" spans="2:5" ht="15.6" hidden="1">
      <c r="B739" s="16" t="s">
        <v>137</v>
      </c>
      <c r="C739" s="17" t="s">
        <v>149</v>
      </c>
      <c r="D739" s="24">
        <v>1142</v>
      </c>
      <c r="E739" s="18" t="str">
        <f>HYPERLINK("#'Data'!A5419", "Households reporting main toilet facility in their household broken down by household size on the admin of overall perc")</f>
        <v>Households reporting main toilet facility in their household broken down by household size on the admin of overall perc</v>
      </c>
    </row>
    <row r="740" spans="2:5" ht="15.6" hidden="1">
      <c r="B740" s="16" t="s">
        <v>137</v>
      </c>
      <c r="C740" s="17" t="s">
        <v>149</v>
      </c>
      <c r="D740" s="24">
        <v>1143</v>
      </c>
      <c r="E740" s="18" t="str">
        <f>HYPERLINK("#'Data'!A5426", "Households reporting main toilet facility in their household broken down by single/joint headed HHs on the admin of overall perc")</f>
        <v>Households reporting main toilet facility in their household broken down by single/joint headed HHs on the admin of overall perc</v>
      </c>
    </row>
    <row r="741" spans="2:5" ht="15.6" hidden="1">
      <c r="B741" s="16" t="s">
        <v>137</v>
      </c>
      <c r="C741" s="17" t="s">
        <v>150</v>
      </c>
      <c r="D741" s="24">
        <v>1145</v>
      </c>
      <c r="E741" s="18" t="str">
        <f>HYPERLINK("#'Data'!A5433", "Households that reportedly share their sanitation facility broken down by rural / urban on the admin of overall perc")</f>
        <v>Households that reportedly share their sanitation facility broken down by rural / urban on the admin of overall perc</v>
      </c>
    </row>
    <row r="742" spans="2:5" ht="15.6" hidden="1">
      <c r="B742" s="16" t="s">
        <v>137</v>
      </c>
      <c r="C742" s="17" t="s">
        <v>150</v>
      </c>
      <c r="D742" s="24">
        <v>1146</v>
      </c>
      <c r="E742" s="18" t="str">
        <f>HYPERLINK("#'Data'!A5439", "Households that reportedly share their sanitation facility broken down by proximity to the Frontline / Russian border on the admin of overall perc")</f>
        <v>Households that reportedly share their sanitation facility broken down by proximity to the Frontline / Russian border on the admin of overall perc</v>
      </c>
    </row>
    <row r="743" spans="2:5" ht="15.6" hidden="1">
      <c r="B743" s="16" t="s">
        <v>137</v>
      </c>
      <c r="C743" s="17" t="s">
        <v>150</v>
      </c>
      <c r="D743" s="24">
        <v>1147</v>
      </c>
      <c r="E743" s="18" t="str">
        <f>HYPERLINK("#'Data'!A5446", "Households that reportedly share their sanitation facility broken down by member with WGSS disability on the admin of overall perc")</f>
        <v>Households that reportedly share their sanitation facility broken down by member with WGSS disability on the admin of overall perc</v>
      </c>
    </row>
    <row r="744" spans="2:5" ht="15.6" hidden="1">
      <c r="B744" s="16" t="s">
        <v>137</v>
      </c>
      <c r="C744" s="17" t="s">
        <v>150</v>
      </c>
      <c r="D744" s="24">
        <v>1148</v>
      </c>
      <c r="E744" s="18" t="str">
        <f>HYPERLINK("#'Data'!A5452", "Households that reportedly share their sanitation facility broken down by displacement status of HoH on the admin of overall perc")</f>
        <v>Households that reportedly share their sanitation facility broken down by displacement status of HoH on the admin of overall perc</v>
      </c>
    </row>
    <row r="745" spans="2:5" ht="15.6" hidden="1">
      <c r="B745" s="16" t="s">
        <v>137</v>
      </c>
      <c r="C745" s="17" t="s">
        <v>150</v>
      </c>
      <c r="D745" s="24">
        <v>1149</v>
      </c>
      <c r="E745" s="18" t="str">
        <f>HYPERLINK("#'Data'!A5461", "Households that reportedly share their sanitation facility broken down by household size on the admin of overall perc")</f>
        <v>Households that reportedly share their sanitation facility broken down by household size on the admin of overall perc</v>
      </c>
    </row>
    <row r="746" spans="2:5" ht="15.6" hidden="1">
      <c r="B746" s="16" t="s">
        <v>137</v>
      </c>
      <c r="C746" s="17" t="s">
        <v>150</v>
      </c>
      <c r="D746" s="24">
        <v>1150</v>
      </c>
      <c r="E746" s="18" t="str">
        <f>HYPERLINK("#'Data'!A5468", "Households that reportedly share their sanitation facility broken down by single/joint headed HHs on the admin of overall perc")</f>
        <v>Households that reportedly share their sanitation facility broken down by single/joint headed HHs on the admin of overall perc</v>
      </c>
    </row>
    <row r="747" spans="2:5" ht="15.6" hidden="1">
      <c r="B747" s="16" t="s">
        <v>137</v>
      </c>
      <c r="C747" s="17" t="s">
        <v>151</v>
      </c>
      <c r="D747" s="24">
        <v>1152</v>
      </c>
      <c r="E747" s="18" t="str">
        <f>HYPERLINK("#'Data'!A5475", "Number of Households Sharing Sanitation Facility Reported overall broken down by rural / urban on the admin of overall mean")</f>
        <v>Number of Households Sharing Sanitation Facility Reported overall broken down by rural / urban on the admin of overall mean</v>
      </c>
    </row>
    <row r="748" spans="2:5" ht="15.6" hidden="1">
      <c r="B748" s="16" t="s">
        <v>137</v>
      </c>
      <c r="C748" s="17" t="s">
        <v>151</v>
      </c>
      <c r="D748" s="24">
        <v>1153</v>
      </c>
      <c r="E748" s="18" t="str">
        <f>HYPERLINK("#'Data'!A5481", "Number of Households Sharing Sanitation Facility Reported overall broken down by proximity to the Frontline / Russian border on the admin of overal...")</f>
        <v>Number of Households Sharing Sanitation Facility Reported overall broken down by proximity to the Frontline / Russian border on the admin of overal...</v>
      </c>
    </row>
    <row r="749" spans="2:5" ht="15.6" hidden="1">
      <c r="B749" s="16" t="s">
        <v>137</v>
      </c>
      <c r="C749" s="17" t="s">
        <v>151</v>
      </c>
      <c r="D749" s="24">
        <v>1154</v>
      </c>
      <c r="E749" s="18" t="str">
        <f>HYPERLINK("#'Data'!A5488", "Number of Households Sharing Sanitation Facility Reported overall broken down by member with WGSS disability on the admin of overall mean")</f>
        <v>Number of Households Sharing Sanitation Facility Reported overall broken down by member with WGSS disability on the admin of overall mean</v>
      </c>
    </row>
    <row r="750" spans="2:5" ht="15.6" hidden="1">
      <c r="B750" s="16" t="s">
        <v>137</v>
      </c>
      <c r="C750" s="17" t="s">
        <v>151</v>
      </c>
      <c r="D750" s="24">
        <v>1155</v>
      </c>
      <c r="E750" s="18" t="str">
        <f>HYPERLINK("#'Data'!A5494", "Number of Households Sharing Sanitation Facility Reported overall broken down by displacement status of HoH on the admin of overall mean")</f>
        <v>Number of Households Sharing Sanitation Facility Reported overall broken down by displacement status of HoH on the admin of overall mean</v>
      </c>
    </row>
    <row r="751" spans="2:5" ht="15.6" hidden="1">
      <c r="B751" s="16" t="s">
        <v>137</v>
      </c>
      <c r="C751" s="17" t="s">
        <v>151</v>
      </c>
      <c r="D751" s="24">
        <v>1156</v>
      </c>
      <c r="E751" s="18" t="str">
        <f>HYPERLINK("#'Data'!A5503", "Number of Households Sharing Sanitation Facility Reported overall broken down by household size on the admin of overall mean")</f>
        <v>Number of Households Sharing Sanitation Facility Reported overall broken down by household size on the admin of overall mean</v>
      </c>
    </row>
    <row r="752" spans="2:5" ht="15.6" hidden="1">
      <c r="B752" s="16" t="s">
        <v>137</v>
      </c>
      <c r="C752" s="17" t="s">
        <v>151</v>
      </c>
      <c r="D752" s="24">
        <v>1157</v>
      </c>
      <c r="E752" s="18" t="str">
        <f>HYPERLINK("#'Data'!A5510", "Number of Households Sharing Sanitation Facility Reported overall broken down by single/joint headed HHs on the admin of overall mean")</f>
        <v>Number of Households Sharing Sanitation Facility Reported overall broken down by single/joint headed HHs on the admin of overall mean</v>
      </c>
    </row>
    <row r="753" spans="2:5" ht="15.6" hidden="1">
      <c r="B753" s="16" t="s">
        <v>137</v>
      </c>
      <c r="C753" s="17" t="s">
        <v>152</v>
      </c>
      <c r="D753" s="24">
        <v>1159</v>
      </c>
      <c r="E753" s="18" t="str">
        <f>HYPERLINK("#'Data'!A5517", "Households reportedly having access to adequate toilets broken down by rural / urban on the admin of overall perc")</f>
        <v>Households reportedly having access to adequate toilets broken down by rural / urban on the admin of overall perc</v>
      </c>
    </row>
    <row r="754" spans="2:5" ht="15.6" hidden="1">
      <c r="B754" s="16" t="s">
        <v>137</v>
      </c>
      <c r="C754" s="17" t="s">
        <v>152</v>
      </c>
      <c r="D754" s="24">
        <v>1160</v>
      </c>
      <c r="E754" s="18" t="str">
        <f>HYPERLINK("#'Data'!A5523", "Households reportedly having access to adequate toilets broken down by proximity to the Frontline / Russian border on the admin of overall perc")</f>
        <v>Households reportedly having access to adequate toilets broken down by proximity to the Frontline / Russian border on the admin of overall perc</v>
      </c>
    </row>
    <row r="755" spans="2:5" ht="15.6" hidden="1">
      <c r="B755" s="16" t="s">
        <v>137</v>
      </c>
      <c r="C755" s="17" t="s">
        <v>152</v>
      </c>
      <c r="D755" s="24">
        <v>1161</v>
      </c>
      <c r="E755" s="18" t="str">
        <f>HYPERLINK("#'Data'!A5530", "Households reportedly having access to adequate toilets broken down by member with WGSS disability on the admin of overall perc")</f>
        <v>Households reportedly having access to adequate toilets broken down by member with WGSS disability on the admin of overall perc</v>
      </c>
    </row>
    <row r="756" spans="2:5" ht="15.6" hidden="1">
      <c r="B756" s="16" t="s">
        <v>137</v>
      </c>
      <c r="C756" s="17" t="s">
        <v>152</v>
      </c>
      <c r="D756" s="24">
        <v>1162</v>
      </c>
      <c r="E756" s="18" t="str">
        <f>HYPERLINK("#'Data'!A5536", "Households reportedly having access to adequate toilets broken down by displacement status of HoH on the admin of overall perc")</f>
        <v>Households reportedly having access to adequate toilets broken down by displacement status of HoH on the admin of overall perc</v>
      </c>
    </row>
    <row r="757" spans="2:5" ht="15.6" hidden="1">
      <c r="B757" s="16" t="s">
        <v>137</v>
      </c>
      <c r="C757" s="17" t="s">
        <v>152</v>
      </c>
      <c r="D757" s="24">
        <v>1163</v>
      </c>
      <c r="E757" s="18" t="str">
        <f>HYPERLINK("#'Data'!A5545", "Households reportedly having access to adequate toilets broken down by household size on the admin of overall perc")</f>
        <v>Households reportedly having access to adequate toilets broken down by household size on the admin of overall perc</v>
      </c>
    </row>
    <row r="758" spans="2:5" ht="15.6" hidden="1">
      <c r="B758" s="16" t="s">
        <v>137</v>
      </c>
      <c r="C758" s="17" t="s">
        <v>152</v>
      </c>
      <c r="D758" s="24">
        <v>1164</v>
      </c>
      <c r="E758" s="18" t="str">
        <f>HYPERLINK("#'Data'!A5552", "Households reportedly having access to adequate toilets broken down by single/joint headed HHs on the admin of overall perc")</f>
        <v>Households reportedly having access to adequate toilets broken down by single/joint headed HHs on the admin of overall perc</v>
      </c>
    </row>
    <row r="759" spans="2:5" ht="15.6" hidden="1">
      <c r="B759" s="16" t="s">
        <v>137</v>
      </c>
      <c r="C759" s="17" t="s">
        <v>153</v>
      </c>
      <c r="D759" s="24">
        <v>1166</v>
      </c>
      <c r="E759" s="18" t="str">
        <f>HYPERLINK("#'Data'!A5559", "Most Common Garbage Disposal Method Reported by Households broken down by rural / urban on the admin of overall perc")</f>
        <v>Most Common Garbage Disposal Method Reported by Households broken down by rural / urban on the admin of overall perc</v>
      </c>
    </row>
    <row r="760" spans="2:5" ht="15.6" hidden="1">
      <c r="B760" s="16" t="s">
        <v>137</v>
      </c>
      <c r="C760" s="17" t="s">
        <v>153</v>
      </c>
      <c r="D760" s="24">
        <v>1167</v>
      </c>
      <c r="E760" s="18" t="str">
        <f>HYPERLINK("#'Data'!A5565", "Most Common Garbage Disposal Method Reported by Households broken down by proximity to the Frontline / Russian border on the admin of overall perc")</f>
        <v>Most Common Garbage Disposal Method Reported by Households broken down by proximity to the Frontline / Russian border on the admin of overall perc</v>
      </c>
    </row>
    <row r="761" spans="2:5" ht="15.6" hidden="1">
      <c r="B761" s="16" t="s">
        <v>137</v>
      </c>
      <c r="C761" s="17" t="s">
        <v>153</v>
      </c>
      <c r="D761" s="24">
        <v>1168</v>
      </c>
      <c r="E761" s="18" t="str">
        <f>HYPERLINK("#'Data'!A5572", "Most Common Garbage Disposal Method Reported by Households broken down by member with WGSS disability on the admin of overall perc")</f>
        <v>Most Common Garbage Disposal Method Reported by Households broken down by member with WGSS disability on the admin of overall perc</v>
      </c>
    </row>
    <row r="762" spans="2:5" ht="15.6" hidden="1">
      <c r="B762" s="16" t="s">
        <v>137</v>
      </c>
      <c r="C762" s="17" t="s">
        <v>153</v>
      </c>
      <c r="D762" s="24">
        <v>1169</v>
      </c>
      <c r="E762" s="18" t="str">
        <f>HYPERLINK("#'Data'!A5578", "Most Common Garbage Disposal Method Reported by Households broken down by displacement status of HoH on the admin of overall perc")</f>
        <v>Most Common Garbage Disposal Method Reported by Households broken down by displacement status of HoH on the admin of overall perc</v>
      </c>
    </row>
    <row r="763" spans="2:5" ht="15.6" hidden="1">
      <c r="B763" s="16" t="s">
        <v>137</v>
      </c>
      <c r="C763" s="17" t="s">
        <v>153</v>
      </c>
      <c r="D763" s="24">
        <v>1170</v>
      </c>
      <c r="E763" s="18" t="str">
        <f>HYPERLINK("#'Data'!A5587", "Most Common Garbage Disposal Method Reported by Households broken down by household size on the admin of overall perc")</f>
        <v>Most Common Garbage Disposal Method Reported by Households broken down by household size on the admin of overall perc</v>
      </c>
    </row>
    <row r="764" spans="2:5" ht="15.6" hidden="1">
      <c r="B764" s="16" t="s">
        <v>137</v>
      </c>
      <c r="C764" s="17" t="s">
        <v>153</v>
      </c>
      <c r="D764" s="24">
        <v>1171</v>
      </c>
      <c r="E764" s="18" t="str">
        <f>HYPERLINK("#'Data'!A5594", "Most Common Garbage Disposal Method Reported by Households broken down by single/joint headed HHs on the admin of overall perc")</f>
        <v>Most Common Garbage Disposal Method Reported by Households broken down by single/joint headed HHs on the admin of overall perc</v>
      </c>
    </row>
    <row r="765" spans="2:5" ht="15.6" hidden="1">
      <c r="B765" s="16" t="s">
        <v>137</v>
      </c>
      <c r="C765" s="17" t="s">
        <v>154</v>
      </c>
      <c r="D765" s="24">
        <v>1173</v>
      </c>
      <c r="E765" s="18" t="str">
        <f>HYPERLINK("#'Data'!A5601", "Households reportedly facing issues with their sewage broken down by rural / urban on the admin of overall perc")</f>
        <v>Households reportedly facing issues with their sewage broken down by rural / urban on the admin of overall perc</v>
      </c>
    </row>
    <row r="766" spans="2:5" ht="15.6" hidden="1">
      <c r="B766" s="16" t="s">
        <v>137</v>
      </c>
      <c r="C766" s="17" t="s">
        <v>154</v>
      </c>
      <c r="D766" s="24">
        <v>1174</v>
      </c>
      <c r="E766" s="18" t="str">
        <f>HYPERLINK("#'Data'!A5607", "Households reportedly facing issues with their sewage broken down by proximity to the Frontline / Russian border on the admin of overall perc")</f>
        <v>Households reportedly facing issues with their sewage broken down by proximity to the Frontline / Russian border on the admin of overall perc</v>
      </c>
    </row>
    <row r="767" spans="2:5" ht="15.6" hidden="1">
      <c r="B767" s="16" t="s">
        <v>137</v>
      </c>
      <c r="C767" s="17" t="s">
        <v>154</v>
      </c>
      <c r="D767" s="24">
        <v>1175</v>
      </c>
      <c r="E767" s="18" t="str">
        <f>HYPERLINK("#'Data'!A5614", "Households reportedly facing issues with their sewage broken down by member with WGSS disability on the admin of overall perc")</f>
        <v>Households reportedly facing issues with their sewage broken down by member with WGSS disability on the admin of overall perc</v>
      </c>
    </row>
    <row r="768" spans="2:5" ht="15.6" hidden="1">
      <c r="B768" s="16" t="s">
        <v>137</v>
      </c>
      <c r="C768" s="17" t="s">
        <v>154</v>
      </c>
      <c r="D768" s="24">
        <v>1176</v>
      </c>
      <c r="E768" s="18" t="str">
        <f>HYPERLINK("#'Data'!A5620", "Households reportedly facing issues with their sewage broken down by displacement status of HoH on the admin of overall perc")</f>
        <v>Households reportedly facing issues with their sewage broken down by displacement status of HoH on the admin of overall perc</v>
      </c>
    </row>
    <row r="769" spans="2:5" ht="15.6" hidden="1">
      <c r="B769" s="16" t="s">
        <v>137</v>
      </c>
      <c r="C769" s="17" t="s">
        <v>154</v>
      </c>
      <c r="D769" s="24">
        <v>1177</v>
      </c>
      <c r="E769" s="18" t="str">
        <f>HYPERLINK("#'Data'!A5629", "Households reportedly facing issues with their sewage broken down by household size on the admin of overall perc")</f>
        <v>Households reportedly facing issues with their sewage broken down by household size on the admin of overall perc</v>
      </c>
    </row>
    <row r="770" spans="2:5" ht="15.6" hidden="1">
      <c r="B770" s="16" t="s">
        <v>137</v>
      </c>
      <c r="C770" s="17" t="s">
        <v>154</v>
      </c>
      <c r="D770" s="24">
        <v>1178</v>
      </c>
      <c r="E770" s="18" t="str">
        <f>HYPERLINK("#'Data'!A5636", "Households reportedly facing issues with their sewage broken down by single/joint headed HHs on the admin of overall perc")</f>
        <v>Households reportedly facing issues with their sewage broken down by single/joint headed HHs on the admin of overall perc</v>
      </c>
    </row>
    <row r="771" spans="2:5" ht="15.6" hidden="1">
      <c r="B771" s="16" t="s">
        <v>80</v>
      </c>
      <c r="C771" s="17" t="s">
        <v>155</v>
      </c>
      <c r="D771" s="24">
        <v>1180</v>
      </c>
      <c r="E771" s="18" t="str">
        <f>HYPERLINK("#'Data'!A5643", "Households reportedly struggling to obtain enough money to cover basic needs broken down by rural / urban on the admin of overall perc")</f>
        <v>Households reportedly struggling to obtain enough money to cover basic needs broken down by rural / urban on the admin of overall perc</v>
      </c>
    </row>
    <row r="772" spans="2:5" ht="15.6" hidden="1">
      <c r="B772" s="16" t="s">
        <v>80</v>
      </c>
      <c r="C772" s="17" t="s">
        <v>155</v>
      </c>
      <c r="D772" s="24">
        <v>1181</v>
      </c>
      <c r="E772" s="18" t="str">
        <f>HYPERLINK("#'Data'!A5649", "Households reportedly struggling to obtain enough money to cover basic needs broken down by proximity to the Frontline / Russian border on the admi...")</f>
        <v>Households reportedly struggling to obtain enough money to cover basic needs broken down by proximity to the Frontline / Russian border on the admi...</v>
      </c>
    </row>
    <row r="773" spans="2:5" ht="15.6" hidden="1">
      <c r="B773" s="16" t="s">
        <v>80</v>
      </c>
      <c r="C773" s="17" t="s">
        <v>155</v>
      </c>
      <c r="D773" s="24">
        <v>1182</v>
      </c>
      <c r="E773" s="18" t="str">
        <f>HYPERLINK("#'Data'!A5656", "Households reportedly struggling to obtain enough money to cover basic needs broken down by member with WGSS disability on the admin of overall per...")</f>
        <v>Households reportedly struggling to obtain enough money to cover basic needs broken down by member with WGSS disability on the admin of overall per...</v>
      </c>
    </row>
    <row r="774" spans="2:5" ht="15.6" hidden="1">
      <c r="B774" s="16" t="s">
        <v>80</v>
      </c>
      <c r="C774" s="17" t="s">
        <v>155</v>
      </c>
      <c r="D774" s="24">
        <v>1183</v>
      </c>
      <c r="E774" s="18" t="str">
        <f>HYPERLINK("#'Data'!A5662", "Households reportedly struggling to obtain enough money to cover basic needs broken down by displacement status of HoH on the admin of overall perc")</f>
        <v>Households reportedly struggling to obtain enough money to cover basic needs broken down by displacement status of HoH on the admin of overall perc</v>
      </c>
    </row>
    <row r="775" spans="2:5" ht="15.6" hidden="1">
      <c r="B775" s="16" t="s">
        <v>80</v>
      </c>
      <c r="C775" s="17" t="s">
        <v>155</v>
      </c>
      <c r="D775" s="24">
        <v>1184</v>
      </c>
      <c r="E775" s="18" t="str">
        <f>HYPERLINK("#'Data'!A5671", "Households reportedly struggling to obtain enough money to cover basic needs broken down by household size on the admin of overall perc")</f>
        <v>Households reportedly struggling to obtain enough money to cover basic needs broken down by household size on the admin of overall perc</v>
      </c>
    </row>
    <row r="776" spans="2:5" ht="15.6" hidden="1">
      <c r="B776" s="16" t="s">
        <v>80</v>
      </c>
      <c r="C776" s="17" t="s">
        <v>155</v>
      </c>
      <c r="D776" s="24">
        <v>1185</v>
      </c>
      <c r="E776" s="18" t="str">
        <f>HYPERLINK("#'Data'!A5678", "Households reportedly struggling to obtain enough money to cover basic needs broken down by single/joint headed HHs on the admin of overall perc")</f>
        <v>Households reportedly struggling to obtain enough money to cover basic needs broken down by single/joint headed HHs on the admin of overall perc</v>
      </c>
    </row>
    <row r="777" spans="2:5" ht="15.6" hidden="1">
      <c r="B777" s="16" t="s">
        <v>80</v>
      </c>
      <c r="C777" s="17" t="s">
        <v>156</v>
      </c>
      <c r="D777" s="24">
        <v>1187</v>
      </c>
      <c r="E777" s="18" t="str">
        <f>HYPERLINK("#'Data'!A5685", "Main Challenges Reported by Households to Obtain Money to Meet Basic Needs broken down by rural / urban on the admin of overall perc")</f>
        <v>Main Challenges Reported by Households to Obtain Money to Meet Basic Needs broken down by rural / urban on the admin of overall perc</v>
      </c>
    </row>
    <row r="778" spans="2:5" ht="15.6" hidden="1">
      <c r="B778" s="16" t="s">
        <v>80</v>
      </c>
      <c r="C778" s="17" t="s">
        <v>156</v>
      </c>
      <c r="D778" s="24">
        <v>1188</v>
      </c>
      <c r="E778" s="18" t="str">
        <f>HYPERLINK("#'Data'!A5691", "Main Challenges Reported by Households to Obtain Money to Meet Basic Needs broken down by proximity to the Frontline / Russian border on the admin ...")</f>
        <v>Main Challenges Reported by Households to Obtain Money to Meet Basic Needs broken down by proximity to the Frontline / Russian border on the admin ...</v>
      </c>
    </row>
    <row r="779" spans="2:5" ht="15.6" hidden="1">
      <c r="B779" s="16" t="s">
        <v>80</v>
      </c>
      <c r="C779" s="17" t="s">
        <v>156</v>
      </c>
      <c r="D779" s="24">
        <v>1189</v>
      </c>
      <c r="E779" s="18" t="str">
        <f>HYPERLINK("#'Data'!A5698", "Main Challenges Reported by Households to Obtain Money to Meet Basic Needs broken down by member with WGSS disability on the admin of overall perc")</f>
        <v>Main Challenges Reported by Households to Obtain Money to Meet Basic Needs broken down by member with WGSS disability on the admin of overall perc</v>
      </c>
    </row>
    <row r="780" spans="2:5" ht="15.6" hidden="1">
      <c r="B780" s="16" t="s">
        <v>80</v>
      </c>
      <c r="C780" s="17" t="s">
        <v>156</v>
      </c>
      <c r="D780" s="24">
        <v>1190</v>
      </c>
      <c r="E780" s="18" t="str">
        <f>HYPERLINK("#'Data'!A5704", "Main Challenges Reported by Households to Obtain Money to Meet Basic Needs broken down by displacement status of HoH on the admin of overall perc")</f>
        <v>Main Challenges Reported by Households to Obtain Money to Meet Basic Needs broken down by displacement status of HoH on the admin of overall perc</v>
      </c>
    </row>
    <row r="781" spans="2:5" ht="15.6" hidden="1">
      <c r="B781" s="16" t="s">
        <v>80</v>
      </c>
      <c r="C781" s="17" t="s">
        <v>156</v>
      </c>
      <c r="D781" s="24">
        <v>1191</v>
      </c>
      <c r="E781" s="18" t="str">
        <f>HYPERLINK("#'Data'!A5713", "Main Challenges Reported by Households to Obtain Money to Meet Basic Needs broken down by household size on the admin of overall perc")</f>
        <v>Main Challenges Reported by Households to Obtain Money to Meet Basic Needs broken down by household size on the admin of overall perc</v>
      </c>
    </row>
    <row r="782" spans="2:5" ht="15.6" hidden="1">
      <c r="B782" s="16" t="s">
        <v>80</v>
      </c>
      <c r="C782" s="17" t="s">
        <v>156</v>
      </c>
      <c r="D782" s="24">
        <v>1192</v>
      </c>
      <c r="E782" s="18" t="str">
        <f>HYPERLINK("#'Data'!A5720", "Main Challenges Reported by Households to Obtain Money to Meet Basic Needs broken down by single/joint headed HHs on the admin of overall perc")</f>
        <v>Main Challenges Reported by Households to Obtain Money to Meet Basic Needs broken down by single/joint headed HHs on the admin of overall perc</v>
      </c>
    </row>
    <row r="783" spans="2:5" ht="15.6" hidden="1">
      <c r="B783" s="16" t="s">
        <v>157</v>
      </c>
      <c r="C783" s="17" t="s">
        <v>158</v>
      </c>
      <c r="D783" s="24">
        <v>1198</v>
      </c>
      <c r="E783" s="18" t="str">
        <f>HYPERLINK("#'Data'!A5727", "Reduced Coping Strategies Index (rCSI) broken down by rural / urban on the admin of overall perc")</f>
        <v>Reduced Coping Strategies Index (rCSI) broken down by rural / urban on the admin of overall perc</v>
      </c>
    </row>
    <row r="784" spans="2:5" ht="15.6" hidden="1">
      <c r="B784" s="16" t="s">
        <v>157</v>
      </c>
      <c r="C784" s="17" t="s">
        <v>158</v>
      </c>
      <c r="D784" s="24">
        <v>1203</v>
      </c>
      <c r="E784" s="18" t="str">
        <f>HYPERLINK("#'Data'!A5733", "Reduced Coping Strategies Index (rCSI) broken down by proximity to the Frontline / Russian border on the admin of overall perc")</f>
        <v>Reduced Coping Strategies Index (rCSI) broken down by proximity to the Frontline / Russian border on the admin of overall perc</v>
      </c>
    </row>
    <row r="785" spans="2:5" ht="15.6" hidden="1">
      <c r="B785" s="16" t="s">
        <v>157</v>
      </c>
      <c r="C785" s="17" t="s">
        <v>158</v>
      </c>
      <c r="D785" s="24">
        <v>1208</v>
      </c>
      <c r="E785" s="18" t="str">
        <f>HYPERLINK("#'Data'!A5740", "Reduced Coping Strategies Index (rCSI) broken down by member with WGSS disability on the admin of overall perc")</f>
        <v>Reduced Coping Strategies Index (rCSI) broken down by member with WGSS disability on the admin of overall perc</v>
      </c>
    </row>
    <row r="786" spans="2:5" ht="15.6" hidden="1">
      <c r="B786" s="16" t="s">
        <v>157</v>
      </c>
      <c r="C786" s="17" t="s">
        <v>158</v>
      </c>
      <c r="D786" s="24">
        <v>1213</v>
      </c>
      <c r="E786" s="18" t="str">
        <f>HYPERLINK("#'Data'!A5746", "Reduced Coping Strategies Index (rCSI) broken down by displacement status of HoH on the admin of overall perc")</f>
        <v>Reduced Coping Strategies Index (rCSI) broken down by displacement status of HoH on the admin of overall perc</v>
      </c>
    </row>
    <row r="787" spans="2:5" ht="15.6" hidden="1">
      <c r="B787" s="16" t="s">
        <v>157</v>
      </c>
      <c r="C787" s="17" t="s">
        <v>158</v>
      </c>
      <c r="D787" s="24">
        <v>1218</v>
      </c>
      <c r="E787" s="18" t="str">
        <f>HYPERLINK("#'Data'!A5755", "Reduced Coping Strategies Index (rCSI) broken down by household size on the admin of overall perc")</f>
        <v>Reduced Coping Strategies Index (rCSI) broken down by household size on the admin of overall perc</v>
      </c>
    </row>
    <row r="788" spans="2:5" ht="15.6" hidden="1">
      <c r="B788" s="16" t="s">
        <v>157</v>
      </c>
      <c r="C788" s="17" t="s">
        <v>158</v>
      </c>
      <c r="D788" s="24">
        <v>1223</v>
      </c>
      <c r="E788" s="18" t="str">
        <f>HYPERLINK("#'Data'!A5762", "Reduced Coping Strategies Index (rCSI) broken down by single/joint headed HHs on the admin of overall perc")</f>
        <v>Reduced Coping Strategies Index (rCSI) broken down by single/joint headed HHs on the admin of overall perc</v>
      </c>
    </row>
    <row r="789" spans="2:5" ht="15.6" hidden="1">
      <c r="B789" s="16" t="s">
        <v>157</v>
      </c>
      <c r="C789" s="17" t="s">
        <v>159</v>
      </c>
      <c r="D789" s="24">
        <v>1231</v>
      </c>
      <c r="E789" s="18" t="str">
        <f>HYPERLINK("#'Data'!A5769", "Household Hunger Scale (HHS) broken down by rural / urban on the admin of overall perc")</f>
        <v>Household Hunger Scale (HHS) broken down by rural / urban on the admin of overall perc</v>
      </c>
    </row>
    <row r="790" spans="2:5" ht="15.6" hidden="1">
      <c r="B790" s="16" t="s">
        <v>157</v>
      </c>
      <c r="C790" s="17" t="s">
        <v>159</v>
      </c>
      <c r="D790" s="24">
        <v>1234</v>
      </c>
      <c r="E790" s="18" t="str">
        <f>HYPERLINK("#'Data'!A5775", "Household Hunger Scale (HHS) broken down by proximity to the Frontline / Russian border on the admin of overall perc")</f>
        <v>Household Hunger Scale (HHS) broken down by proximity to the Frontline / Russian border on the admin of overall perc</v>
      </c>
    </row>
    <row r="791" spans="2:5" ht="15.6" hidden="1">
      <c r="B791" s="16" t="s">
        <v>157</v>
      </c>
      <c r="C791" s="17" t="s">
        <v>159</v>
      </c>
      <c r="D791" s="24">
        <v>1237</v>
      </c>
      <c r="E791" s="18" t="str">
        <f>HYPERLINK("#'Data'!A5782", "Household Hunger Scale (HHS) broken down by member with WGSS disability on the admin of overall perc")</f>
        <v>Household Hunger Scale (HHS) broken down by member with WGSS disability on the admin of overall perc</v>
      </c>
    </row>
    <row r="792" spans="2:5" ht="15.6" hidden="1">
      <c r="B792" s="16" t="s">
        <v>157</v>
      </c>
      <c r="C792" s="17" t="s">
        <v>159</v>
      </c>
      <c r="D792" s="24">
        <v>1240</v>
      </c>
      <c r="E792" s="18" t="str">
        <f>HYPERLINK("#'Data'!A5788", "Household Hunger Scale (HHS) broken down by displacement status of HoH on the admin of overall perc")</f>
        <v>Household Hunger Scale (HHS) broken down by displacement status of HoH on the admin of overall perc</v>
      </c>
    </row>
    <row r="793" spans="2:5" ht="15.6" hidden="1">
      <c r="B793" s="16" t="s">
        <v>157</v>
      </c>
      <c r="C793" s="17" t="s">
        <v>159</v>
      </c>
      <c r="D793" s="24">
        <v>1243</v>
      </c>
      <c r="E793" s="18" t="str">
        <f>HYPERLINK("#'Data'!A5797", "Household Hunger Scale (HHS) broken down by household size on the admin of overall perc")</f>
        <v>Household Hunger Scale (HHS) broken down by household size on the admin of overall perc</v>
      </c>
    </row>
    <row r="794" spans="2:5" ht="15.6" hidden="1">
      <c r="B794" s="16" t="s">
        <v>157</v>
      </c>
      <c r="C794" s="17" t="s">
        <v>159</v>
      </c>
      <c r="D794" s="24">
        <v>1246</v>
      </c>
      <c r="E794" s="18" t="str">
        <f>HYPERLINK("#'Data'!A5804", "Household Hunger Scale (HHS) broken down by single/joint headed HHs on the admin of overall perc")</f>
        <v>Household Hunger Scale (HHS) broken down by single/joint headed HHs on the admin of overall perc</v>
      </c>
    </row>
    <row r="795" spans="2:5" ht="15.6" hidden="1">
      <c r="B795" s="16" t="s">
        <v>160</v>
      </c>
      <c r="C795" s="17" t="s">
        <v>161</v>
      </c>
      <c r="D795" s="24">
        <v>1252</v>
      </c>
      <c r="E795" s="18" t="str">
        <f>HYPERLINK("#'Data'!A5811", "K_2 Households reporting first most significant challenge their household currently faces broken down by gender of respondents on the admin of over...")</f>
        <v>K_2 Households reporting first most significant challenge their household currently faces broken down by gender of respondents on the admin of over...</v>
      </c>
    </row>
    <row r="796" spans="2:5" ht="15.6" hidden="1">
      <c r="B796" s="16" t="s">
        <v>160</v>
      </c>
      <c r="C796" s="17" t="s">
        <v>161</v>
      </c>
      <c r="D796" s="24">
        <v>1255</v>
      </c>
      <c r="E796" s="18" t="str">
        <f>HYPERLINK("#'Data'!A5890", "K_2 Households reporting first most significant challenge their household currently faces broken down by age of respondents on the admin of overall...")</f>
        <v>K_2 Households reporting first most significant challenge their household currently faces broken down by age of respondents on the admin of overall...</v>
      </c>
    </row>
    <row r="797" spans="2:5" ht="15.6" hidden="1">
      <c r="B797" s="16" t="s">
        <v>160</v>
      </c>
      <c r="C797" s="17" t="s">
        <v>161</v>
      </c>
      <c r="D797" s="24">
        <v>1258</v>
      </c>
      <c r="E797" s="18" t="str">
        <f>HYPERLINK("#'Data'!A6013", "K_2 Households reporting first most significant challenge their household currently faces broken down by rural / urban on the admin of overall ")</f>
        <v xml:space="preserve">K_2 Households reporting first most significant challenge their household currently faces broken down by rural / urban on the admin of overall </v>
      </c>
    </row>
    <row r="798" spans="2:5" ht="15.6" hidden="1">
      <c r="B798" s="16" t="s">
        <v>160</v>
      </c>
      <c r="C798" s="17" t="s">
        <v>161</v>
      </c>
      <c r="D798" s="24">
        <v>1261</v>
      </c>
      <c r="E798" s="18" t="str">
        <f>HYPERLINK("#'Data'!A6091", "K_2 Households reporting first most significant challenge their household currently faces broken down by proximity to the Frontline / Russian borde...")</f>
        <v>K_2 Households reporting first most significant challenge their household currently faces broken down by proximity to the Frontline / Russian borde...</v>
      </c>
    </row>
    <row r="799" spans="2:5" ht="15.6" hidden="1">
      <c r="B799" s="16" t="s">
        <v>160</v>
      </c>
      <c r="C799" s="17" t="s">
        <v>161</v>
      </c>
      <c r="D799" s="24">
        <v>1264</v>
      </c>
      <c r="E799" s="18" t="str">
        <f>HYPERLINK("#'Data'!A6194", "K_2 Households reporting first most significant challenge their household currently faces broken down by member with WGSS disability on the admin o...")</f>
        <v>K_2 Households reporting first most significant challenge their household currently faces broken down by member with WGSS disability on the admin o...</v>
      </c>
    </row>
    <row r="800" spans="2:5" ht="15.6" hidden="1">
      <c r="B800" s="16" t="s">
        <v>160</v>
      </c>
      <c r="C800" s="17" t="s">
        <v>161</v>
      </c>
      <c r="D800" s="24">
        <v>1267</v>
      </c>
      <c r="E800" s="18" t="str">
        <f>HYPERLINK("#'Data'!A6270", "K_2 Households reporting first most significant challenge their household currently faces broken down by displacement status of HoH on the admin of...")</f>
        <v>K_2 Households reporting first most significant challenge their household currently faces broken down by displacement status of HoH on the admin of...</v>
      </c>
    </row>
    <row r="801" spans="2:5" ht="15.6" hidden="1">
      <c r="B801" s="16" t="s">
        <v>160</v>
      </c>
      <c r="C801" s="17" t="s">
        <v>161</v>
      </c>
      <c r="D801" s="24">
        <v>1270</v>
      </c>
      <c r="E801" s="18" t="str">
        <f>HYPERLINK("#'Data'!A6392", "K_2 Households reporting first most significant challenge their household currently faces broken down by household size on the admin of overall ")</f>
        <v xml:space="preserve">K_2 Households reporting first most significant challenge their household currently faces broken down by household size on the admin of overall </v>
      </c>
    </row>
    <row r="802" spans="2:5" ht="15.6" hidden="1">
      <c r="B802" s="16" t="s">
        <v>160</v>
      </c>
      <c r="C802" s="17" t="s">
        <v>161</v>
      </c>
      <c r="D802" s="24">
        <v>1273</v>
      </c>
      <c r="E802" s="18" t="str">
        <f>HYPERLINK("#'Data'!A6491", "K_2 Households reporting first most significant challenge their household currently faces broken down by single/joint headed HHs on the admin of ov...")</f>
        <v>K_2 Households reporting first most significant challenge their household currently faces broken down by single/joint headed HHs on the admin of ov...</v>
      </c>
    </row>
    <row r="803" spans="2:5" ht="15.6" hidden="1">
      <c r="B803" s="16" t="s">
        <v>160</v>
      </c>
      <c r="C803" s="17" t="s">
        <v>162</v>
      </c>
      <c r="D803" s="24">
        <v>1277</v>
      </c>
      <c r="E803" s="18" t="str">
        <f>HYPERLINK("#'Data'!A6593", "Support households reportedly would like to receive broken down by gender of respondent on the admin of overall perc")</f>
        <v>Support households reportedly would like to receive broken down by gender of respondent on the admin of overall perc</v>
      </c>
    </row>
    <row r="804" spans="2:5" ht="15.6" hidden="1">
      <c r="B804" s="16" t="s">
        <v>160</v>
      </c>
      <c r="C804" s="17" t="s">
        <v>162</v>
      </c>
      <c r="D804" s="24">
        <v>1278</v>
      </c>
      <c r="E804" s="18" t="str">
        <f>HYPERLINK("#'Data'!A6600", "Support households reportedly would like to receive broken down by age of respondents on the admin of overall perc")</f>
        <v>Support households reportedly would like to receive broken down by age of respondents on the admin of overall perc</v>
      </c>
    </row>
    <row r="805" spans="2:5" ht="15.6" hidden="1">
      <c r="B805" s="16" t="s">
        <v>160</v>
      </c>
      <c r="C805" s="17" t="s">
        <v>162</v>
      </c>
      <c r="D805" s="24">
        <v>1279</v>
      </c>
      <c r="E805" s="18" t="str">
        <f>HYPERLINK("#'Data'!A6608", "Support households reportedly would like to receive broken down by rural / urban on the admin of overall perc")</f>
        <v>Support households reportedly would like to receive broken down by rural / urban on the admin of overall perc</v>
      </c>
    </row>
    <row r="806" spans="2:5" ht="15.6" hidden="1">
      <c r="B806" s="16" t="s">
        <v>160</v>
      </c>
      <c r="C806" s="17" t="s">
        <v>162</v>
      </c>
      <c r="D806" s="24">
        <v>1280</v>
      </c>
      <c r="E806" s="18" t="str">
        <f>HYPERLINK("#'Data'!A6614", "Support households reportedly would like to receive broken down by proximity to the Frontline / Russian border on the admin of overall perc")</f>
        <v>Support households reportedly would like to receive broken down by proximity to the Frontline / Russian border on the admin of overall perc</v>
      </c>
    </row>
    <row r="807" spans="2:5" ht="15.6" hidden="1">
      <c r="B807" s="16" t="s">
        <v>160</v>
      </c>
      <c r="C807" s="17" t="s">
        <v>162</v>
      </c>
      <c r="D807" s="24">
        <v>1281</v>
      </c>
      <c r="E807" s="18" t="str">
        <f>HYPERLINK("#'Data'!A6621", "Support households reportedly would like to receive broken down by member with WGSS disability on the admin of overall perc")</f>
        <v>Support households reportedly would like to receive broken down by member with WGSS disability on the admin of overall perc</v>
      </c>
    </row>
    <row r="808" spans="2:5" ht="15.6" hidden="1">
      <c r="B808" s="16" t="s">
        <v>160</v>
      </c>
      <c r="C808" s="17" t="s">
        <v>162</v>
      </c>
      <c r="D808" s="24">
        <v>1282</v>
      </c>
      <c r="E808" s="18" t="str">
        <f>HYPERLINK("#'Data'!A6627", "Support households reportedly would like to receive broken down by displacement status of HoH on the admin of overall perc")</f>
        <v>Support households reportedly would like to receive broken down by displacement status of HoH on the admin of overall perc</v>
      </c>
    </row>
    <row r="809" spans="2:5" ht="15.6" hidden="1">
      <c r="B809" s="16" t="s">
        <v>160</v>
      </c>
      <c r="C809" s="17" t="s">
        <v>162</v>
      </c>
      <c r="D809" s="24">
        <v>1283</v>
      </c>
      <c r="E809" s="18" t="str">
        <f>HYPERLINK("#'Data'!A6636", "Support households reportedly would like to receive broken down by household size on the admin of overall perc")</f>
        <v>Support households reportedly would like to receive broken down by household size on the admin of overall perc</v>
      </c>
    </row>
    <row r="810" spans="2:5" ht="15.6" hidden="1">
      <c r="B810" s="16" t="s">
        <v>160</v>
      </c>
      <c r="C810" s="17" t="s">
        <v>162</v>
      </c>
      <c r="D810" s="24">
        <v>1284</v>
      </c>
      <c r="E810" s="18" t="str">
        <f>HYPERLINK("#'Data'!A6643", "Support households reportedly would like to receive broken down by single/joint headed HHs on the admin of overall perc")</f>
        <v>Support households reportedly would like to receive broken down by single/joint headed HHs on the admin of overall perc</v>
      </c>
    </row>
    <row r="811" spans="2:5" ht="15.6" hidden="1">
      <c r="B811" s="16" t="s">
        <v>160</v>
      </c>
      <c r="C811" s="17" t="s">
        <v>163</v>
      </c>
      <c r="D811" s="24">
        <v>1286</v>
      </c>
      <c r="E811" s="18" t="str">
        <f>HYPERLINK("#'Data'!A6650", "Aid households reportedly would like to receive broken down by gender of respondent on the admin of overall perc")</f>
        <v>Aid households reportedly would like to receive broken down by gender of respondent on the admin of overall perc</v>
      </c>
    </row>
    <row r="812" spans="2:5" ht="15.6" hidden="1">
      <c r="B812" s="16" t="s">
        <v>160</v>
      </c>
      <c r="C812" s="17" t="s">
        <v>163</v>
      </c>
      <c r="D812" s="24">
        <v>1287</v>
      </c>
      <c r="E812" s="18" t="str">
        <f>HYPERLINK("#'Data'!A6657", "Aid households reportedly would like to receive broken down by age of respondents on the admin of overall perc")</f>
        <v>Aid households reportedly would like to receive broken down by age of respondents on the admin of overall perc</v>
      </c>
    </row>
    <row r="813" spans="2:5" ht="15.6" hidden="1">
      <c r="B813" s="16" t="s">
        <v>160</v>
      </c>
      <c r="C813" s="17" t="s">
        <v>163</v>
      </c>
      <c r="D813" s="24">
        <v>1288</v>
      </c>
      <c r="E813" s="18" t="str">
        <f>HYPERLINK("#'Data'!A6665", "Aid households reportedly would like to receive broken down by rural / urban on the admin of overall perc")</f>
        <v>Aid households reportedly would like to receive broken down by rural / urban on the admin of overall perc</v>
      </c>
    </row>
    <row r="814" spans="2:5" ht="15.6" hidden="1">
      <c r="B814" s="16" t="s">
        <v>160</v>
      </c>
      <c r="C814" s="17" t="s">
        <v>163</v>
      </c>
      <c r="D814" s="24">
        <v>1289</v>
      </c>
      <c r="E814" s="18" t="str">
        <f>HYPERLINK("#'Data'!A6671", "Aid households reportedly would like to receive broken down by proximity to the Frontline / Russian border on the admin of overall perc")</f>
        <v>Aid households reportedly would like to receive broken down by proximity to the Frontline / Russian border on the admin of overall perc</v>
      </c>
    </row>
    <row r="815" spans="2:5" ht="15.6" hidden="1">
      <c r="B815" s="16" t="s">
        <v>160</v>
      </c>
      <c r="C815" s="17" t="s">
        <v>163</v>
      </c>
      <c r="D815" s="24">
        <v>1290</v>
      </c>
      <c r="E815" s="18" t="str">
        <f>HYPERLINK("#'Data'!A6678", "Aid households reportedly would like to receive broken down by member with WGSS disability on the admin of overall perc")</f>
        <v>Aid households reportedly would like to receive broken down by member with WGSS disability on the admin of overall perc</v>
      </c>
    </row>
    <row r="816" spans="2:5" ht="15.6" hidden="1">
      <c r="B816" s="16" t="s">
        <v>160</v>
      </c>
      <c r="C816" s="17" t="s">
        <v>163</v>
      </c>
      <c r="D816" s="24">
        <v>1291</v>
      </c>
      <c r="E816" s="18" t="str">
        <f>HYPERLINK("#'Data'!A6684", "Aid households reportedly would like to receive broken down by displacement status of HoH on the admin of overall perc")</f>
        <v>Aid households reportedly would like to receive broken down by displacement status of HoH on the admin of overall perc</v>
      </c>
    </row>
    <row r="817" spans="2:5" ht="15.6" hidden="1">
      <c r="B817" s="16" t="s">
        <v>160</v>
      </c>
      <c r="C817" s="17" t="s">
        <v>163</v>
      </c>
      <c r="D817" s="24">
        <v>1292</v>
      </c>
      <c r="E817" s="18" t="str">
        <f>HYPERLINK("#'Data'!A6693", "Aid households reportedly would like to receive broken down by household size on the admin of overall perc")</f>
        <v>Aid households reportedly would like to receive broken down by household size on the admin of overall perc</v>
      </c>
    </row>
    <row r="818" spans="2:5" ht="15.6" hidden="1">
      <c r="B818" s="16" t="s">
        <v>160</v>
      </c>
      <c r="C818" s="17" t="s">
        <v>163</v>
      </c>
      <c r="D818" s="24">
        <v>1293</v>
      </c>
      <c r="E818" s="18" t="str">
        <f>HYPERLINK("#'Data'!A6700", "Aid households reportedly would like to receive broken down by single/joint headed HHs on the admin of overall perc")</f>
        <v>Aid households reportedly would like to receive broken down by single/joint headed HHs on the admin of overall perc</v>
      </c>
    </row>
    <row r="819" spans="2:5" ht="15.6" hidden="1">
      <c r="B819" s="16" t="s">
        <v>160</v>
      </c>
      <c r="C819" s="17" t="s">
        <v>164</v>
      </c>
      <c r="D819" s="24">
        <v>1300</v>
      </c>
      <c r="E819" s="18" t="str">
        <f>HYPERLINK("#'Data'!A6707", "Preferred modality of assistance per aid type broken down by gender of respondent on the admin of overall ")</f>
        <v xml:space="preserve">Preferred modality of assistance per aid type broken down by gender of respondent on the admin of overall </v>
      </c>
    </row>
    <row r="820" spans="2:5" ht="15.6" hidden="1">
      <c r="B820" s="16" t="s">
        <v>160</v>
      </c>
      <c r="C820" s="17" t="s">
        <v>165</v>
      </c>
      <c r="D820" s="24">
        <v>1305</v>
      </c>
      <c r="E820" s="18" t="str">
        <f>HYPERLINK("#'Data'!A6722", "K_11 Households Reported to have Received Humanitarian Assistance in the Last 12 months broken down by gender of respondent on the admin of overall...")</f>
        <v>K_11 Households Reported to have Received Humanitarian Assistance in the Last 12 months broken down by gender of respondent on the admin of overall...</v>
      </c>
    </row>
    <row r="821" spans="2:5" ht="15.6" hidden="1">
      <c r="B821" s="16" t="s">
        <v>160</v>
      </c>
      <c r="C821" s="17" t="s">
        <v>164</v>
      </c>
      <c r="D821" s="24">
        <v>1306</v>
      </c>
      <c r="E821" s="18" t="str">
        <f>HYPERLINK("#'Data'!A6729", "Preferred modality of assistance per aid type broken down by age of respondents on the admin of overall ")</f>
        <v xml:space="preserve">Preferred modality of assistance per aid type broken down by age of respondents on the admin of overall </v>
      </c>
    </row>
    <row r="822" spans="2:5" ht="15.6" hidden="1">
      <c r="B822" s="16" t="s">
        <v>160</v>
      </c>
      <c r="C822" s="17" t="s">
        <v>165</v>
      </c>
      <c r="D822" s="24">
        <v>1311</v>
      </c>
      <c r="E822" s="18" t="str">
        <f>HYPERLINK("#'Data'!A6751", "K_11 Households Reported to have Received Humanitarian Assistance in the Last 12 months broken down by age of respondents on the admin of overall p...")</f>
        <v>K_11 Households Reported to have Received Humanitarian Assistance in the Last 12 months broken down by age of respondents on the admin of overall p...</v>
      </c>
    </row>
    <row r="823" spans="2:5" ht="15.6" hidden="1">
      <c r="B823" s="16" t="s">
        <v>160</v>
      </c>
      <c r="C823" s="17" t="s">
        <v>164</v>
      </c>
      <c r="D823" s="24">
        <v>1312</v>
      </c>
      <c r="E823" s="18" t="str">
        <f>HYPERLINK("#'Data'!A6759", "Preferred modality of assistance per aid type broken down by rural / urban on the admin of overall ")</f>
        <v xml:space="preserve">Preferred modality of assistance per aid type broken down by rural / urban on the admin of overall </v>
      </c>
    </row>
    <row r="824" spans="2:5" ht="15.6" hidden="1">
      <c r="B824" s="16" t="s">
        <v>160</v>
      </c>
      <c r="C824" s="17" t="s">
        <v>165</v>
      </c>
      <c r="D824" s="24">
        <v>1317</v>
      </c>
      <c r="E824" s="18" t="str">
        <f>HYPERLINK("#'Data'!A6776", "K_11 Households Reported to have Received Humanitarian Assistance in the Last 12 months broken down by rural / urban on the admin of overall perc")</f>
        <v>K_11 Households Reported to have Received Humanitarian Assistance in the Last 12 months broken down by rural / urban on the admin of overall perc</v>
      </c>
    </row>
    <row r="825" spans="2:5" ht="15.6" hidden="1">
      <c r="B825" s="16" t="s">
        <v>160</v>
      </c>
      <c r="C825" s="17" t="s">
        <v>164</v>
      </c>
      <c r="D825" s="24">
        <v>1318</v>
      </c>
      <c r="E825" s="18" t="str">
        <f>HYPERLINK("#'Data'!A6782", "Preferred modality of assistance per aid type broken down by proximity to the Frontline / Russian border on the a...")</f>
        <v>Preferred modality of assistance per aid type broken down by proximity to the Frontline / Russian border on the a...</v>
      </c>
    </row>
    <row r="826" spans="2:5" ht="15.6" hidden="1">
      <c r="B826" s="16" t="s">
        <v>160</v>
      </c>
      <c r="C826" s="17" t="s">
        <v>165</v>
      </c>
      <c r="D826" s="24">
        <v>1323</v>
      </c>
      <c r="E826" s="18" t="str">
        <f>HYPERLINK("#'Data'!A6800", "K_11 Households Reported to have Received Humanitarian Assistance in the Last 12 months broken down by proximity to the Frontline / Russian border ...")</f>
        <v>K_11 Households Reported to have Received Humanitarian Assistance in the Last 12 months broken down by proximity to the Frontline / Russian border ...</v>
      </c>
    </row>
    <row r="827" spans="2:5" ht="15.6" hidden="1">
      <c r="B827" s="16" t="s">
        <v>160</v>
      </c>
      <c r="C827" s="17" t="s">
        <v>164</v>
      </c>
      <c r="D827" s="24">
        <v>1324</v>
      </c>
      <c r="E827" s="18" t="str">
        <f>HYPERLINK("#'Data'!A6807", "Preferred modality of assistance per aid type broken down by member with WGSS disability on the admin of overall ")</f>
        <v xml:space="preserve">Preferred modality of assistance per aid type broken down by member with WGSS disability on the admin of overall </v>
      </c>
    </row>
    <row r="828" spans="2:5" ht="15.6" hidden="1">
      <c r="B828" s="16" t="s">
        <v>160</v>
      </c>
      <c r="C828" s="17" t="s">
        <v>165</v>
      </c>
      <c r="D828" s="24">
        <v>1329</v>
      </c>
      <c r="E828" s="18" t="str">
        <f>HYPERLINK("#'Data'!A6823", "K_11 Households Reported to have Received Humanitarian Assistance in the Last 12 months broken down by member with WGSS disability on the admin of ...")</f>
        <v>K_11 Households Reported to have Received Humanitarian Assistance in the Last 12 months broken down by member with WGSS disability on the admin of ...</v>
      </c>
    </row>
    <row r="829" spans="2:5" ht="15.6" hidden="1">
      <c r="B829" s="16" t="s">
        <v>160</v>
      </c>
      <c r="C829" s="17" t="s">
        <v>164</v>
      </c>
      <c r="D829" s="24">
        <v>1330</v>
      </c>
      <c r="E829" s="18" t="str">
        <f>HYPERLINK("#'Data'!A6829", "Preferred modality of assistance per aid type broken down by displacement status of HoH on the admin of overall ")</f>
        <v xml:space="preserve">Preferred modality of assistance per aid type broken down by displacement status of HoH on the admin of overall </v>
      </c>
    </row>
    <row r="830" spans="2:5" ht="15.6" hidden="1">
      <c r="B830" s="16" t="s">
        <v>160</v>
      </c>
      <c r="C830" s="17" t="s">
        <v>165</v>
      </c>
      <c r="D830" s="24">
        <v>1335</v>
      </c>
      <c r="E830" s="18" t="str">
        <f>HYPERLINK("#'Data'!A6851", "K_11 Households Reported to have Received Humanitarian Assistance in the Last 12 months broken down by displacement status of HoH on the admin of o...")</f>
        <v>K_11 Households Reported to have Received Humanitarian Assistance in the Last 12 months broken down by displacement status of HoH on the admin of o...</v>
      </c>
    </row>
    <row r="831" spans="2:5" ht="15.6" hidden="1">
      <c r="B831" s="16" t="s">
        <v>160</v>
      </c>
      <c r="C831" s="17" t="s">
        <v>164</v>
      </c>
      <c r="D831" s="24">
        <v>1336</v>
      </c>
      <c r="E831" s="18" t="str">
        <f>HYPERLINK("#'Data'!A6860", "Preferred modality of assistance per aid type broken down by household size on the admin of overall ")</f>
        <v xml:space="preserve">Preferred modality of assistance per aid type broken down by household size on the admin of overall </v>
      </c>
    </row>
    <row r="832" spans="2:5" ht="15.6" hidden="1">
      <c r="B832" s="16" t="s">
        <v>160</v>
      </c>
      <c r="C832" s="17" t="s">
        <v>165</v>
      </c>
      <c r="D832" s="24">
        <v>1341</v>
      </c>
      <c r="E832" s="18" t="str">
        <f>HYPERLINK("#'Data'!A6878", "K_11 Households Reported to have Received Humanitarian Assistance in the Last 12 months broken down by household size on the admin of overall perc")</f>
        <v>K_11 Households Reported to have Received Humanitarian Assistance in the Last 12 months broken down by household size on the admin of overall perc</v>
      </c>
    </row>
    <row r="833" spans="2:5" ht="15.6" hidden="1">
      <c r="B833" s="16" t="s">
        <v>160</v>
      </c>
      <c r="C833" s="17" t="s">
        <v>164</v>
      </c>
      <c r="D833" s="24">
        <v>1342</v>
      </c>
      <c r="E833" s="18" t="str">
        <f>HYPERLINK("#'Data'!A6885", "Preferred modality of assistance per aid type broken down by single/joint headed HHs on the admin of overall ")</f>
        <v xml:space="preserve">Preferred modality of assistance per aid type broken down by single/joint headed HHs on the admin of overall </v>
      </c>
    </row>
    <row r="834" spans="2:5" ht="15.6" hidden="1">
      <c r="B834" s="16" t="s">
        <v>160</v>
      </c>
      <c r="C834" s="17" t="s">
        <v>165</v>
      </c>
      <c r="D834" s="24">
        <v>1347</v>
      </c>
      <c r="E834" s="18" t="str">
        <f>HYPERLINK("#'Data'!A6903", "K_11 Households Reported to have Received Humanitarian Assistance in the Last 12 months broken down by single/joint headed HHs on the admin of over...")</f>
        <v>K_11 Households Reported to have Received Humanitarian Assistance in the Last 12 months broken down by single/joint headed HHs on the admin of over...</v>
      </c>
    </row>
    <row r="835" spans="2:5" ht="15.6" hidden="1">
      <c r="B835" s="16" t="s">
        <v>160</v>
      </c>
      <c r="C835" s="17" t="s">
        <v>166</v>
      </c>
      <c r="D835" s="24">
        <v>1349</v>
      </c>
      <c r="E835" s="18" t="str">
        <f>HYPERLINK("#'Data'!A6910", "Barriers Households reportedly faced during accessing aid broken down by gender of respondent on the admin of overall perc")</f>
        <v>Barriers Households reportedly faced during accessing aid broken down by gender of respondent on the admin of overall perc</v>
      </c>
    </row>
    <row r="836" spans="2:5" ht="15.6" hidden="1">
      <c r="B836" s="16" t="s">
        <v>160</v>
      </c>
      <c r="C836" s="17" t="s">
        <v>166</v>
      </c>
      <c r="D836" s="24">
        <v>1350</v>
      </c>
      <c r="E836" s="18" t="str">
        <f>HYPERLINK("#'Data'!A6917", "Barriers Households reportedly faced during accessing aid broken down by age of respondents on the admin of overall perc")</f>
        <v>Barriers Households reportedly faced during accessing aid broken down by age of respondents on the admin of overall perc</v>
      </c>
    </row>
    <row r="837" spans="2:5" ht="15.6" hidden="1">
      <c r="B837" s="16" t="s">
        <v>160</v>
      </c>
      <c r="C837" s="17" t="s">
        <v>166</v>
      </c>
      <c r="D837" s="24">
        <v>1351</v>
      </c>
      <c r="E837" s="18" t="str">
        <f>HYPERLINK("#'Data'!A6925", "Barriers Households reportedly faced during accessing aid broken down by rural / urban on the admin of overall perc")</f>
        <v>Barriers Households reportedly faced during accessing aid broken down by rural / urban on the admin of overall perc</v>
      </c>
    </row>
    <row r="838" spans="2:5" ht="15.6" hidden="1">
      <c r="B838" s="16" t="s">
        <v>160</v>
      </c>
      <c r="C838" s="17" t="s">
        <v>166</v>
      </c>
      <c r="D838" s="24">
        <v>1352</v>
      </c>
      <c r="E838" s="18" t="str">
        <f>HYPERLINK("#'Data'!A6931", "Barriers Households reportedly faced during accessing aid broken down by proximity to the Frontline / Russian border on the admin of overall perc")</f>
        <v>Barriers Households reportedly faced during accessing aid broken down by proximity to the Frontline / Russian border on the admin of overall perc</v>
      </c>
    </row>
    <row r="839" spans="2:5" ht="15.6" hidden="1">
      <c r="B839" s="16" t="s">
        <v>160</v>
      </c>
      <c r="C839" s="17" t="s">
        <v>166</v>
      </c>
      <c r="D839" s="24">
        <v>1353</v>
      </c>
      <c r="E839" s="18" t="str">
        <f>HYPERLINK("#'Data'!A6938", "Barriers Households reportedly faced during accessing aid broken down by member with WGSS disability on the admin of overall perc")</f>
        <v>Barriers Households reportedly faced during accessing aid broken down by member with WGSS disability on the admin of overall perc</v>
      </c>
    </row>
    <row r="840" spans="2:5" ht="15.6" hidden="1">
      <c r="B840" s="16" t="s">
        <v>160</v>
      </c>
      <c r="C840" s="17" t="s">
        <v>166</v>
      </c>
      <c r="D840" s="24">
        <v>1354</v>
      </c>
      <c r="E840" s="18" t="str">
        <f>HYPERLINK("#'Data'!A6944", "Barriers Households reportedly faced during accessing aid broken down by displacement status of HoH on the admin of overall perc")</f>
        <v>Barriers Households reportedly faced during accessing aid broken down by displacement status of HoH on the admin of overall perc</v>
      </c>
    </row>
    <row r="841" spans="2:5" ht="15.6" hidden="1">
      <c r="B841" s="16" t="s">
        <v>160</v>
      </c>
      <c r="C841" s="17" t="s">
        <v>166</v>
      </c>
      <c r="D841" s="24">
        <v>1355</v>
      </c>
      <c r="E841" s="18" t="str">
        <f>HYPERLINK("#'Data'!A6953", "Barriers Households reportedly faced during accessing aid broken down by household size on the admin of overall perc")</f>
        <v>Barriers Households reportedly faced during accessing aid broken down by household size on the admin of overall perc</v>
      </c>
    </row>
    <row r="842" spans="2:5" ht="15.6" hidden="1">
      <c r="B842" s="16" t="s">
        <v>160</v>
      </c>
      <c r="C842" s="17" t="s">
        <v>166</v>
      </c>
      <c r="D842" s="24">
        <v>1356</v>
      </c>
      <c r="E842" s="18" t="str">
        <f>HYPERLINK("#'Data'!A6960", "Barriers Households reportedly faced during accessing aid broken down by single/joint headed HHs on the admin of overall perc")</f>
        <v>Barriers Households reportedly faced during accessing aid broken down by single/joint headed HHs on the admin of overall perc</v>
      </c>
    </row>
    <row r="843" spans="2:5" ht="15.6" hidden="1">
      <c r="B843" s="16" t="s">
        <v>160</v>
      </c>
      <c r="C843" s="17" t="s">
        <v>167</v>
      </c>
      <c r="D843" s="24">
        <v>1358</v>
      </c>
      <c r="E843" s="18" t="str">
        <f>HYPERLINK("#'Data'!A6967", "Aid satisfaction reported by households broken down by gender of respondent on the admin of overall perc")</f>
        <v>Aid satisfaction reported by households broken down by gender of respondent on the admin of overall perc</v>
      </c>
    </row>
    <row r="844" spans="2:5" ht="15.6" hidden="1">
      <c r="B844" s="16" t="s">
        <v>160</v>
      </c>
      <c r="C844" s="17" t="s">
        <v>167</v>
      </c>
      <c r="D844" s="24">
        <v>1359</v>
      </c>
      <c r="E844" s="18" t="str">
        <f>HYPERLINK("#'Data'!A6974", "Aid satisfaction reported by households broken down by age of respondents on the admin of overall perc")</f>
        <v>Aid satisfaction reported by households broken down by age of respondents on the admin of overall perc</v>
      </c>
    </row>
    <row r="845" spans="2:5" ht="15.6" hidden="1">
      <c r="B845" s="16" t="s">
        <v>160</v>
      </c>
      <c r="C845" s="17" t="s">
        <v>167</v>
      </c>
      <c r="D845" s="24">
        <v>1360</v>
      </c>
      <c r="E845" s="18" t="str">
        <f>HYPERLINK("#'Data'!A6982", "Aid satisfaction reported by households broken down by rural / urban on the admin of overall perc")</f>
        <v>Aid satisfaction reported by households broken down by rural / urban on the admin of overall perc</v>
      </c>
    </row>
    <row r="846" spans="2:5" ht="15.6" hidden="1">
      <c r="B846" s="16" t="s">
        <v>160</v>
      </c>
      <c r="C846" s="17" t="s">
        <v>167</v>
      </c>
      <c r="D846" s="24">
        <v>1361</v>
      </c>
      <c r="E846" s="18" t="str">
        <f>HYPERLINK("#'Data'!A6988", "Aid satisfaction reported by households broken down by proximity to the Frontline / Russian border on the admin of overall perc")</f>
        <v>Aid satisfaction reported by households broken down by proximity to the Frontline / Russian border on the admin of overall perc</v>
      </c>
    </row>
    <row r="847" spans="2:5" ht="15.6" hidden="1">
      <c r="B847" s="16" t="s">
        <v>160</v>
      </c>
      <c r="C847" s="17" t="s">
        <v>167</v>
      </c>
      <c r="D847" s="24">
        <v>1362</v>
      </c>
      <c r="E847" s="18" t="str">
        <f>HYPERLINK("#'Data'!A6995", "Aid satisfaction reported by households broken down by member with WGSS disability on the admin of overall perc")</f>
        <v>Aid satisfaction reported by households broken down by member with WGSS disability on the admin of overall perc</v>
      </c>
    </row>
    <row r="848" spans="2:5" ht="15.6" hidden="1">
      <c r="B848" s="16" t="s">
        <v>160</v>
      </c>
      <c r="C848" s="17" t="s">
        <v>167</v>
      </c>
      <c r="D848" s="24">
        <v>1363</v>
      </c>
      <c r="E848" s="18" t="str">
        <f>HYPERLINK("#'Data'!A7001", "Aid satisfaction reported by households broken down by displacement status of HoH on the admin of overall perc")</f>
        <v>Aid satisfaction reported by households broken down by displacement status of HoH on the admin of overall perc</v>
      </c>
    </row>
    <row r="849" spans="2:5" ht="15.6" hidden="1">
      <c r="B849" s="16" t="s">
        <v>160</v>
      </c>
      <c r="C849" s="17" t="s">
        <v>167</v>
      </c>
      <c r="D849" s="24">
        <v>1364</v>
      </c>
      <c r="E849" s="18" t="str">
        <f>HYPERLINK("#'Data'!A7010", "Aid satisfaction reported by households broken down by household size on the admin of overall perc")</f>
        <v>Aid satisfaction reported by households broken down by household size on the admin of overall perc</v>
      </c>
    </row>
    <row r="850" spans="2:5" ht="15.6" hidden="1">
      <c r="B850" s="16" t="s">
        <v>160</v>
      </c>
      <c r="C850" s="17" t="s">
        <v>167</v>
      </c>
      <c r="D850" s="24">
        <v>1365</v>
      </c>
      <c r="E850" s="18" t="str">
        <f>HYPERLINK("#'Data'!A7017", "Aid satisfaction reported by households broken down by single/joint headed HHs on the admin of overall perc")</f>
        <v>Aid satisfaction reported by households broken down by single/joint headed HHs on the admin of overall perc</v>
      </c>
    </row>
    <row r="851" spans="2:5" ht="15.6" hidden="1">
      <c r="B851" s="16" t="s">
        <v>160</v>
      </c>
      <c r="C851" s="17" t="s">
        <v>168</v>
      </c>
      <c r="D851" s="24">
        <v>1367</v>
      </c>
      <c r="E851" s="18" t="str">
        <f>HYPERLINK("#'Data'!A7024", "Information Households would like to receive from aid providers broken down by gender of respondent on the admin of overall perc")</f>
        <v>Information Households would like to receive from aid providers broken down by gender of respondent on the admin of overall perc</v>
      </c>
    </row>
    <row r="852" spans="2:5" ht="15.6" hidden="1">
      <c r="B852" s="16" t="s">
        <v>160</v>
      </c>
      <c r="C852" s="17" t="s">
        <v>168</v>
      </c>
      <c r="D852" s="24">
        <v>1368</v>
      </c>
      <c r="E852" s="18" t="str">
        <f>HYPERLINK("#'Data'!A7031", "Information Households would like to receive from aid providers broken down by age of respondents on the admin of overall perc")</f>
        <v>Information Households would like to receive from aid providers broken down by age of respondents on the admin of overall perc</v>
      </c>
    </row>
    <row r="853" spans="2:5" ht="15.6" hidden="1">
      <c r="B853" s="16" t="s">
        <v>160</v>
      </c>
      <c r="C853" s="17" t="s">
        <v>168</v>
      </c>
      <c r="D853" s="24">
        <v>1369</v>
      </c>
      <c r="E853" s="18" t="str">
        <f>HYPERLINK("#'Data'!A7039", "Information Households would like to receive from aid providers broken down by rural / urban on the admin of overall perc")</f>
        <v>Information Households would like to receive from aid providers broken down by rural / urban on the admin of overall perc</v>
      </c>
    </row>
    <row r="854" spans="2:5" ht="15.6" hidden="1">
      <c r="B854" s="16" t="s">
        <v>160</v>
      </c>
      <c r="C854" s="17" t="s">
        <v>168</v>
      </c>
      <c r="D854" s="24">
        <v>1370</v>
      </c>
      <c r="E854" s="18" t="str">
        <f>HYPERLINK("#'Data'!A7045", "Information Households would like to receive from aid providers broken down by proximity to the Frontline / Russian border on the admin of overall ...")</f>
        <v>Information Households would like to receive from aid providers broken down by proximity to the Frontline / Russian border on the admin of overall ...</v>
      </c>
    </row>
    <row r="855" spans="2:5" ht="15.6" hidden="1">
      <c r="B855" s="16" t="s">
        <v>160</v>
      </c>
      <c r="C855" s="17" t="s">
        <v>168</v>
      </c>
      <c r="D855" s="24">
        <v>1371</v>
      </c>
      <c r="E855" s="18" t="str">
        <f>HYPERLINK("#'Data'!A7052", "Information Households would like to receive from aid providers broken down by member with WGSS disability on the admin of overall perc")</f>
        <v>Information Households would like to receive from aid providers broken down by member with WGSS disability on the admin of overall perc</v>
      </c>
    </row>
    <row r="856" spans="2:5" ht="15.6" hidden="1">
      <c r="B856" s="16" t="s">
        <v>160</v>
      </c>
      <c r="C856" s="17" t="s">
        <v>168</v>
      </c>
      <c r="D856" s="24">
        <v>1372</v>
      </c>
      <c r="E856" s="18" t="str">
        <f>HYPERLINK("#'Data'!A7058", "Information Households would like to receive from aid providers broken down by displacement status of HoH on the admin of overall perc")</f>
        <v>Information Households would like to receive from aid providers broken down by displacement status of HoH on the admin of overall perc</v>
      </c>
    </row>
    <row r="857" spans="2:5" ht="15.6" hidden="1">
      <c r="B857" s="16" t="s">
        <v>160</v>
      </c>
      <c r="C857" s="17" t="s">
        <v>168</v>
      </c>
      <c r="D857" s="24">
        <v>1373</v>
      </c>
      <c r="E857" s="18" t="str">
        <f>HYPERLINK("#'Data'!A7067", "Information Households would like to receive from aid providers broken down by household size on the admin of overall perc")</f>
        <v>Information Households would like to receive from aid providers broken down by household size on the admin of overall perc</v>
      </c>
    </row>
    <row r="858" spans="2:5" ht="15.6" hidden="1">
      <c r="B858" s="16" t="s">
        <v>160</v>
      </c>
      <c r="C858" s="17" t="s">
        <v>168</v>
      </c>
      <c r="D858" s="24">
        <v>1374</v>
      </c>
      <c r="E858" s="18" t="str">
        <f>HYPERLINK("#'Data'!A7074", "Information Households would like to receive from aid providers broken down by single/joint headed HHs on the admin of overall perc")</f>
        <v>Information Households would like to receive from aid providers broken down by single/joint headed HHs on the admin of overall perc</v>
      </c>
    </row>
    <row r="859" spans="2:5" ht="15.6" hidden="1">
      <c r="B859" s="16" t="s">
        <v>160</v>
      </c>
      <c r="C859" s="17" t="s">
        <v>169</v>
      </c>
      <c r="D859" s="24">
        <v>1376</v>
      </c>
      <c r="E859" s="18" t="str">
        <f>HYPERLINK("#'Data'!A7081", "Peferred mean of communication reported by households broken down by gender of respondent on the admin of overall perc")</f>
        <v>Peferred mean of communication reported by households broken down by gender of respondent on the admin of overall perc</v>
      </c>
    </row>
    <row r="860" spans="2:5" ht="15.6" hidden="1">
      <c r="B860" s="16" t="s">
        <v>160</v>
      </c>
      <c r="C860" s="17" t="s">
        <v>169</v>
      </c>
      <c r="D860" s="24">
        <v>1377</v>
      </c>
      <c r="E860" s="18" t="str">
        <f>HYPERLINK("#'Data'!A7087", "Peferred mean of communication reported by households broken down by age of respondents on the admin of overall perc")</f>
        <v>Peferred mean of communication reported by households broken down by age of respondents on the admin of overall perc</v>
      </c>
    </row>
    <row r="861" spans="2:5" ht="15.6" hidden="1">
      <c r="B861" s="16" t="s">
        <v>160</v>
      </c>
      <c r="C861" s="17" t="s">
        <v>169</v>
      </c>
      <c r="D861" s="24">
        <v>1378</v>
      </c>
      <c r="E861" s="18" t="str">
        <f>HYPERLINK("#'Data'!A7095", "Peferred mean of communication reported by households broken down by rural / urban on the admin of overall perc")</f>
        <v>Peferred mean of communication reported by households broken down by rural / urban on the admin of overall perc</v>
      </c>
    </row>
    <row r="862" spans="2:5" ht="15.6" hidden="1">
      <c r="B862" s="16" t="s">
        <v>160</v>
      </c>
      <c r="C862" s="17" t="s">
        <v>169</v>
      </c>
      <c r="D862" s="24">
        <v>1379</v>
      </c>
      <c r="E862" s="18" t="str">
        <f>HYPERLINK("#'Data'!A7101", "Peferred mean of communication reported by households broken down by proximity to the Frontline / Russian border on the admin of overall perc")</f>
        <v>Peferred mean of communication reported by households broken down by proximity to the Frontline / Russian border on the admin of overall perc</v>
      </c>
    </row>
    <row r="863" spans="2:5" ht="15.6" hidden="1">
      <c r="B863" s="16" t="s">
        <v>160</v>
      </c>
      <c r="C863" s="17" t="s">
        <v>169</v>
      </c>
      <c r="D863" s="24">
        <v>1380</v>
      </c>
      <c r="E863" s="18" t="str">
        <f>HYPERLINK("#'Data'!A7108", "Peferred mean of communication reported by households broken down by member with WGSS disability on the admin of overall perc")</f>
        <v>Peferred mean of communication reported by households broken down by member with WGSS disability on the admin of overall perc</v>
      </c>
    </row>
    <row r="864" spans="2:5" ht="15.6" hidden="1">
      <c r="B864" s="16" t="s">
        <v>160</v>
      </c>
      <c r="C864" s="17" t="s">
        <v>169</v>
      </c>
      <c r="D864" s="24">
        <v>1381</v>
      </c>
      <c r="E864" s="18" t="str">
        <f>HYPERLINK("#'Data'!A7114", "Peferred mean of communication reported by households broken down by displacement status of HoH on the admin of overall perc")</f>
        <v>Peferred mean of communication reported by households broken down by displacement status of HoH on the admin of overall perc</v>
      </c>
    </row>
    <row r="865" spans="2:5" ht="15.6" hidden="1">
      <c r="B865" s="16" t="s">
        <v>160</v>
      </c>
      <c r="C865" s="17" t="s">
        <v>169</v>
      </c>
      <c r="D865" s="24">
        <v>1382</v>
      </c>
      <c r="E865" s="18" t="str">
        <f>HYPERLINK("#'Data'!A7123", "Peferred mean of communication reported by households broken down by household size on the admin of overall perc")</f>
        <v>Peferred mean of communication reported by households broken down by household size on the admin of overall perc</v>
      </c>
    </row>
    <row r="866" spans="2:5" ht="15.6" hidden="1">
      <c r="B866" s="16" t="s">
        <v>160</v>
      </c>
      <c r="C866" s="17" t="s">
        <v>169</v>
      </c>
      <c r="D866" s="24">
        <v>1383</v>
      </c>
      <c r="E866" s="18" t="str">
        <f>HYPERLINK("#'Data'!A7130", "Peferred mean of communication reported by households broken down by single/joint headed HHs on the admin of overall perc")</f>
        <v>Peferred mean of communication reported by households broken down by single/joint headed HHs on the admin of overall perc</v>
      </c>
    </row>
    <row r="867" spans="2:5" ht="15.6" hidden="1">
      <c r="B867" s="16" t="s">
        <v>160</v>
      </c>
      <c r="C867" s="17" t="s">
        <v>170</v>
      </c>
      <c r="D867" s="24">
        <v>1385</v>
      </c>
      <c r="E867" s="18" t="str">
        <f>HYPERLINK("#'Data'!A7137", "Households reportedly feeling involved in aid distribution broken down by gender of respondent on the admin of overall perc")</f>
        <v>Households reportedly feeling involved in aid distribution broken down by gender of respondent on the admin of overall perc</v>
      </c>
    </row>
    <row r="868" spans="2:5" ht="15.6" hidden="1">
      <c r="B868" s="16" t="s">
        <v>160</v>
      </c>
      <c r="C868" s="17" t="s">
        <v>170</v>
      </c>
      <c r="D868" s="24">
        <v>1386</v>
      </c>
      <c r="E868" s="18" t="str">
        <f>HYPERLINK("#'Data'!A7144", "Households reportedly feeling involved in aid distribution broken down by age of respondents on the admin of overall perc")</f>
        <v>Households reportedly feeling involved in aid distribution broken down by age of respondents on the admin of overall perc</v>
      </c>
    </row>
    <row r="869" spans="2:5" ht="15.6" hidden="1">
      <c r="B869" s="16" t="s">
        <v>160</v>
      </c>
      <c r="C869" s="17" t="s">
        <v>170</v>
      </c>
      <c r="D869" s="24">
        <v>1387</v>
      </c>
      <c r="E869" s="18" t="str">
        <f>HYPERLINK("#'Data'!A7152", "Households reportedly feeling involved in aid distribution broken down by rural / urban on the admin of overall perc")</f>
        <v>Households reportedly feeling involved in aid distribution broken down by rural / urban on the admin of overall perc</v>
      </c>
    </row>
    <row r="870" spans="2:5" ht="15.6" hidden="1">
      <c r="B870" s="16" t="s">
        <v>160</v>
      </c>
      <c r="C870" s="17" t="s">
        <v>170</v>
      </c>
      <c r="D870" s="24">
        <v>1388</v>
      </c>
      <c r="E870" s="18" t="str">
        <f>HYPERLINK("#'Data'!A7158", "Households reportedly feeling involved in aid distribution broken down by proximity to the Frontline / Russian border on the admin of overall perc")</f>
        <v>Households reportedly feeling involved in aid distribution broken down by proximity to the Frontline / Russian border on the admin of overall perc</v>
      </c>
    </row>
    <row r="871" spans="2:5" ht="15.6" hidden="1">
      <c r="B871" s="16" t="s">
        <v>160</v>
      </c>
      <c r="C871" s="17" t="s">
        <v>170</v>
      </c>
      <c r="D871" s="24">
        <v>1389</v>
      </c>
      <c r="E871" s="18" t="str">
        <f>HYPERLINK("#'Data'!A7165", "Households reportedly feeling involved in aid distribution broken down by member with WGSS disability on the admin of overall perc")</f>
        <v>Households reportedly feeling involved in aid distribution broken down by member with WGSS disability on the admin of overall perc</v>
      </c>
    </row>
    <row r="872" spans="2:5" ht="15.6" hidden="1">
      <c r="B872" s="16" t="s">
        <v>160</v>
      </c>
      <c r="C872" s="17" t="s">
        <v>170</v>
      </c>
      <c r="D872" s="24">
        <v>1390</v>
      </c>
      <c r="E872" s="18" t="str">
        <f>HYPERLINK("#'Data'!A7171", "Households reportedly feeling involved in aid distribution broken down by displacement status of HoH on the admin of overall perc")</f>
        <v>Households reportedly feeling involved in aid distribution broken down by displacement status of HoH on the admin of overall perc</v>
      </c>
    </row>
    <row r="873" spans="2:5" ht="15.6" hidden="1">
      <c r="B873" s="16" t="s">
        <v>160</v>
      </c>
      <c r="C873" s="17" t="s">
        <v>170</v>
      </c>
      <c r="D873" s="24">
        <v>1391</v>
      </c>
      <c r="E873" s="18" t="str">
        <f>HYPERLINK("#'Data'!A7180", "Households reportedly feeling involved in aid distribution broken down by household size on the admin of overall perc")</f>
        <v>Households reportedly feeling involved in aid distribution broken down by household size on the admin of overall perc</v>
      </c>
    </row>
    <row r="874" spans="2:5" ht="15.6" hidden="1">
      <c r="B874" s="16" t="s">
        <v>160</v>
      </c>
      <c r="C874" s="17" t="s">
        <v>170</v>
      </c>
      <c r="D874" s="24">
        <v>1392</v>
      </c>
      <c r="E874" s="18" t="str">
        <f>HYPERLINK("#'Data'!A7187", "Households reportedly feeling involved in aid distribution broken down by single/joint headed HHs on the admin of overall perc")</f>
        <v>Households reportedly feeling involved in aid distribution broken down by single/joint headed HHs on the admin of overall perc</v>
      </c>
    </row>
    <row r="875" spans="2:5" ht="15.6" hidden="1">
      <c r="B875" s="16" t="s">
        <v>160</v>
      </c>
      <c r="C875" s="17" t="s">
        <v>171</v>
      </c>
      <c r="D875" s="24">
        <v>1394</v>
      </c>
      <c r="E875" s="18" t="str">
        <f>HYPERLINK("#'Data'!A7194", "Preferred language of communication with aid providers broken down by gender of respondent on the admin of overall perc")</f>
        <v>Preferred language of communication with aid providers broken down by gender of respondent on the admin of overall perc</v>
      </c>
    </row>
    <row r="876" spans="2:5" ht="15.6" hidden="1">
      <c r="B876" s="16" t="s">
        <v>160</v>
      </c>
      <c r="C876" s="17" t="s">
        <v>171</v>
      </c>
      <c r="D876" s="24">
        <v>1395</v>
      </c>
      <c r="E876" s="18" t="str">
        <f>HYPERLINK("#'Data'!A7200", "Preferred language of communication with aid providers broken down by age of respondents on the admin of overall perc")</f>
        <v>Preferred language of communication with aid providers broken down by age of respondents on the admin of overall perc</v>
      </c>
    </row>
    <row r="877" spans="2:5" ht="15.6" hidden="1">
      <c r="B877" s="16" t="s">
        <v>160</v>
      </c>
      <c r="C877" s="17" t="s">
        <v>171</v>
      </c>
      <c r="D877" s="24">
        <v>1396</v>
      </c>
      <c r="E877" s="18" t="str">
        <f>HYPERLINK("#'Data'!A7208", "Preferred language of communication with aid providers broken down by rural / urban on the admin of overall perc")</f>
        <v>Preferred language of communication with aid providers broken down by rural / urban on the admin of overall perc</v>
      </c>
    </row>
    <row r="878" spans="2:5" ht="15.6" hidden="1">
      <c r="B878" s="16" t="s">
        <v>160</v>
      </c>
      <c r="C878" s="17" t="s">
        <v>171</v>
      </c>
      <c r="D878" s="24">
        <v>1397</v>
      </c>
      <c r="E878" s="18" t="str">
        <f>HYPERLINK("#'Data'!A7214", "Preferred language of communication with aid providers broken down by proximity to the Frontline / Russian border on the admin of overall perc")</f>
        <v>Preferred language of communication with aid providers broken down by proximity to the Frontline / Russian border on the admin of overall perc</v>
      </c>
    </row>
    <row r="879" spans="2:5" ht="15.6" hidden="1">
      <c r="B879" s="16" t="s">
        <v>160</v>
      </c>
      <c r="C879" s="17" t="s">
        <v>171</v>
      </c>
      <c r="D879" s="24">
        <v>1398</v>
      </c>
      <c r="E879" s="18" t="str">
        <f>HYPERLINK("#'Data'!A7221", "Preferred language of communication with aid providers broken down by member with WGSS disability on the admin of overall perc")</f>
        <v>Preferred language of communication with aid providers broken down by member with WGSS disability on the admin of overall perc</v>
      </c>
    </row>
    <row r="880" spans="2:5" ht="15.6" hidden="1">
      <c r="B880" s="16" t="s">
        <v>160</v>
      </c>
      <c r="C880" s="17" t="s">
        <v>171</v>
      </c>
      <c r="D880" s="24">
        <v>1399</v>
      </c>
      <c r="E880" s="18" t="str">
        <f>HYPERLINK("#'Data'!A7227", "Preferred language of communication with aid providers broken down by displacement status of HoH on the admin of overall perc")</f>
        <v>Preferred language of communication with aid providers broken down by displacement status of HoH on the admin of overall perc</v>
      </c>
    </row>
    <row r="881" spans="2:5" ht="15.6" hidden="1">
      <c r="B881" s="16" t="s">
        <v>160</v>
      </c>
      <c r="C881" s="17" t="s">
        <v>171</v>
      </c>
      <c r="D881" s="24">
        <v>1400</v>
      </c>
      <c r="E881" s="18" t="str">
        <f>HYPERLINK("#'Data'!A7236", "Preferred language of communication with aid providers broken down by household size on the admin of overall perc")</f>
        <v>Preferred language of communication with aid providers broken down by household size on the admin of overall perc</v>
      </c>
    </row>
    <row r="882" spans="2:5" ht="15.6" hidden="1">
      <c r="B882" s="16" t="s">
        <v>160</v>
      </c>
      <c r="C882" s="17" t="s">
        <v>171</v>
      </c>
      <c r="D882" s="24">
        <v>1401</v>
      </c>
      <c r="E882" s="18" t="str">
        <f>HYPERLINK("#'Data'!A7243", "Preferred language of communication with aid providers broken down by single/joint headed HHs on the admin of overall perc")</f>
        <v>Preferred language of communication with aid providers broken down by single/joint headed HHs on the admin of overall perc</v>
      </c>
    </row>
    <row r="883" spans="2:5" ht="15.6" hidden="1">
      <c r="B883" s="16" t="s">
        <v>160</v>
      </c>
      <c r="C883" s="17" t="s">
        <v>172</v>
      </c>
      <c r="D883" s="24">
        <v>1403</v>
      </c>
      <c r="E883" s="18" t="str">
        <f>HYPERLINK("#'Data'!A7250", "Households reporting to experience cuts in assisstance from the government broken down by gender of respondent on the admin of overall perc")</f>
        <v>Households reporting to experience cuts in assisstance from the government broken down by gender of respondent on the admin of overall perc</v>
      </c>
    </row>
    <row r="884" spans="2:5" ht="15.6" hidden="1">
      <c r="B884" s="16" t="s">
        <v>160</v>
      </c>
      <c r="C884" s="17" t="s">
        <v>172</v>
      </c>
      <c r="D884" s="24">
        <v>1404</v>
      </c>
      <c r="E884" s="18" t="str">
        <f>HYPERLINK("#'Data'!A7257", "Households reporting to experience cuts in assisstance from the government broken down by age of respondents on the admin of overall perc")</f>
        <v>Households reporting to experience cuts in assisstance from the government broken down by age of respondents on the admin of overall perc</v>
      </c>
    </row>
    <row r="885" spans="2:5" ht="15.6" hidden="1">
      <c r="B885" s="16" t="s">
        <v>160</v>
      </c>
      <c r="C885" s="17" t="s">
        <v>172</v>
      </c>
      <c r="D885" s="24">
        <v>1405</v>
      </c>
      <c r="E885" s="18" t="str">
        <f>HYPERLINK("#'Data'!A7265", "Households reporting to experience cuts in assisstance from the government broken down by rural / urban on the admin of overall perc")</f>
        <v>Households reporting to experience cuts in assisstance from the government broken down by rural / urban on the admin of overall perc</v>
      </c>
    </row>
    <row r="886" spans="2:5" ht="15.6" hidden="1">
      <c r="B886" s="16" t="s">
        <v>160</v>
      </c>
      <c r="C886" s="17" t="s">
        <v>172</v>
      </c>
      <c r="D886" s="24">
        <v>1406</v>
      </c>
      <c r="E886" s="18" t="str">
        <f>HYPERLINK("#'Data'!A7271", "Households reporting to experience cuts in assisstance from the government broken down by proximity to the Frontline / Russian border on the admin ...")</f>
        <v>Households reporting to experience cuts in assisstance from the government broken down by proximity to the Frontline / Russian border on the admin ...</v>
      </c>
    </row>
    <row r="887" spans="2:5" ht="15.6" hidden="1">
      <c r="B887" s="16" t="s">
        <v>160</v>
      </c>
      <c r="C887" s="17" t="s">
        <v>172</v>
      </c>
      <c r="D887" s="24">
        <v>1407</v>
      </c>
      <c r="E887" s="18" t="str">
        <f>HYPERLINK("#'Data'!A7278", "Households reporting to experience cuts in assisstance from the government broken down by member with WGSS disability on the admin of overall perc")</f>
        <v>Households reporting to experience cuts in assisstance from the government broken down by member with WGSS disability on the admin of overall perc</v>
      </c>
    </row>
    <row r="888" spans="2:5" ht="15.6" hidden="1">
      <c r="B888" s="16" t="s">
        <v>160</v>
      </c>
      <c r="C888" s="17" t="s">
        <v>172</v>
      </c>
      <c r="D888" s="24">
        <v>1408</v>
      </c>
      <c r="E888" s="18" t="str">
        <f>HYPERLINK("#'Data'!A7284", "Households reporting to experience cuts in assisstance from the government broken down by displacement status of HoH on the admin of overall perc")</f>
        <v>Households reporting to experience cuts in assisstance from the government broken down by displacement status of HoH on the admin of overall perc</v>
      </c>
    </row>
    <row r="889" spans="2:5" ht="15.6" hidden="1">
      <c r="B889" s="16" t="s">
        <v>160</v>
      </c>
      <c r="C889" s="17" t="s">
        <v>172</v>
      </c>
      <c r="D889" s="24">
        <v>1409</v>
      </c>
      <c r="E889" s="18" t="str">
        <f>HYPERLINK("#'Data'!A7293", "Households reporting to experience cuts in assisstance from the government broken down by household size on the admin of overall perc")</f>
        <v>Households reporting to experience cuts in assisstance from the government broken down by household size on the admin of overall perc</v>
      </c>
    </row>
    <row r="890" spans="2:5" ht="15.6" hidden="1">
      <c r="B890" s="16" t="s">
        <v>160</v>
      </c>
      <c r="C890" s="17" t="s">
        <v>172</v>
      </c>
      <c r="D890" s="24">
        <v>1410</v>
      </c>
      <c r="E890" s="18" t="str">
        <f>HYPERLINK("#'Data'!A7300", "Households reporting to experience cuts in assisstance from the government broken down by single/joint headed HHs on the admin of overall perc")</f>
        <v>Households reporting to experience cuts in assisstance from the government broken down by single/joint headed HHs on the admin of overall perc</v>
      </c>
    </row>
    <row r="891" spans="2:5" ht="15.6" hidden="1">
      <c r="B891" s="16" t="s">
        <v>160</v>
      </c>
      <c r="C891" s="17" t="s">
        <v>173</v>
      </c>
      <c r="D891" s="24">
        <v>1412</v>
      </c>
      <c r="E891" s="18" t="str">
        <f>HYPERLINK("#'Data'!A7307", "Households reportedly requiring legal assisstance broken down by gender of respondent on the admin of overall perc")</f>
        <v>Households reportedly requiring legal assisstance broken down by gender of respondent on the admin of overall perc</v>
      </c>
    </row>
    <row r="892" spans="2:5" ht="15.6" hidden="1">
      <c r="B892" s="16" t="s">
        <v>160</v>
      </c>
      <c r="C892" s="17" t="s">
        <v>173</v>
      </c>
      <c r="D892" s="24">
        <v>1413</v>
      </c>
      <c r="E892" s="18" t="str">
        <f>HYPERLINK("#'Data'!A7314", "Households reportedly requiring legal assisstance broken down by age of respondents on the admin of overall perc")</f>
        <v>Households reportedly requiring legal assisstance broken down by age of respondents on the admin of overall perc</v>
      </c>
    </row>
    <row r="893" spans="2:5" ht="15.6" hidden="1">
      <c r="B893" s="16" t="s">
        <v>160</v>
      </c>
      <c r="C893" s="17" t="s">
        <v>173</v>
      </c>
      <c r="D893" s="24">
        <v>1414</v>
      </c>
      <c r="E893" s="18" t="str">
        <f>HYPERLINK("#'Data'!A7322", "Households reportedly requiring legal assisstance broken down by rural / urban on the admin of overall perc")</f>
        <v>Households reportedly requiring legal assisstance broken down by rural / urban on the admin of overall perc</v>
      </c>
    </row>
    <row r="894" spans="2:5" ht="15.6" hidden="1">
      <c r="B894" s="16" t="s">
        <v>160</v>
      </c>
      <c r="C894" s="17" t="s">
        <v>173</v>
      </c>
      <c r="D894" s="24">
        <v>1415</v>
      </c>
      <c r="E894" s="18" t="str">
        <f>HYPERLINK("#'Data'!A7328", "Households reportedly requiring legal assisstance broken down by proximity to the Frontline / Russian border on the admin of overall perc")</f>
        <v>Households reportedly requiring legal assisstance broken down by proximity to the Frontline / Russian border on the admin of overall perc</v>
      </c>
    </row>
    <row r="895" spans="2:5" ht="15.6" hidden="1">
      <c r="B895" s="16" t="s">
        <v>160</v>
      </c>
      <c r="C895" s="17" t="s">
        <v>173</v>
      </c>
      <c r="D895" s="24">
        <v>1416</v>
      </c>
      <c r="E895" s="18" t="str">
        <f>HYPERLINK("#'Data'!A7335", "Households reportedly requiring legal assisstance broken down by member with WGSS disability on the admin of overall perc")</f>
        <v>Households reportedly requiring legal assisstance broken down by member with WGSS disability on the admin of overall perc</v>
      </c>
    </row>
    <row r="896" spans="2:5" ht="15.6" hidden="1">
      <c r="B896" s="16" t="s">
        <v>160</v>
      </c>
      <c r="C896" s="17" t="s">
        <v>173</v>
      </c>
      <c r="D896" s="24">
        <v>1417</v>
      </c>
      <c r="E896" s="18" t="str">
        <f>HYPERLINK("#'Data'!A7341", "Households reportedly requiring legal assisstance broken down by displacement status of HoH on the admin of overall perc")</f>
        <v>Households reportedly requiring legal assisstance broken down by displacement status of HoH on the admin of overall perc</v>
      </c>
    </row>
    <row r="897" spans="2:5" ht="15.6" hidden="1">
      <c r="B897" s="16" t="s">
        <v>160</v>
      </c>
      <c r="C897" s="17" t="s">
        <v>173</v>
      </c>
      <c r="D897" s="24">
        <v>1418</v>
      </c>
      <c r="E897" s="18" t="str">
        <f>HYPERLINK("#'Data'!A7350", "Households reportedly requiring legal assisstance broken down by household size on the admin of overall perc")</f>
        <v>Households reportedly requiring legal assisstance broken down by household size on the admin of overall perc</v>
      </c>
    </row>
    <row r="898" spans="2:5" ht="15.6" hidden="1">
      <c r="B898" s="16" t="s">
        <v>160</v>
      </c>
      <c r="C898" s="17" t="s">
        <v>173</v>
      </c>
      <c r="D898" s="24">
        <v>1419</v>
      </c>
      <c r="E898" s="18" t="str">
        <f>HYPERLINK("#'Data'!A7357", "Households reportedly requiring legal assisstance broken down by single/joint headed HHs on the admin of overall perc")</f>
        <v>Households reportedly requiring legal assisstance broken down by single/joint headed HHs on the admin of overall perc</v>
      </c>
    </row>
    <row r="899" spans="2:5" ht="15.6" hidden="1">
      <c r="B899" s="16" t="s">
        <v>160</v>
      </c>
      <c r="C899" s="17" t="s">
        <v>174</v>
      </c>
      <c r="D899" s="24">
        <v>1421</v>
      </c>
      <c r="E899" s="18" t="str">
        <f>HYPERLINK("#'Data'!A7364", "Households reportedly requiring services provided by the government broken down by gender of respondent on the admin of overall perc")</f>
        <v>Households reportedly requiring services provided by the government broken down by gender of respondent on the admin of overall perc</v>
      </c>
    </row>
    <row r="900" spans="2:5" ht="15.6" hidden="1">
      <c r="B900" s="16" t="s">
        <v>160</v>
      </c>
      <c r="C900" s="17" t="s">
        <v>174</v>
      </c>
      <c r="D900" s="24">
        <v>1422</v>
      </c>
      <c r="E900" s="18" t="str">
        <f>HYPERLINK("#'Data'!A7371", "Households reportedly requiring services provided by the government broken down by age of respondents on the admin of overall perc")</f>
        <v>Households reportedly requiring services provided by the government broken down by age of respondents on the admin of overall perc</v>
      </c>
    </row>
    <row r="901" spans="2:5" ht="15.6" hidden="1">
      <c r="B901" s="16" t="s">
        <v>160</v>
      </c>
      <c r="C901" s="17" t="s">
        <v>174</v>
      </c>
      <c r="D901" s="24">
        <v>1423</v>
      </c>
      <c r="E901" s="18" t="str">
        <f>HYPERLINK("#'Data'!A7379", "Households reportedly requiring services provided by the government broken down by rural / urban on the admin of overall perc")</f>
        <v>Households reportedly requiring services provided by the government broken down by rural / urban on the admin of overall perc</v>
      </c>
    </row>
    <row r="902" spans="2:5" ht="15.6" hidden="1">
      <c r="B902" s="16" t="s">
        <v>160</v>
      </c>
      <c r="C902" s="17" t="s">
        <v>174</v>
      </c>
      <c r="D902" s="24">
        <v>1424</v>
      </c>
      <c r="E902" s="18" t="str">
        <f>HYPERLINK("#'Data'!A7385", "Households reportedly requiring services provided by the government broken down by proximity to the Frontline / Russian border on the admin of over...")</f>
        <v>Households reportedly requiring services provided by the government broken down by proximity to the Frontline / Russian border on the admin of over...</v>
      </c>
    </row>
    <row r="903" spans="2:5" ht="15.6" hidden="1">
      <c r="B903" s="16" t="s">
        <v>160</v>
      </c>
      <c r="C903" s="17" t="s">
        <v>174</v>
      </c>
      <c r="D903" s="24">
        <v>1425</v>
      </c>
      <c r="E903" s="18" t="str">
        <f>HYPERLINK("#'Data'!A7392", "Households reportedly requiring services provided by the government broken down by member with WGSS disability on the admin of overall perc")</f>
        <v>Households reportedly requiring services provided by the government broken down by member with WGSS disability on the admin of overall perc</v>
      </c>
    </row>
    <row r="904" spans="2:5" ht="15.6" hidden="1">
      <c r="B904" s="16" t="s">
        <v>160</v>
      </c>
      <c r="C904" s="17" t="s">
        <v>174</v>
      </c>
      <c r="D904" s="24">
        <v>1426</v>
      </c>
      <c r="E904" s="18" t="str">
        <f>HYPERLINK("#'Data'!A7398", "Households reportedly requiring services provided by the government broken down by displacement status of HoH on the admin of overall perc")</f>
        <v>Households reportedly requiring services provided by the government broken down by displacement status of HoH on the admin of overall perc</v>
      </c>
    </row>
    <row r="905" spans="2:5" ht="15.6" hidden="1">
      <c r="B905" s="16" t="s">
        <v>160</v>
      </c>
      <c r="C905" s="17" t="s">
        <v>174</v>
      </c>
      <c r="D905" s="24">
        <v>1427</v>
      </c>
      <c r="E905" s="18" t="str">
        <f>HYPERLINK("#'Data'!A7407", "Households reportedly requiring services provided by the government broken down by household size on the admin of overall perc")</f>
        <v>Households reportedly requiring services provided by the government broken down by household size on the admin of overall perc</v>
      </c>
    </row>
    <row r="906" spans="2:5" ht="15.6" hidden="1">
      <c r="B906" s="16" t="s">
        <v>160</v>
      </c>
      <c r="C906" s="17" t="s">
        <v>174</v>
      </c>
      <c r="D906" s="24">
        <v>1428</v>
      </c>
      <c r="E906" s="18" t="str">
        <f>HYPERLINK("#'Data'!A7414", "Households reportedly requiring services provided by the government broken down by single/joint headed HHs on the admin of overall perc")</f>
        <v>Households reportedly requiring services provided by the government broken down by single/joint headed HHs on the admin of overall perc</v>
      </c>
    </row>
    <row r="907" spans="2:5" ht="15.6" hidden="1">
      <c r="B907" s="16" t="s">
        <v>160</v>
      </c>
      <c r="C907" s="17" t="s">
        <v>175</v>
      </c>
      <c r="D907" s="24">
        <v>1430</v>
      </c>
      <c r="E907" s="18" t="str">
        <f>HYPERLINK("#'Data'!A7421", "Households reportedly facing barriers while accessing services provided by the government broken down by gender of respondent on the admin of overa...")</f>
        <v>Households reportedly facing barriers while accessing services provided by the government broken down by gender of respondent on the admin of overa...</v>
      </c>
    </row>
    <row r="908" spans="2:5" ht="15.6" hidden="1">
      <c r="B908" s="16" t="s">
        <v>160</v>
      </c>
      <c r="C908" s="17" t="s">
        <v>175</v>
      </c>
      <c r="D908" s="24">
        <v>1431</v>
      </c>
      <c r="E908" s="18" t="str">
        <f>HYPERLINK("#'Data'!A7427", "Households reportedly facing barriers while accessing services provided by the government broken down by age of respondents on the admin of overall...")</f>
        <v>Households reportedly facing barriers while accessing services provided by the government broken down by age of respondents on the admin of overall...</v>
      </c>
    </row>
    <row r="909" spans="2:5" ht="15.6" hidden="1">
      <c r="B909" s="16" t="s">
        <v>160</v>
      </c>
      <c r="C909" s="17" t="s">
        <v>175</v>
      </c>
      <c r="D909" s="24">
        <v>1432</v>
      </c>
      <c r="E909" s="18" t="str">
        <f>HYPERLINK("#'Data'!A7435", "Households reportedly facing barriers while accessing services provided by the government broken down by rural / urban on the admin of overall perc")</f>
        <v>Households reportedly facing barriers while accessing services provided by the government broken down by rural / urban on the admin of overall perc</v>
      </c>
    </row>
    <row r="910" spans="2:5" ht="15.6" hidden="1">
      <c r="B910" s="16" t="s">
        <v>160</v>
      </c>
      <c r="C910" s="17" t="s">
        <v>175</v>
      </c>
      <c r="D910" s="24">
        <v>1433</v>
      </c>
      <c r="E910" s="18" t="str">
        <f>HYPERLINK("#'Data'!A7441", "Households reportedly facing barriers while accessing services provided by the government broken down by proximity to the Frontline / Russian borde...")</f>
        <v>Households reportedly facing barriers while accessing services provided by the government broken down by proximity to the Frontline / Russian borde...</v>
      </c>
    </row>
    <row r="911" spans="2:5" ht="15.6" hidden="1">
      <c r="B911" s="16" t="s">
        <v>160</v>
      </c>
      <c r="C911" s="17" t="s">
        <v>175</v>
      </c>
      <c r="D911" s="24">
        <v>1434</v>
      </c>
      <c r="E911" s="18" t="str">
        <f>HYPERLINK("#'Data'!A7448", "Households reportedly facing barriers while accessing services provided by the government broken down by member with WGSS disability on the admin o...")</f>
        <v>Households reportedly facing barriers while accessing services provided by the government broken down by member with WGSS disability on the admin o...</v>
      </c>
    </row>
    <row r="912" spans="2:5" ht="15.6" hidden="1">
      <c r="B912" s="16" t="s">
        <v>160</v>
      </c>
      <c r="C912" s="17" t="s">
        <v>175</v>
      </c>
      <c r="D912" s="24">
        <v>1435</v>
      </c>
      <c r="E912" s="18" t="str">
        <f>HYPERLINK("#'Data'!A7454", "Households reportedly facing barriers while accessing services provided by the government broken down by displacement status of HoH on the admin of...")</f>
        <v>Households reportedly facing barriers while accessing services provided by the government broken down by displacement status of HoH on the admin of...</v>
      </c>
    </row>
    <row r="913" spans="2:5" ht="15.6" hidden="1">
      <c r="B913" s="16" t="s">
        <v>160</v>
      </c>
      <c r="C913" s="17" t="s">
        <v>175</v>
      </c>
      <c r="D913" s="24">
        <v>1436</v>
      </c>
      <c r="E913" s="18" t="str">
        <f>HYPERLINK("#'Data'!A7463", "Households reportedly facing barriers while accessing services provided by the government broken down by household size on the admin of overall per...")</f>
        <v>Households reportedly facing barriers while accessing services provided by the government broken down by household size on the admin of overall per...</v>
      </c>
    </row>
    <row r="914" spans="2:5" ht="15.6" hidden="1">
      <c r="B914" s="16" t="s">
        <v>160</v>
      </c>
      <c r="C914" s="17" t="s">
        <v>175</v>
      </c>
      <c r="D914" s="24">
        <v>1437</v>
      </c>
      <c r="E914" s="18" t="str">
        <f>HYPERLINK("#'Data'!A7470", "Households reportedly facing barriers while accessing services provided by the government broken down by single/joint headed HHs on the admin of ov...")</f>
        <v>Households reportedly facing barriers while accessing services provided by the government broken down by single/joint headed HHs on the admin of ov...</v>
      </c>
    </row>
    <row r="915" spans="2:5" ht="15.6" hidden="1">
      <c r="B915" s="16" t="s">
        <v>160</v>
      </c>
      <c r="C915" s="17" t="s">
        <v>176</v>
      </c>
      <c r="D915" s="24">
        <v>1439</v>
      </c>
      <c r="E915" s="18" t="str">
        <f>HYPERLINK("#'Data'!A7477", "Households reporting available services for women in their community broken down by gender of respondent on the admin of overall perc")</f>
        <v>Households reporting available services for women in their community broken down by gender of respondent on the admin of overall perc</v>
      </c>
    </row>
    <row r="916" spans="2:5" ht="15.6" hidden="1">
      <c r="B916" s="16" t="s">
        <v>160</v>
      </c>
      <c r="C916" s="17" t="s">
        <v>176</v>
      </c>
      <c r="D916" s="24">
        <v>1440</v>
      </c>
      <c r="E916" s="18" t="str">
        <f>HYPERLINK("#'Data'!A7484", "Households reporting available services for women in their community broken down by age of respondents on the admin of overall perc")</f>
        <v>Households reporting available services for women in their community broken down by age of respondents on the admin of overall perc</v>
      </c>
    </row>
    <row r="917" spans="2:5" ht="15.6" hidden="1">
      <c r="B917" s="16" t="s">
        <v>160</v>
      </c>
      <c r="C917" s="17" t="s">
        <v>176</v>
      </c>
      <c r="D917" s="24">
        <v>1441</v>
      </c>
      <c r="E917" s="18" t="str">
        <f>HYPERLINK("#'Data'!A7492", "Households reporting available services for women in their community broken down by rural / urban on the admin of overall perc")</f>
        <v>Households reporting available services for women in their community broken down by rural / urban on the admin of overall perc</v>
      </c>
    </row>
    <row r="918" spans="2:5" ht="15.6" hidden="1">
      <c r="B918" s="16" t="s">
        <v>160</v>
      </c>
      <c r="C918" s="17" t="s">
        <v>176</v>
      </c>
      <c r="D918" s="24">
        <v>1442</v>
      </c>
      <c r="E918" s="18" t="str">
        <f>HYPERLINK("#'Data'!A7498", "Households reporting available services for women in their community broken down by proximity to the Frontline / Russian border on the admin of ove...")</f>
        <v>Households reporting available services for women in their community broken down by proximity to the Frontline / Russian border on the admin of ove...</v>
      </c>
    </row>
    <row r="919" spans="2:5" ht="15.6" hidden="1">
      <c r="B919" s="16" t="s">
        <v>160</v>
      </c>
      <c r="C919" s="17" t="s">
        <v>176</v>
      </c>
      <c r="D919" s="24">
        <v>1443</v>
      </c>
      <c r="E919" s="18" t="str">
        <f>HYPERLINK("#'Data'!A7505", "Households reporting available services for women in their community broken down by member with WGSS disability on the admin of overall perc")</f>
        <v>Households reporting available services for women in their community broken down by member with WGSS disability on the admin of overall perc</v>
      </c>
    </row>
    <row r="920" spans="2:5" ht="15.6" hidden="1">
      <c r="B920" s="16" t="s">
        <v>160</v>
      </c>
      <c r="C920" s="17" t="s">
        <v>176</v>
      </c>
      <c r="D920" s="24">
        <v>1444</v>
      </c>
      <c r="E920" s="18" t="str">
        <f>HYPERLINK("#'Data'!A7511", "Households reporting available services for women in their community broken down by displacement status of HoH on the admin of overall perc")</f>
        <v>Households reporting available services for women in their community broken down by displacement status of HoH on the admin of overall perc</v>
      </c>
    </row>
    <row r="921" spans="2:5" ht="15.6" hidden="1">
      <c r="B921" s="16" t="s">
        <v>160</v>
      </c>
      <c r="C921" s="17" t="s">
        <v>176</v>
      </c>
      <c r="D921" s="24">
        <v>1445</v>
      </c>
      <c r="E921" s="18" t="str">
        <f>HYPERLINK("#'Data'!A7520", "Households reporting available services for women in their community broken down by household size on the admin of overall perc")</f>
        <v>Households reporting available services for women in their community broken down by household size on the admin of overall perc</v>
      </c>
    </row>
    <row r="922" spans="2:5" ht="15.6" hidden="1">
      <c r="B922" s="16" t="s">
        <v>160</v>
      </c>
      <c r="C922" s="17" t="s">
        <v>176</v>
      </c>
      <c r="D922" s="24">
        <v>1446</v>
      </c>
      <c r="E922" s="18" t="str">
        <f>HYPERLINK("#'Data'!A7527", "Households reporting available services for women in their community broken down by single/joint headed HHs on the admin of overall perc")</f>
        <v>Households reporting available services for women in their community broken down by single/joint headed HHs on the admin of overall perc</v>
      </c>
    </row>
    <row r="923" spans="2:5" ht="15.6" hidden="1">
      <c r="B923" s="16" t="s">
        <v>160</v>
      </c>
      <c r="C923" s="17" t="s">
        <v>177</v>
      </c>
      <c r="D923" s="24">
        <v>1448</v>
      </c>
      <c r="E923" s="18" t="str">
        <f>HYPERLINK("#'Data'!A7534", "Households reporting needed services related to children's well-being  broken down by gender of respondent on the admin of overall perc")</f>
        <v>Households reporting needed services related to children's well-being  broken down by gender of respondent on the admin of overall perc</v>
      </c>
    </row>
    <row r="924" spans="2:5" ht="15.6" hidden="1">
      <c r="B924" s="16" t="s">
        <v>160</v>
      </c>
      <c r="C924" s="17" t="s">
        <v>177</v>
      </c>
      <c r="D924" s="24">
        <v>1449</v>
      </c>
      <c r="E924" s="18" t="str">
        <f>HYPERLINK("#'Data'!A7541", "Households reporting needed services related to children's well-being  broken down by age of respondents on the admin of overall perc")</f>
        <v>Households reporting needed services related to children's well-being  broken down by age of respondents on the admin of overall perc</v>
      </c>
    </row>
    <row r="925" spans="2:5" ht="15.6" hidden="1">
      <c r="B925" s="16" t="s">
        <v>160</v>
      </c>
      <c r="C925" s="17" t="s">
        <v>177</v>
      </c>
      <c r="D925" s="24">
        <v>1450</v>
      </c>
      <c r="E925" s="18" t="str">
        <f>HYPERLINK("#'Data'!A7549", "Households reporting needed services related to children's well-being  broken down by rural / urban on the admin of overall perc")</f>
        <v>Households reporting needed services related to children's well-being  broken down by rural / urban on the admin of overall perc</v>
      </c>
    </row>
    <row r="926" spans="2:5" ht="15.6" hidden="1">
      <c r="B926" s="16" t="s">
        <v>160</v>
      </c>
      <c r="C926" s="17" t="s">
        <v>177</v>
      </c>
      <c r="D926" s="24">
        <v>1451</v>
      </c>
      <c r="E926" s="18" t="str">
        <f>HYPERLINK("#'Data'!A7555", "Households reporting needed services related to children's well-being  broken down by proximity to the Frontline / Russian border on the admin of o...")</f>
        <v>Households reporting needed services related to children's well-being  broken down by proximity to the Frontline / Russian border on the admin of o...</v>
      </c>
    </row>
    <row r="927" spans="2:5" ht="15.6" hidden="1">
      <c r="B927" s="16" t="s">
        <v>160</v>
      </c>
      <c r="C927" s="17" t="s">
        <v>177</v>
      </c>
      <c r="D927" s="24">
        <v>1452</v>
      </c>
      <c r="E927" s="18" t="str">
        <f>HYPERLINK("#'Data'!A7562", "Households reporting needed services related to children's well-being  broken down by member with WGSS disability on the admin of overall perc")</f>
        <v>Households reporting needed services related to children's well-being  broken down by member with WGSS disability on the admin of overall perc</v>
      </c>
    </row>
    <row r="928" spans="2:5" ht="15.6" hidden="1">
      <c r="B928" s="16" t="s">
        <v>160</v>
      </c>
      <c r="C928" s="17" t="s">
        <v>177</v>
      </c>
      <c r="D928" s="24">
        <v>1453</v>
      </c>
      <c r="E928" s="18" t="str">
        <f>HYPERLINK("#'Data'!A7568", "Households reporting needed services related to children's well-being  broken down by displacement status of HoH on the admin of overall perc")</f>
        <v>Households reporting needed services related to children's well-being  broken down by displacement status of HoH on the admin of overall perc</v>
      </c>
    </row>
    <row r="929" spans="2:5" ht="15.6" hidden="1">
      <c r="B929" s="16" t="s">
        <v>160</v>
      </c>
      <c r="C929" s="17" t="s">
        <v>177</v>
      </c>
      <c r="D929" s="24">
        <v>1454</v>
      </c>
      <c r="E929" s="18" t="str">
        <f>HYPERLINK("#'Data'!A7577", "Households reporting needed services related to children's well-being  broken down by household size on the admin of overall perc")</f>
        <v>Households reporting needed services related to children's well-being  broken down by household size on the admin of overall perc</v>
      </c>
    </row>
    <row r="930" spans="2:5" ht="15.6" hidden="1">
      <c r="B930" s="16" t="s">
        <v>160</v>
      </c>
      <c r="C930" s="17" t="s">
        <v>177</v>
      </c>
      <c r="D930" s="24">
        <v>1455</v>
      </c>
      <c r="E930" s="18" t="str">
        <f>HYPERLINK("#'Data'!A7584", "Households reporting needed services related to children's well-being  broken down by single/joint headed HHs on the admin of overall perc")</f>
        <v>Households reporting needed services related to children's well-being  broken down by single/joint headed HHs on the admin of overall perc</v>
      </c>
    </row>
    <row r="931" spans="2:5" ht="15.6" hidden="1">
      <c r="B931" s="16" t="s">
        <v>157</v>
      </c>
      <c r="C931" s="17" t="s">
        <v>178</v>
      </c>
      <c r="D931" s="24">
        <v>1461</v>
      </c>
      <c r="E931" s="18" t="str">
        <f>HYPERLINK("#'Data'!A7591", "Percentage of households adopting reduced coping strategies, by strategy (rCSI) broken down by rural / urban on the admin of overall ")</f>
        <v xml:space="preserve">Percentage of households adopting reduced coping strategies, by strategy (rCSI) broken down by rural / urban on the admin of overall </v>
      </c>
    </row>
    <row r="932" spans="2:5" ht="15.6" hidden="1">
      <c r="B932" s="16" t="s">
        <v>157</v>
      </c>
      <c r="C932" s="17" t="s">
        <v>178</v>
      </c>
      <c r="D932" s="24">
        <v>1466</v>
      </c>
      <c r="E932" s="18" t="str">
        <f>HYPERLINK("#'Data'!A7600", "Percentage of households adopting reduced coping strategies, by strategy (rCSI) broken down by proximity to the Frontline / Russian b...")</f>
        <v>Percentage of households adopting reduced coping strategies, by strategy (rCSI) broken down by proximity to the Frontline / Russian b...</v>
      </c>
    </row>
    <row r="933" spans="2:5" ht="15.6" hidden="1">
      <c r="B933" s="16" t="s">
        <v>157</v>
      </c>
      <c r="C933" s="17" t="s">
        <v>178</v>
      </c>
      <c r="D933" s="24">
        <v>1471</v>
      </c>
      <c r="E933" s="18" t="str">
        <f>HYPERLINK("#'Data'!A7611", "Percentage of households adopting reduced coping strategies, by strategy (rCSI) broken down by member with WGSS disability on the adm...")</f>
        <v>Percentage of households adopting reduced coping strategies, by strategy (rCSI) broken down by member with WGSS disability on the adm...</v>
      </c>
    </row>
    <row r="934" spans="2:5" ht="15.6" hidden="1">
      <c r="B934" s="16" t="s">
        <v>157</v>
      </c>
      <c r="C934" s="17" t="s">
        <v>178</v>
      </c>
      <c r="D934" s="24">
        <v>1476</v>
      </c>
      <c r="E934" s="18" t="str">
        <f>HYPERLINK("#'Data'!A7620", "Percentage of households adopting reduced coping strategies, by strategy (rCSI) broken down by IDP household on the admin of overall ")</f>
        <v xml:space="preserve">Percentage of households adopting reduced coping strategies, by strategy (rCSI) broken down by IDP household on the admin of overall </v>
      </c>
    </row>
    <row r="935" spans="2:5" ht="15.6" hidden="1">
      <c r="B935" s="16" t="s">
        <v>157</v>
      </c>
      <c r="C935" s="17" t="s">
        <v>178</v>
      </c>
      <c r="D935" s="24">
        <v>1481</v>
      </c>
      <c r="E935" s="18" t="str">
        <f>HYPERLINK("#'Data'!A7629", "Percentage of households adopting reduced coping strategies, by strategy (rCSI) broken down by household size on the admin of overall...")</f>
        <v>Percentage of households adopting reduced coping strategies, by strategy (rCSI) broken down by household size on the admin of overall...</v>
      </c>
    </row>
    <row r="936" spans="2:5" ht="15.6" hidden="1">
      <c r="B936" s="16" t="s">
        <v>157</v>
      </c>
      <c r="C936" s="17" t="s">
        <v>178</v>
      </c>
      <c r="D936" s="24">
        <v>1486</v>
      </c>
      <c r="E936" s="18" t="str">
        <f>HYPERLINK("#'Data'!A7640", "Percentage of households adopting reduced coping strategies, by strategy (rCSI) broken down by single/joint headed HHs on the admin o...")</f>
        <v>Percentage of households adopting reduced coping strategies, by strategy (rCSI) broken down by single/joint headed HHs on the admin o...</v>
      </c>
    </row>
    <row r="937" spans="2:5" ht="15.6" hidden="1">
      <c r="B937" s="16" t="s">
        <v>80</v>
      </c>
      <c r="C937" s="17" t="s">
        <v>179</v>
      </c>
      <c r="D937" s="24">
        <v>4014</v>
      </c>
      <c r="E937" s="18" t="str">
        <f>HYPERLINK("#'Data'!A7651", "Household income Per Capita over the 30 days prior to data collection, by types of income source broken down by rural / urban on the ad...")</f>
        <v>Household income Per Capita over the 30 days prior to data collection, by types of income source broken down by rural / urban on the ad...</v>
      </c>
    </row>
    <row r="938" spans="2:5" ht="15.6" hidden="1">
      <c r="B938" s="16" t="s">
        <v>80</v>
      </c>
      <c r="C938" s="17" t="s">
        <v>179</v>
      </c>
      <c r="D938" s="24">
        <v>4027</v>
      </c>
      <c r="E938" s="18" t="str">
        <f>HYPERLINK("#'Data'!A7657", "Household income Per Capita over the 30 days prior to data collection, by types of income source broken down by proximity to the Frontl...")</f>
        <v>Household income Per Capita over the 30 days prior to data collection, by types of income source broken down by proximity to the Frontl...</v>
      </c>
    </row>
    <row r="939" spans="2:5" ht="15.6" hidden="1">
      <c r="B939" s="16" t="s">
        <v>80</v>
      </c>
      <c r="C939" s="17" t="s">
        <v>179</v>
      </c>
      <c r="D939" s="24">
        <v>4040</v>
      </c>
      <c r="E939" s="18" t="str">
        <f>HYPERLINK("#'Data'!A7664", "Household income Per Capita over the 30 days prior to data collection, by types of income source broken down by member with WGSS disabi...")</f>
        <v>Household income Per Capita over the 30 days prior to data collection, by types of income source broken down by member with WGSS disabi...</v>
      </c>
    </row>
    <row r="940" spans="2:5" ht="15.6" hidden="1">
      <c r="B940" s="16" t="s">
        <v>80</v>
      </c>
      <c r="C940" s="17" t="s">
        <v>179</v>
      </c>
      <c r="D940" s="24">
        <v>4053</v>
      </c>
      <c r="E940" s="18" t="str">
        <f>HYPERLINK("#'Data'!A7670", "Household income Per Capita over the 30 days prior to data collection, by types of income source broken down by displacement status of ...")</f>
        <v>Household income Per Capita over the 30 days prior to data collection, by types of income source broken down by displacement status of ...</v>
      </c>
    </row>
    <row r="941" spans="2:5" ht="15.6" hidden="1">
      <c r="B941" s="16" t="s">
        <v>80</v>
      </c>
      <c r="C941" s="17" t="s">
        <v>179</v>
      </c>
      <c r="D941" s="24">
        <v>4066</v>
      </c>
      <c r="E941" s="18" t="str">
        <f>HYPERLINK("#'Data'!A7679", "Household income Per Capita over the 30 days prior to data collection, by types of income source broken down by household size on the a...")</f>
        <v>Household income Per Capita over the 30 days prior to data collection, by types of income source broken down by household size on the a...</v>
      </c>
    </row>
    <row r="942" spans="2:5" ht="15.6" hidden="1">
      <c r="B942" s="16" t="s">
        <v>80</v>
      </c>
      <c r="C942" s="17" t="s">
        <v>179</v>
      </c>
      <c r="D942" s="24">
        <v>4079</v>
      </c>
      <c r="E942" s="18" t="str">
        <f>HYPERLINK("#'Data'!A7686", "Household income Per Capita over the 30 days prior to data collection, by types of income source broken down by single/joint headed HHs...")</f>
        <v>Household income Per Capita over the 30 days prior to data collection, by types of income source broken down by single/joint headed HHs...</v>
      </c>
    </row>
  </sheetData>
  <mergeCells count="1">
    <mergeCell ref="A1:E1"/>
  </mergeCells>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7691"/>
  <sheetViews>
    <sheetView tabSelected="1" topLeftCell="A2845" zoomScale="88" zoomScaleNormal="44" workbookViewId="0">
      <selection activeCell="B2859" sqref="B2859"/>
    </sheetView>
  </sheetViews>
  <sheetFormatPr defaultRowHeight="14.45"/>
  <cols>
    <col min="1" max="1" width="46.85546875" style="25" customWidth="1"/>
    <col min="2" max="55" width="20" customWidth="1"/>
  </cols>
  <sheetData>
    <row r="1" spans="1:8" ht="43.5">
      <c r="A1" s="25" t="s">
        <v>180</v>
      </c>
    </row>
    <row r="2" spans="1:8">
      <c r="A2" s="25" t="s">
        <v>181</v>
      </c>
      <c r="B2" t="s">
        <v>182</v>
      </c>
      <c r="C2" t="s">
        <v>183</v>
      </c>
      <c r="D2" t="s">
        <v>184</v>
      </c>
      <c r="E2" t="s">
        <v>185</v>
      </c>
      <c r="F2" t="s">
        <v>186</v>
      </c>
      <c r="G2" t="s">
        <v>187</v>
      </c>
      <c r="H2" t="s">
        <v>188</v>
      </c>
    </row>
    <row r="3" spans="1:8">
      <c r="A3" s="25" t="s">
        <v>189</v>
      </c>
      <c r="B3" t="s">
        <v>190</v>
      </c>
      <c r="C3">
        <v>54.231255375483627</v>
      </c>
      <c r="D3">
        <v>56</v>
      </c>
      <c r="E3">
        <v>18</v>
      </c>
      <c r="F3">
        <v>98</v>
      </c>
      <c r="G3">
        <v>4903</v>
      </c>
      <c r="H3">
        <v>10434</v>
      </c>
    </row>
    <row r="4" spans="1:8">
      <c r="A4" s="25" t="s">
        <v>189</v>
      </c>
      <c r="B4" t="s">
        <v>191</v>
      </c>
      <c r="C4">
        <v>49.380235601461237</v>
      </c>
      <c r="D4">
        <v>48</v>
      </c>
      <c r="E4">
        <v>18</v>
      </c>
      <c r="F4">
        <v>95</v>
      </c>
      <c r="G4">
        <v>5474</v>
      </c>
      <c r="H4">
        <v>10434</v>
      </c>
    </row>
    <row r="5" spans="1:8">
      <c r="A5" s="25" t="s">
        <v>192</v>
      </c>
      <c r="B5" t="s">
        <v>192</v>
      </c>
      <c r="C5">
        <v>51.224230548985567</v>
      </c>
      <c r="D5">
        <v>51</v>
      </c>
      <c r="E5">
        <v>18</v>
      </c>
      <c r="F5">
        <v>98</v>
      </c>
      <c r="G5">
        <v>10434</v>
      </c>
      <c r="H5">
        <v>10434</v>
      </c>
    </row>
    <row r="7" spans="1:8" ht="57.95">
      <c r="A7" s="25" t="s">
        <v>193</v>
      </c>
    </row>
    <row r="8" spans="1:8">
      <c r="A8" s="25" t="s">
        <v>181</v>
      </c>
      <c r="B8" t="s">
        <v>182</v>
      </c>
      <c r="C8" t="s">
        <v>183</v>
      </c>
      <c r="D8" t="s">
        <v>184</v>
      </c>
      <c r="E8" t="s">
        <v>185</v>
      </c>
      <c r="F8" t="s">
        <v>186</v>
      </c>
      <c r="G8" t="s">
        <v>187</v>
      </c>
      <c r="H8" t="s">
        <v>188</v>
      </c>
    </row>
    <row r="9" spans="1:8">
      <c r="A9" s="25" t="s">
        <v>189</v>
      </c>
      <c r="B9" t="s">
        <v>194</v>
      </c>
      <c r="C9">
        <v>51.622319800177273</v>
      </c>
      <c r="D9">
        <v>52</v>
      </c>
      <c r="E9">
        <v>18</v>
      </c>
      <c r="F9">
        <v>98</v>
      </c>
      <c r="G9">
        <v>5954</v>
      </c>
      <c r="H9">
        <v>10434</v>
      </c>
    </row>
    <row r="10" spans="1:8">
      <c r="A10" s="25" t="s">
        <v>189</v>
      </c>
      <c r="B10" t="s">
        <v>195</v>
      </c>
      <c r="C10">
        <v>50.410223626691007</v>
      </c>
      <c r="D10">
        <v>50</v>
      </c>
      <c r="E10">
        <v>18</v>
      </c>
      <c r="F10">
        <v>91</v>
      </c>
      <c r="G10">
        <v>2703</v>
      </c>
      <c r="H10">
        <v>10434</v>
      </c>
    </row>
    <row r="11" spans="1:8">
      <c r="A11" s="25" t="s">
        <v>189</v>
      </c>
      <c r="B11" t="s">
        <v>196</v>
      </c>
      <c r="C11">
        <v>49.932027798944652</v>
      </c>
      <c r="D11">
        <v>47</v>
      </c>
      <c r="E11">
        <v>18</v>
      </c>
      <c r="F11">
        <v>92</v>
      </c>
      <c r="G11">
        <v>1720</v>
      </c>
      <c r="H11">
        <v>10434</v>
      </c>
    </row>
    <row r="12" spans="1:8">
      <c r="A12" s="25" t="s">
        <v>192</v>
      </c>
      <c r="B12" t="s">
        <v>192</v>
      </c>
      <c r="C12">
        <v>51.224230548985567</v>
      </c>
      <c r="D12">
        <v>51</v>
      </c>
      <c r="E12">
        <v>18</v>
      </c>
      <c r="F12">
        <v>98</v>
      </c>
      <c r="G12">
        <v>10434</v>
      </c>
      <c r="H12">
        <v>10434</v>
      </c>
    </row>
    <row r="14" spans="1:8" ht="43.5">
      <c r="A14" s="25" t="s">
        <v>197</v>
      </c>
    </row>
    <row r="15" spans="1:8">
      <c r="A15" s="25" t="s">
        <v>181</v>
      </c>
      <c r="B15" t="s">
        <v>182</v>
      </c>
      <c r="C15" t="s">
        <v>183</v>
      </c>
      <c r="D15" t="s">
        <v>184</v>
      </c>
      <c r="E15" t="s">
        <v>185</v>
      </c>
      <c r="F15" t="s">
        <v>186</v>
      </c>
      <c r="G15" t="s">
        <v>187</v>
      </c>
      <c r="H15" t="s">
        <v>188</v>
      </c>
    </row>
    <row r="16" spans="1:8">
      <c r="A16" s="25" t="s">
        <v>189</v>
      </c>
      <c r="B16" t="s">
        <v>198</v>
      </c>
      <c r="C16">
        <v>61.483503738229061</v>
      </c>
      <c r="D16">
        <v>64</v>
      </c>
      <c r="E16">
        <v>18</v>
      </c>
      <c r="F16">
        <v>95</v>
      </c>
      <c r="G16">
        <v>2264</v>
      </c>
      <c r="H16">
        <v>10434</v>
      </c>
    </row>
    <row r="17" spans="1:8">
      <c r="A17" s="25" t="s">
        <v>189</v>
      </c>
      <c r="B17" t="s">
        <v>199</v>
      </c>
      <c r="C17">
        <v>48.923553844064898</v>
      </c>
      <c r="D17">
        <v>48</v>
      </c>
      <c r="E17">
        <v>18</v>
      </c>
      <c r="F17">
        <v>98</v>
      </c>
      <c r="G17">
        <v>8170</v>
      </c>
      <c r="H17">
        <v>10434</v>
      </c>
    </row>
    <row r="18" spans="1:8">
      <c r="A18" s="25" t="s">
        <v>192</v>
      </c>
      <c r="B18" t="s">
        <v>192</v>
      </c>
      <c r="C18">
        <v>51.224230548985567</v>
      </c>
      <c r="D18">
        <v>51</v>
      </c>
      <c r="E18">
        <v>18</v>
      </c>
      <c r="F18">
        <v>98</v>
      </c>
      <c r="G18">
        <v>10434</v>
      </c>
      <c r="H18">
        <v>10434</v>
      </c>
    </row>
    <row r="20" spans="1:8" ht="43.5">
      <c r="A20" s="25" t="s">
        <v>200</v>
      </c>
    </row>
    <row r="21" spans="1:8">
      <c r="A21" s="25" t="s">
        <v>181</v>
      </c>
      <c r="B21" t="s">
        <v>182</v>
      </c>
      <c r="C21" t="s">
        <v>183</v>
      </c>
      <c r="D21" t="s">
        <v>184</v>
      </c>
      <c r="E21" t="s">
        <v>185</v>
      </c>
      <c r="F21" t="s">
        <v>186</v>
      </c>
      <c r="G21" t="s">
        <v>187</v>
      </c>
      <c r="H21" t="s">
        <v>188</v>
      </c>
    </row>
    <row r="22" spans="1:8">
      <c r="A22" s="25" t="s">
        <v>189</v>
      </c>
      <c r="B22" t="s">
        <v>201</v>
      </c>
      <c r="C22">
        <v>45.203275612055783</v>
      </c>
      <c r="D22">
        <v>43</v>
      </c>
      <c r="E22">
        <v>18</v>
      </c>
      <c r="F22">
        <v>91</v>
      </c>
      <c r="G22">
        <v>767</v>
      </c>
      <c r="H22">
        <v>10434</v>
      </c>
    </row>
    <row r="23" spans="1:8">
      <c r="A23" s="25" t="s">
        <v>189</v>
      </c>
      <c r="B23" t="s">
        <v>202</v>
      </c>
      <c r="C23">
        <v>45.208609249087438</v>
      </c>
      <c r="D23">
        <v>43</v>
      </c>
      <c r="E23">
        <v>18</v>
      </c>
      <c r="F23">
        <v>84</v>
      </c>
      <c r="G23">
        <v>110</v>
      </c>
      <c r="H23">
        <v>10434</v>
      </c>
    </row>
    <row r="24" spans="1:8">
      <c r="A24" s="25" t="s">
        <v>189</v>
      </c>
      <c r="B24" t="s">
        <v>203</v>
      </c>
      <c r="C24">
        <v>53.269219287044663</v>
      </c>
      <c r="D24">
        <v>55</v>
      </c>
      <c r="E24">
        <v>18</v>
      </c>
      <c r="F24">
        <v>98</v>
      </c>
      <c r="G24">
        <v>8042</v>
      </c>
      <c r="H24">
        <v>10434</v>
      </c>
    </row>
    <row r="25" spans="1:8">
      <c r="A25" s="25" t="s">
        <v>189</v>
      </c>
      <c r="B25" t="s">
        <v>204</v>
      </c>
      <c r="C25">
        <v>46.924255712629581</v>
      </c>
      <c r="D25">
        <v>47</v>
      </c>
      <c r="E25">
        <v>20</v>
      </c>
      <c r="F25">
        <v>75</v>
      </c>
      <c r="G25">
        <v>31</v>
      </c>
      <c r="H25">
        <v>10434</v>
      </c>
    </row>
    <row r="26" spans="1:8">
      <c r="A26" s="25" t="s">
        <v>189</v>
      </c>
      <c r="B26" t="s">
        <v>205</v>
      </c>
      <c r="C26">
        <v>42.904195908381887</v>
      </c>
      <c r="D26">
        <v>39</v>
      </c>
      <c r="E26">
        <v>18</v>
      </c>
      <c r="F26">
        <v>87</v>
      </c>
      <c r="G26">
        <v>1484</v>
      </c>
      <c r="H26">
        <v>10434</v>
      </c>
    </row>
    <row r="27" spans="1:8">
      <c r="A27" s="25" t="s">
        <v>192</v>
      </c>
      <c r="B27" t="s">
        <v>192</v>
      </c>
      <c r="C27">
        <v>51.224230548985567</v>
      </c>
      <c r="D27">
        <v>51</v>
      </c>
      <c r="E27">
        <v>18</v>
      </c>
      <c r="F27">
        <v>98</v>
      </c>
      <c r="G27">
        <v>10434</v>
      </c>
      <c r="H27">
        <v>10434</v>
      </c>
    </row>
    <row r="29" spans="1:8" ht="43.5">
      <c r="A29" s="25" t="s">
        <v>206</v>
      </c>
    </row>
    <row r="30" spans="1:8">
      <c r="A30" s="25" t="s">
        <v>181</v>
      </c>
      <c r="B30" t="s">
        <v>182</v>
      </c>
      <c r="C30" t="s">
        <v>183</v>
      </c>
      <c r="D30" t="s">
        <v>184</v>
      </c>
      <c r="E30" t="s">
        <v>185</v>
      </c>
      <c r="F30" t="s">
        <v>186</v>
      </c>
      <c r="G30" t="s">
        <v>187</v>
      </c>
      <c r="H30" t="s">
        <v>188</v>
      </c>
    </row>
    <row r="31" spans="1:8">
      <c r="A31" s="25" t="s">
        <v>189</v>
      </c>
      <c r="B31" t="s">
        <v>207</v>
      </c>
      <c r="C31">
        <v>49.163135705084173</v>
      </c>
      <c r="D31">
        <v>48</v>
      </c>
      <c r="E31">
        <v>18</v>
      </c>
      <c r="F31">
        <v>98</v>
      </c>
      <c r="G31">
        <v>7254</v>
      </c>
      <c r="H31">
        <v>10434</v>
      </c>
    </row>
    <row r="32" spans="1:8">
      <c r="A32" s="25" t="s">
        <v>189</v>
      </c>
      <c r="B32" t="s">
        <v>208</v>
      </c>
      <c r="C32">
        <v>60.010000047140181</v>
      </c>
      <c r="D32">
        <v>66</v>
      </c>
      <c r="E32">
        <v>18</v>
      </c>
      <c r="F32">
        <v>95</v>
      </c>
      <c r="G32">
        <v>2245</v>
      </c>
      <c r="H32">
        <v>10434</v>
      </c>
    </row>
    <row r="33" spans="1:8">
      <c r="A33" s="25" t="s">
        <v>189</v>
      </c>
      <c r="B33" t="s">
        <v>209</v>
      </c>
      <c r="C33">
        <v>44.364266180656067</v>
      </c>
      <c r="D33">
        <v>42</v>
      </c>
      <c r="E33">
        <v>18</v>
      </c>
      <c r="F33">
        <v>86</v>
      </c>
      <c r="G33">
        <v>935</v>
      </c>
      <c r="H33">
        <v>10434</v>
      </c>
    </row>
    <row r="34" spans="1:8">
      <c r="A34" s="25" t="s">
        <v>192</v>
      </c>
      <c r="B34" t="s">
        <v>192</v>
      </c>
      <c r="C34">
        <v>51.224230548985567</v>
      </c>
      <c r="D34">
        <v>51</v>
      </c>
      <c r="E34">
        <v>18</v>
      </c>
      <c r="F34">
        <v>98</v>
      </c>
      <c r="G34">
        <v>10434</v>
      </c>
      <c r="H34">
        <v>10434</v>
      </c>
    </row>
    <row r="36" spans="1:8" ht="43.5">
      <c r="A36" s="25" t="s">
        <v>210</v>
      </c>
    </row>
    <row r="37" spans="1:8">
      <c r="A37" s="25" t="s">
        <v>181</v>
      </c>
      <c r="B37" t="s">
        <v>182</v>
      </c>
      <c r="C37" t="s">
        <v>183</v>
      </c>
      <c r="D37" t="s">
        <v>184</v>
      </c>
      <c r="E37" t="s">
        <v>185</v>
      </c>
      <c r="F37" t="s">
        <v>186</v>
      </c>
      <c r="G37" t="s">
        <v>187</v>
      </c>
      <c r="H37" t="s">
        <v>188</v>
      </c>
    </row>
    <row r="38" spans="1:8">
      <c r="A38" s="25" t="s">
        <v>189</v>
      </c>
      <c r="B38" t="s">
        <v>211</v>
      </c>
      <c r="C38">
        <v>49.282972923012252</v>
      </c>
      <c r="D38">
        <v>48</v>
      </c>
      <c r="E38">
        <v>18</v>
      </c>
      <c r="F38">
        <v>98</v>
      </c>
      <c r="G38">
        <v>4972</v>
      </c>
      <c r="H38">
        <v>10434</v>
      </c>
    </row>
    <row r="39" spans="1:8">
      <c r="A39" s="25" t="s">
        <v>189</v>
      </c>
      <c r="B39" t="s">
        <v>212</v>
      </c>
      <c r="C39">
        <v>55.949098054624443</v>
      </c>
      <c r="D39">
        <v>60</v>
      </c>
      <c r="E39">
        <v>18</v>
      </c>
      <c r="F39">
        <v>95</v>
      </c>
      <c r="G39">
        <v>3376</v>
      </c>
      <c r="H39">
        <v>10434</v>
      </c>
    </row>
    <row r="40" spans="1:8">
      <c r="A40" s="25" t="s">
        <v>189</v>
      </c>
      <c r="B40" t="s">
        <v>213</v>
      </c>
      <c r="C40">
        <v>48.6829241932667</v>
      </c>
      <c r="D40">
        <v>48</v>
      </c>
      <c r="E40">
        <v>18</v>
      </c>
      <c r="F40">
        <v>95</v>
      </c>
      <c r="G40">
        <v>2086</v>
      </c>
      <c r="H40">
        <v>10434</v>
      </c>
    </row>
    <row r="41" spans="1:8">
      <c r="A41" s="25" t="s">
        <v>192</v>
      </c>
      <c r="B41" t="s">
        <v>192</v>
      </c>
      <c r="C41">
        <v>51.224230548985567</v>
      </c>
      <c r="D41">
        <v>51</v>
      </c>
      <c r="E41">
        <v>18</v>
      </c>
      <c r="F41">
        <v>98</v>
      </c>
      <c r="G41">
        <v>10434</v>
      </c>
      <c r="H41">
        <v>10434</v>
      </c>
    </row>
    <row r="43" spans="1:8" ht="43.5">
      <c r="A43" s="25" t="s">
        <v>214</v>
      </c>
    </row>
    <row r="44" spans="1:8">
      <c r="A44" s="25" t="s">
        <v>181</v>
      </c>
      <c r="B44" t="s">
        <v>182</v>
      </c>
      <c r="C44" t="s">
        <v>183</v>
      </c>
      <c r="D44" t="s">
        <v>184</v>
      </c>
      <c r="E44" t="s">
        <v>185</v>
      </c>
      <c r="F44" t="s">
        <v>186</v>
      </c>
      <c r="G44" t="s">
        <v>187</v>
      </c>
      <c r="H44" t="s">
        <v>188</v>
      </c>
    </row>
    <row r="45" spans="1:8">
      <c r="A45" s="25" t="s">
        <v>189</v>
      </c>
      <c r="B45" t="s">
        <v>215</v>
      </c>
      <c r="C45">
        <v>50.829842070810336</v>
      </c>
      <c r="D45">
        <v>52</v>
      </c>
      <c r="E45">
        <v>18</v>
      </c>
      <c r="F45">
        <v>98</v>
      </c>
      <c r="G45">
        <v>3308</v>
      </c>
      <c r="H45">
        <v>10434</v>
      </c>
    </row>
    <row r="46" spans="1:8">
      <c r="A46" s="25" t="s">
        <v>189</v>
      </c>
      <c r="B46" t="s">
        <v>216</v>
      </c>
      <c r="C46">
        <v>47.298565515779551</v>
      </c>
      <c r="D46">
        <v>49</v>
      </c>
      <c r="E46">
        <v>44</v>
      </c>
      <c r="F46">
        <v>49</v>
      </c>
      <c r="G46">
        <v>2</v>
      </c>
      <c r="H46">
        <v>10434</v>
      </c>
    </row>
    <row r="47" spans="1:8">
      <c r="A47" s="25" t="s">
        <v>189</v>
      </c>
      <c r="B47" t="s">
        <v>217</v>
      </c>
      <c r="C47">
        <v>51.428554548541953</v>
      </c>
      <c r="D47">
        <v>51</v>
      </c>
      <c r="E47">
        <v>18</v>
      </c>
      <c r="F47">
        <v>95</v>
      </c>
      <c r="G47">
        <v>7124</v>
      </c>
      <c r="H47">
        <v>10434</v>
      </c>
    </row>
    <row r="48" spans="1:8">
      <c r="A48" s="25" t="s">
        <v>192</v>
      </c>
      <c r="B48" t="s">
        <v>192</v>
      </c>
      <c r="C48">
        <v>51.224230548985567</v>
      </c>
      <c r="D48">
        <v>51</v>
      </c>
      <c r="E48">
        <v>18</v>
      </c>
      <c r="F48">
        <v>98</v>
      </c>
      <c r="G48">
        <v>10434</v>
      </c>
      <c r="H48">
        <v>10434</v>
      </c>
    </row>
    <row r="50" spans="1:6" ht="72.599999999999994">
      <c r="A50" s="25" t="s">
        <v>218</v>
      </c>
    </row>
    <row r="51" spans="1:6">
      <c r="A51" s="25" t="s">
        <v>182</v>
      </c>
      <c r="B51" t="s">
        <v>219</v>
      </c>
      <c r="C51" t="s">
        <v>181</v>
      </c>
      <c r="D51" t="s">
        <v>188</v>
      </c>
      <c r="E51" t="s">
        <v>220</v>
      </c>
      <c r="F51" t="s">
        <v>221</v>
      </c>
    </row>
    <row r="52" spans="1:6">
      <c r="A52" s="25" t="s">
        <v>215</v>
      </c>
      <c r="B52">
        <v>3308</v>
      </c>
      <c r="C52" t="s">
        <v>189</v>
      </c>
      <c r="D52">
        <v>10434</v>
      </c>
      <c r="E52" s="1">
        <v>7.0400000000000004E-2</v>
      </c>
      <c r="F52" s="1">
        <v>0.92959999999999998</v>
      </c>
    </row>
    <row r="53" spans="1:6">
      <c r="A53" s="25" t="s">
        <v>216</v>
      </c>
      <c r="B53">
        <v>2</v>
      </c>
      <c r="C53" t="s">
        <v>189</v>
      </c>
      <c r="D53">
        <v>10434</v>
      </c>
      <c r="F53" s="1">
        <v>1</v>
      </c>
    </row>
    <row r="54" spans="1:6">
      <c r="A54" s="25" t="s">
        <v>217</v>
      </c>
      <c r="B54">
        <v>7124</v>
      </c>
      <c r="C54" t="s">
        <v>189</v>
      </c>
      <c r="D54">
        <v>10434</v>
      </c>
      <c r="E54" s="1">
        <v>0.1143</v>
      </c>
      <c r="F54" s="1">
        <v>0.88570000000000004</v>
      </c>
    </row>
    <row r="55" spans="1:6">
      <c r="A55" s="25" t="s">
        <v>192</v>
      </c>
      <c r="B55">
        <v>10434</v>
      </c>
      <c r="C55" t="s">
        <v>192</v>
      </c>
      <c r="D55">
        <v>10434</v>
      </c>
      <c r="E55" s="1">
        <v>9.9299999999999999E-2</v>
      </c>
      <c r="F55" s="1">
        <v>0.90069999999999995</v>
      </c>
    </row>
    <row r="57" spans="1:6" ht="72.599999999999994">
      <c r="A57" s="25" t="s">
        <v>222</v>
      </c>
    </row>
    <row r="58" spans="1:6">
      <c r="A58" s="25" t="s">
        <v>182</v>
      </c>
      <c r="B58" t="s">
        <v>219</v>
      </c>
      <c r="C58" t="s">
        <v>181</v>
      </c>
      <c r="D58" t="s">
        <v>188</v>
      </c>
      <c r="E58" t="s">
        <v>220</v>
      </c>
      <c r="F58" t="s">
        <v>221</v>
      </c>
    </row>
    <row r="59" spans="1:6">
      <c r="A59" s="25" t="s">
        <v>223</v>
      </c>
      <c r="B59">
        <v>882</v>
      </c>
      <c r="C59" t="s">
        <v>189</v>
      </c>
      <c r="D59">
        <v>10434</v>
      </c>
      <c r="E59" s="1">
        <v>0.2697</v>
      </c>
      <c r="F59" s="1">
        <v>0.73029999999999995</v>
      </c>
    </row>
    <row r="60" spans="1:6">
      <c r="A60" s="25" t="s">
        <v>224</v>
      </c>
      <c r="B60">
        <v>2877</v>
      </c>
      <c r="C60" t="s">
        <v>189</v>
      </c>
      <c r="D60">
        <v>10434</v>
      </c>
      <c r="E60" s="1">
        <v>0.1086</v>
      </c>
      <c r="F60" s="1">
        <v>0.89139999999999997</v>
      </c>
    </row>
    <row r="61" spans="1:6">
      <c r="A61" s="25" t="s">
        <v>225</v>
      </c>
      <c r="B61">
        <v>2815</v>
      </c>
      <c r="C61" t="s">
        <v>189</v>
      </c>
      <c r="D61">
        <v>10434</v>
      </c>
      <c r="E61" s="1">
        <v>6.7500000000000004E-2</v>
      </c>
      <c r="F61" s="1">
        <v>0.9325</v>
      </c>
    </row>
    <row r="62" spans="1:6">
      <c r="A62" s="25" t="s">
        <v>226</v>
      </c>
      <c r="B62">
        <v>3860</v>
      </c>
      <c r="C62" t="s">
        <v>189</v>
      </c>
      <c r="D62">
        <v>10434</v>
      </c>
      <c r="E62" s="1">
        <v>5.7299999999999997E-2</v>
      </c>
      <c r="F62" s="1">
        <v>0.94269999999999998</v>
      </c>
    </row>
    <row r="63" spans="1:6">
      <c r="A63" s="25" t="s">
        <v>192</v>
      </c>
      <c r="B63">
        <v>10434</v>
      </c>
      <c r="C63" t="s">
        <v>192</v>
      </c>
      <c r="D63">
        <v>10434</v>
      </c>
      <c r="E63" s="1">
        <v>9.9299999999999999E-2</v>
      </c>
      <c r="F63" s="1">
        <v>0.90069999999999995</v>
      </c>
    </row>
    <row r="65" spans="1:8" ht="43.5">
      <c r="A65" s="25" t="s">
        <v>227</v>
      </c>
    </row>
    <row r="66" spans="1:8">
      <c r="A66" s="25" t="s">
        <v>181</v>
      </c>
      <c r="B66" t="s">
        <v>182</v>
      </c>
      <c r="C66" t="s">
        <v>183</v>
      </c>
      <c r="D66" t="s">
        <v>184</v>
      </c>
      <c r="E66" t="s">
        <v>185</v>
      </c>
      <c r="F66" t="s">
        <v>186</v>
      </c>
      <c r="G66" t="s">
        <v>187</v>
      </c>
      <c r="H66" t="s">
        <v>188</v>
      </c>
    </row>
    <row r="67" spans="1:8">
      <c r="A67" s="25" t="s">
        <v>189</v>
      </c>
      <c r="B67" t="s">
        <v>190</v>
      </c>
      <c r="C67">
        <v>2.7289635315801601</v>
      </c>
      <c r="D67">
        <v>2</v>
      </c>
      <c r="E67">
        <v>1</v>
      </c>
      <c r="F67">
        <v>17</v>
      </c>
      <c r="G67">
        <v>4903</v>
      </c>
      <c r="H67">
        <v>10434</v>
      </c>
    </row>
    <row r="68" spans="1:8">
      <c r="A68" s="25" t="s">
        <v>189</v>
      </c>
      <c r="B68" t="s">
        <v>191</v>
      </c>
      <c r="C68">
        <v>2.3985420235731429</v>
      </c>
      <c r="D68">
        <v>2</v>
      </c>
      <c r="E68">
        <v>1</v>
      </c>
      <c r="F68">
        <v>12</v>
      </c>
      <c r="G68">
        <v>5474</v>
      </c>
      <c r="H68">
        <v>10434</v>
      </c>
    </row>
    <row r="69" spans="1:8">
      <c r="A69" s="25" t="s">
        <v>192</v>
      </c>
      <c r="B69" t="s">
        <v>192</v>
      </c>
      <c r="C69">
        <v>2.525170512746207</v>
      </c>
      <c r="D69">
        <v>2</v>
      </c>
      <c r="E69">
        <v>1</v>
      </c>
      <c r="F69">
        <v>17</v>
      </c>
      <c r="G69">
        <v>10434</v>
      </c>
      <c r="H69">
        <v>10434</v>
      </c>
    </row>
    <row r="71" spans="1:8" ht="57.95">
      <c r="A71" s="25" t="s">
        <v>228</v>
      </c>
    </row>
    <row r="72" spans="1:8">
      <c r="A72" s="25" t="s">
        <v>181</v>
      </c>
      <c r="B72" t="s">
        <v>182</v>
      </c>
      <c r="C72" t="s">
        <v>183</v>
      </c>
      <c r="D72" t="s">
        <v>184</v>
      </c>
      <c r="E72" t="s">
        <v>185</v>
      </c>
      <c r="F72" t="s">
        <v>186</v>
      </c>
      <c r="G72" t="s">
        <v>187</v>
      </c>
      <c r="H72" t="s">
        <v>188</v>
      </c>
    </row>
    <row r="73" spans="1:8">
      <c r="A73" s="25" t="s">
        <v>189</v>
      </c>
      <c r="B73" t="s">
        <v>194</v>
      </c>
      <c r="C73">
        <v>2.536866927412448</v>
      </c>
      <c r="D73">
        <v>2</v>
      </c>
      <c r="E73">
        <v>1</v>
      </c>
      <c r="F73">
        <v>16</v>
      </c>
      <c r="G73">
        <v>5954</v>
      </c>
      <c r="H73">
        <v>10434</v>
      </c>
    </row>
    <row r="74" spans="1:8">
      <c r="A74" s="25" t="s">
        <v>189</v>
      </c>
      <c r="B74" t="s">
        <v>195</v>
      </c>
      <c r="C74">
        <v>2.4753476209261009</v>
      </c>
      <c r="D74">
        <v>2</v>
      </c>
      <c r="E74">
        <v>1</v>
      </c>
      <c r="F74">
        <v>17</v>
      </c>
      <c r="G74">
        <v>2703</v>
      </c>
      <c r="H74">
        <v>10434</v>
      </c>
    </row>
    <row r="75" spans="1:8">
      <c r="A75" s="25" t="s">
        <v>189</v>
      </c>
      <c r="B75" t="s">
        <v>196</v>
      </c>
      <c r="C75">
        <v>2.5319686343738148</v>
      </c>
      <c r="D75">
        <v>2</v>
      </c>
      <c r="E75">
        <v>1</v>
      </c>
      <c r="F75">
        <v>15</v>
      </c>
      <c r="G75">
        <v>1720</v>
      </c>
      <c r="H75">
        <v>10434</v>
      </c>
    </row>
    <row r="76" spans="1:8">
      <c r="A76" s="25" t="s">
        <v>192</v>
      </c>
      <c r="B76" t="s">
        <v>192</v>
      </c>
      <c r="C76">
        <v>2.525170512746207</v>
      </c>
      <c r="D76">
        <v>2</v>
      </c>
      <c r="E76">
        <v>1</v>
      </c>
      <c r="F76">
        <v>17</v>
      </c>
      <c r="G76">
        <v>10434</v>
      </c>
      <c r="H76">
        <v>10434</v>
      </c>
    </row>
    <row r="78" spans="1:8" ht="43.5">
      <c r="A78" s="25" t="s">
        <v>229</v>
      </c>
    </row>
    <row r="79" spans="1:8">
      <c r="A79" s="25" t="s">
        <v>181</v>
      </c>
      <c r="B79" t="s">
        <v>182</v>
      </c>
      <c r="C79" t="s">
        <v>183</v>
      </c>
      <c r="D79" t="s">
        <v>184</v>
      </c>
      <c r="E79" t="s">
        <v>185</v>
      </c>
      <c r="F79" t="s">
        <v>186</v>
      </c>
      <c r="G79" t="s">
        <v>187</v>
      </c>
      <c r="H79" t="s">
        <v>188</v>
      </c>
    </row>
    <row r="80" spans="1:8">
      <c r="A80" s="25" t="s">
        <v>189</v>
      </c>
      <c r="B80" t="s">
        <v>198</v>
      </c>
      <c r="C80">
        <v>2.4116348359618889</v>
      </c>
      <c r="D80">
        <v>2</v>
      </c>
      <c r="E80">
        <v>1</v>
      </c>
      <c r="F80">
        <v>15</v>
      </c>
      <c r="G80">
        <v>2264</v>
      </c>
      <c r="H80">
        <v>10434</v>
      </c>
    </row>
    <row r="81" spans="1:8">
      <c r="A81" s="25" t="s">
        <v>189</v>
      </c>
      <c r="B81" t="s">
        <v>199</v>
      </c>
      <c r="C81">
        <v>2.550631272191521</v>
      </c>
      <c r="D81">
        <v>2</v>
      </c>
      <c r="E81">
        <v>1</v>
      </c>
      <c r="F81">
        <v>17</v>
      </c>
      <c r="G81">
        <v>8170</v>
      </c>
      <c r="H81">
        <v>10434</v>
      </c>
    </row>
    <row r="82" spans="1:8">
      <c r="A82" s="25" t="s">
        <v>192</v>
      </c>
      <c r="B82" t="s">
        <v>192</v>
      </c>
      <c r="C82">
        <v>2.525170512746207</v>
      </c>
      <c r="D82">
        <v>2</v>
      </c>
      <c r="E82">
        <v>1</v>
      </c>
      <c r="F82">
        <v>17</v>
      </c>
      <c r="G82">
        <v>10434</v>
      </c>
      <c r="H82">
        <v>10434</v>
      </c>
    </row>
    <row r="84" spans="1:8" ht="43.5">
      <c r="A84" s="25" t="s">
        <v>230</v>
      </c>
    </row>
    <row r="85" spans="1:8">
      <c r="A85" s="25" t="s">
        <v>181</v>
      </c>
      <c r="B85" t="s">
        <v>182</v>
      </c>
      <c r="C85" t="s">
        <v>183</v>
      </c>
      <c r="D85" t="s">
        <v>184</v>
      </c>
      <c r="E85" t="s">
        <v>185</v>
      </c>
      <c r="F85" t="s">
        <v>186</v>
      </c>
      <c r="G85" t="s">
        <v>187</v>
      </c>
      <c r="H85" t="s">
        <v>188</v>
      </c>
    </row>
    <row r="86" spans="1:8">
      <c r="A86" s="25" t="s">
        <v>189</v>
      </c>
      <c r="B86" t="s">
        <v>201</v>
      </c>
      <c r="C86">
        <v>2.800895177874744</v>
      </c>
      <c r="D86">
        <v>3</v>
      </c>
      <c r="E86">
        <v>1</v>
      </c>
      <c r="F86">
        <v>10</v>
      </c>
      <c r="G86">
        <v>767</v>
      </c>
      <c r="H86">
        <v>10434</v>
      </c>
    </row>
    <row r="87" spans="1:8">
      <c r="A87" s="25" t="s">
        <v>189</v>
      </c>
      <c r="B87" t="s">
        <v>202</v>
      </c>
      <c r="C87">
        <v>2.9163625730663791</v>
      </c>
      <c r="D87">
        <v>3</v>
      </c>
      <c r="E87">
        <v>1</v>
      </c>
      <c r="F87">
        <v>10</v>
      </c>
      <c r="G87">
        <v>110</v>
      </c>
      <c r="H87">
        <v>10434</v>
      </c>
    </row>
    <row r="88" spans="1:8">
      <c r="A88" s="25" t="s">
        <v>189</v>
      </c>
      <c r="B88" t="s">
        <v>203</v>
      </c>
      <c r="C88">
        <v>2.454978592213592</v>
      </c>
      <c r="D88">
        <v>2</v>
      </c>
      <c r="E88">
        <v>1</v>
      </c>
      <c r="F88">
        <v>17</v>
      </c>
      <c r="G88">
        <v>8042</v>
      </c>
      <c r="H88">
        <v>10434</v>
      </c>
    </row>
    <row r="89" spans="1:8">
      <c r="A89" s="25" t="s">
        <v>189</v>
      </c>
      <c r="B89" t="s">
        <v>204</v>
      </c>
      <c r="C89">
        <v>2.2548786151775149</v>
      </c>
      <c r="D89">
        <v>2</v>
      </c>
      <c r="E89">
        <v>1</v>
      </c>
      <c r="F89">
        <v>6</v>
      </c>
      <c r="G89">
        <v>31</v>
      </c>
      <c r="H89">
        <v>10434</v>
      </c>
    </row>
    <row r="90" spans="1:8">
      <c r="A90" s="25" t="s">
        <v>189</v>
      </c>
      <c r="B90" t="s">
        <v>205</v>
      </c>
      <c r="C90">
        <v>2.773810932872296</v>
      </c>
      <c r="D90">
        <v>3</v>
      </c>
      <c r="E90">
        <v>1</v>
      </c>
      <c r="F90">
        <v>12</v>
      </c>
      <c r="G90">
        <v>1484</v>
      </c>
      <c r="H90">
        <v>10434</v>
      </c>
    </row>
    <row r="91" spans="1:8">
      <c r="A91" s="25" t="s">
        <v>192</v>
      </c>
      <c r="B91" t="s">
        <v>192</v>
      </c>
      <c r="C91">
        <v>2.525170512746207</v>
      </c>
      <c r="D91">
        <v>2</v>
      </c>
      <c r="E91">
        <v>1</v>
      </c>
      <c r="F91">
        <v>17</v>
      </c>
      <c r="G91">
        <v>10434</v>
      </c>
      <c r="H91">
        <v>10434</v>
      </c>
    </row>
    <row r="93" spans="1:8" ht="43.5">
      <c r="A93" s="25" t="s">
        <v>231</v>
      </c>
    </row>
    <row r="94" spans="1:8">
      <c r="A94" s="25" t="s">
        <v>181</v>
      </c>
      <c r="B94" t="s">
        <v>182</v>
      </c>
      <c r="C94" t="s">
        <v>183</v>
      </c>
      <c r="D94" t="s">
        <v>184</v>
      </c>
      <c r="E94" t="s">
        <v>185</v>
      </c>
      <c r="F94" t="s">
        <v>186</v>
      </c>
      <c r="G94" t="s">
        <v>187</v>
      </c>
      <c r="H94" t="s">
        <v>188</v>
      </c>
    </row>
    <row r="95" spans="1:8">
      <c r="A95" s="25" t="s">
        <v>189</v>
      </c>
      <c r="B95" t="s">
        <v>211</v>
      </c>
      <c r="C95">
        <v>3.0053994797553769</v>
      </c>
      <c r="D95">
        <v>3</v>
      </c>
      <c r="E95">
        <v>2</v>
      </c>
      <c r="F95">
        <v>17</v>
      </c>
      <c r="G95">
        <v>4972</v>
      </c>
      <c r="H95">
        <v>10434</v>
      </c>
    </row>
    <row r="96" spans="1:8">
      <c r="A96" s="25" t="s">
        <v>189</v>
      </c>
      <c r="B96" t="s">
        <v>212</v>
      </c>
      <c r="C96">
        <v>1.9361387740683911</v>
      </c>
      <c r="D96">
        <v>2</v>
      </c>
      <c r="E96">
        <v>1</v>
      </c>
      <c r="F96">
        <v>15</v>
      </c>
      <c r="G96">
        <v>3376</v>
      </c>
      <c r="H96">
        <v>10434</v>
      </c>
    </row>
    <row r="97" spans="1:8">
      <c r="A97" s="25" t="s">
        <v>189</v>
      </c>
      <c r="B97" t="s">
        <v>213</v>
      </c>
      <c r="C97">
        <v>2.3303815283321518</v>
      </c>
      <c r="D97">
        <v>2</v>
      </c>
      <c r="E97">
        <v>1</v>
      </c>
      <c r="F97">
        <v>12</v>
      </c>
      <c r="G97">
        <v>2086</v>
      </c>
      <c r="H97">
        <v>10434</v>
      </c>
    </row>
    <row r="98" spans="1:8">
      <c r="A98" s="25" t="s">
        <v>192</v>
      </c>
      <c r="B98" t="s">
        <v>192</v>
      </c>
      <c r="C98">
        <v>2.525170512746207</v>
      </c>
      <c r="D98">
        <v>2</v>
      </c>
      <c r="E98">
        <v>1</v>
      </c>
      <c r="F98">
        <v>17</v>
      </c>
      <c r="G98">
        <v>10434</v>
      </c>
      <c r="H98">
        <v>10434</v>
      </c>
    </row>
    <row r="100" spans="1:8" ht="43.5">
      <c r="A100" s="25" t="s">
        <v>232</v>
      </c>
    </row>
    <row r="101" spans="1:8">
      <c r="A101" s="25" t="s">
        <v>181</v>
      </c>
      <c r="B101" t="s">
        <v>182</v>
      </c>
      <c r="C101" t="s">
        <v>183</v>
      </c>
      <c r="D101" t="s">
        <v>184</v>
      </c>
      <c r="E101" t="s">
        <v>185</v>
      </c>
      <c r="F101" t="s">
        <v>186</v>
      </c>
      <c r="G101" t="s">
        <v>187</v>
      </c>
      <c r="H101" t="s">
        <v>188</v>
      </c>
    </row>
    <row r="102" spans="1:8">
      <c r="A102" s="25" t="s">
        <v>189</v>
      </c>
      <c r="B102" t="s">
        <v>215</v>
      </c>
      <c r="C102">
        <v>2.4495590333838591</v>
      </c>
      <c r="D102">
        <v>2</v>
      </c>
      <c r="E102">
        <v>1</v>
      </c>
      <c r="F102">
        <v>12</v>
      </c>
      <c r="G102">
        <v>3308</v>
      </c>
      <c r="H102">
        <v>10434</v>
      </c>
    </row>
    <row r="103" spans="1:8">
      <c r="A103" s="25" t="s">
        <v>189</v>
      </c>
      <c r="B103" t="s">
        <v>216</v>
      </c>
      <c r="C103">
        <v>3.34028689684409</v>
      </c>
      <c r="D103">
        <v>3</v>
      </c>
      <c r="E103">
        <v>3</v>
      </c>
      <c r="F103">
        <v>4</v>
      </c>
      <c r="G103">
        <v>2</v>
      </c>
      <c r="H103">
        <v>10434</v>
      </c>
    </row>
    <row r="104" spans="1:8">
      <c r="A104" s="25" t="s">
        <v>189</v>
      </c>
      <c r="B104" t="s">
        <v>217</v>
      </c>
      <c r="C104">
        <v>2.5640738834644732</v>
      </c>
      <c r="D104">
        <v>2</v>
      </c>
      <c r="E104">
        <v>1</v>
      </c>
      <c r="F104">
        <v>17</v>
      </c>
      <c r="G104">
        <v>7124</v>
      </c>
      <c r="H104">
        <v>10434</v>
      </c>
    </row>
    <row r="105" spans="1:8">
      <c r="A105" s="25" t="s">
        <v>192</v>
      </c>
      <c r="B105" t="s">
        <v>192</v>
      </c>
      <c r="C105">
        <v>2.525170512746207</v>
      </c>
      <c r="D105">
        <v>2</v>
      </c>
      <c r="E105">
        <v>1</v>
      </c>
      <c r="F105">
        <v>17</v>
      </c>
      <c r="G105">
        <v>10434</v>
      </c>
      <c r="H105">
        <v>10434</v>
      </c>
    </row>
    <row r="107" spans="1:8" ht="43.5">
      <c r="A107" s="25" t="s">
        <v>233</v>
      </c>
    </row>
    <row r="108" spans="1:8">
      <c r="A108" s="25" t="s">
        <v>181</v>
      </c>
      <c r="B108" t="s">
        <v>182</v>
      </c>
      <c r="C108" t="s">
        <v>183</v>
      </c>
      <c r="D108" t="s">
        <v>184</v>
      </c>
      <c r="E108" t="s">
        <v>185</v>
      </c>
      <c r="F108" t="s">
        <v>186</v>
      </c>
      <c r="G108" t="s">
        <v>187</v>
      </c>
      <c r="H108" t="s">
        <v>188</v>
      </c>
    </row>
    <row r="109" spans="1:8">
      <c r="A109" s="25" t="s">
        <v>189</v>
      </c>
      <c r="B109" t="s">
        <v>190</v>
      </c>
      <c r="C109">
        <v>43.28103651638164</v>
      </c>
      <c r="D109">
        <v>45</v>
      </c>
      <c r="E109">
        <v>0</v>
      </c>
      <c r="F109">
        <v>98</v>
      </c>
      <c r="G109">
        <v>13285</v>
      </c>
      <c r="H109">
        <v>26956</v>
      </c>
    </row>
    <row r="110" spans="1:8">
      <c r="A110" s="25" t="s">
        <v>189</v>
      </c>
      <c r="B110" t="s">
        <v>191</v>
      </c>
      <c r="C110">
        <v>40.919166609004023</v>
      </c>
      <c r="D110">
        <v>40</v>
      </c>
      <c r="E110">
        <v>0</v>
      </c>
      <c r="F110">
        <v>97</v>
      </c>
      <c r="G110">
        <v>13502</v>
      </c>
      <c r="H110">
        <v>26956</v>
      </c>
    </row>
    <row r="111" spans="1:8">
      <c r="A111" s="25" t="s">
        <v>192</v>
      </c>
      <c r="B111" t="s">
        <v>192</v>
      </c>
      <c r="C111">
        <v>41.885426652003289</v>
      </c>
      <c r="D111">
        <v>42</v>
      </c>
      <c r="E111">
        <v>0</v>
      </c>
      <c r="F111">
        <v>98</v>
      </c>
      <c r="G111">
        <v>26956</v>
      </c>
      <c r="H111">
        <v>26956</v>
      </c>
    </row>
    <row r="113" spans="1:8" ht="57.95">
      <c r="A113" s="25" t="s">
        <v>234</v>
      </c>
    </row>
    <row r="114" spans="1:8">
      <c r="A114" s="25" t="s">
        <v>181</v>
      </c>
      <c r="B114" t="s">
        <v>182</v>
      </c>
      <c r="C114" t="s">
        <v>183</v>
      </c>
      <c r="D114" t="s">
        <v>184</v>
      </c>
      <c r="E114" t="s">
        <v>185</v>
      </c>
      <c r="F114" t="s">
        <v>186</v>
      </c>
      <c r="G114" t="s">
        <v>187</v>
      </c>
      <c r="H114" t="s">
        <v>188</v>
      </c>
    </row>
    <row r="115" spans="1:8">
      <c r="A115" s="25" t="s">
        <v>189</v>
      </c>
      <c r="B115" t="s">
        <v>194</v>
      </c>
      <c r="C115">
        <v>42.172204644391023</v>
      </c>
      <c r="D115">
        <v>42</v>
      </c>
      <c r="E115">
        <v>0</v>
      </c>
      <c r="F115">
        <v>98</v>
      </c>
      <c r="G115">
        <v>15384</v>
      </c>
      <c r="H115">
        <v>26956</v>
      </c>
    </row>
    <row r="116" spans="1:8">
      <c r="A116" s="25" t="s">
        <v>189</v>
      </c>
      <c r="B116" t="s">
        <v>195</v>
      </c>
      <c r="C116">
        <v>41.415164844584368</v>
      </c>
      <c r="D116">
        <v>42</v>
      </c>
      <c r="E116">
        <v>0</v>
      </c>
      <c r="F116">
        <v>97</v>
      </c>
      <c r="G116">
        <v>6828</v>
      </c>
      <c r="H116">
        <v>26956</v>
      </c>
    </row>
    <row r="117" spans="1:8">
      <c r="A117" s="25" t="s">
        <v>189</v>
      </c>
      <c r="B117" t="s">
        <v>196</v>
      </c>
      <c r="C117">
        <v>40.722512960081659</v>
      </c>
      <c r="D117">
        <v>41</v>
      </c>
      <c r="E117">
        <v>0</v>
      </c>
      <c r="F117">
        <v>96</v>
      </c>
      <c r="G117">
        <v>4575</v>
      </c>
      <c r="H117">
        <v>26956</v>
      </c>
    </row>
    <row r="118" spans="1:8">
      <c r="A118" s="25" t="s">
        <v>192</v>
      </c>
      <c r="B118" t="s">
        <v>192</v>
      </c>
      <c r="C118">
        <v>41.885426652003289</v>
      </c>
      <c r="D118">
        <v>42</v>
      </c>
      <c r="E118">
        <v>0</v>
      </c>
      <c r="F118">
        <v>98</v>
      </c>
      <c r="G118">
        <v>26956</v>
      </c>
      <c r="H118">
        <v>26956</v>
      </c>
    </row>
    <row r="120" spans="1:8" ht="57.95">
      <c r="A120" s="25" t="s">
        <v>235</v>
      </c>
    </row>
    <row r="121" spans="1:8">
      <c r="A121" s="25" t="s">
        <v>181</v>
      </c>
      <c r="B121" t="s">
        <v>182</v>
      </c>
      <c r="C121" t="s">
        <v>183</v>
      </c>
      <c r="D121" t="s">
        <v>184</v>
      </c>
      <c r="E121" t="s">
        <v>185</v>
      </c>
      <c r="F121" t="s">
        <v>186</v>
      </c>
      <c r="G121" t="s">
        <v>187</v>
      </c>
      <c r="H121" t="s">
        <v>188</v>
      </c>
    </row>
    <row r="122" spans="1:8">
      <c r="A122" s="25" t="s">
        <v>189</v>
      </c>
      <c r="B122" t="s">
        <v>198</v>
      </c>
      <c r="C122">
        <v>53.352163894353247</v>
      </c>
      <c r="D122">
        <v>58</v>
      </c>
      <c r="E122">
        <v>0</v>
      </c>
      <c r="F122">
        <v>96</v>
      </c>
      <c r="G122">
        <v>5625</v>
      </c>
      <c r="H122">
        <v>26956</v>
      </c>
    </row>
    <row r="123" spans="1:8">
      <c r="A123" s="25" t="s">
        <v>189</v>
      </c>
      <c r="B123" t="s">
        <v>199</v>
      </c>
      <c r="C123">
        <v>39.454103251903682</v>
      </c>
      <c r="D123">
        <v>40</v>
      </c>
      <c r="E123">
        <v>0</v>
      </c>
      <c r="F123">
        <v>98</v>
      </c>
      <c r="G123">
        <v>21331</v>
      </c>
      <c r="H123">
        <v>26956</v>
      </c>
    </row>
    <row r="124" spans="1:8">
      <c r="A124" s="25" t="s">
        <v>192</v>
      </c>
      <c r="B124" t="s">
        <v>192</v>
      </c>
      <c r="C124">
        <v>41.885426652003289</v>
      </c>
      <c r="D124">
        <v>42</v>
      </c>
      <c r="E124">
        <v>0</v>
      </c>
      <c r="F124">
        <v>98</v>
      </c>
      <c r="G124">
        <v>26956</v>
      </c>
      <c r="H124">
        <v>26956</v>
      </c>
    </row>
    <row r="126" spans="1:8" ht="57.95">
      <c r="A126" s="25" t="s">
        <v>236</v>
      </c>
    </row>
    <row r="127" spans="1:8">
      <c r="A127" s="25" t="s">
        <v>181</v>
      </c>
      <c r="B127" t="s">
        <v>182</v>
      </c>
      <c r="C127" t="s">
        <v>183</v>
      </c>
      <c r="D127" t="s">
        <v>184</v>
      </c>
      <c r="E127" t="s">
        <v>185</v>
      </c>
      <c r="F127" t="s">
        <v>186</v>
      </c>
      <c r="G127" t="s">
        <v>187</v>
      </c>
      <c r="H127" t="s">
        <v>188</v>
      </c>
    </row>
    <row r="128" spans="1:8">
      <c r="A128" s="25" t="s">
        <v>189</v>
      </c>
      <c r="B128" t="s">
        <v>201</v>
      </c>
      <c r="C128">
        <v>35.118367860410459</v>
      </c>
      <c r="D128">
        <v>34</v>
      </c>
      <c r="E128">
        <v>0</v>
      </c>
      <c r="F128">
        <v>96</v>
      </c>
      <c r="G128">
        <v>2180</v>
      </c>
      <c r="H128">
        <v>26956</v>
      </c>
    </row>
    <row r="129" spans="1:8">
      <c r="A129" s="25" t="s">
        <v>189</v>
      </c>
      <c r="B129" t="s">
        <v>237</v>
      </c>
      <c r="C129">
        <v>40.219707439172431</v>
      </c>
      <c r="D129">
        <v>40</v>
      </c>
      <c r="E129">
        <v>1</v>
      </c>
      <c r="F129">
        <v>89</v>
      </c>
      <c r="G129">
        <v>310</v>
      </c>
      <c r="H129">
        <v>26956</v>
      </c>
    </row>
    <row r="130" spans="1:8">
      <c r="A130" s="25" t="s">
        <v>189</v>
      </c>
      <c r="B130" t="s">
        <v>203</v>
      </c>
      <c r="C130">
        <v>44.029762400192759</v>
      </c>
      <c r="D130">
        <v>45</v>
      </c>
      <c r="E130">
        <v>0</v>
      </c>
      <c r="F130">
        <v>98</v>
      </c>
      <c r="G130">
        <v>20089</v>
      </c>
      <c r="H130">
        <v>26956</v>
      </c>
    </row>
    <row r="131" spans="1:8">
      <c r="A131" s="25" t="s">
        <v>189</v>
      </c>
      <c r="B131" t="s">
        <v>204</v>
      </c>
      <c r="C131">
        <v>46.121697126962573</v>
      </c>
      <c r="D131">
        <v>50</v>
      </c>
      <c r="E131">
        <v>2</v>
      </c>
      <c r="F131">
        <v>80</v>
      </c>
      <c r="G131">
        <v>72</v>
      </c>
      <c r="H131">
        <v>26956</v>
      </c>
    </row>
    <row r="132" spans="1:8">
      <c r="A132" s="25" t="s">
        <v>189</v>
      </c>
      <c r="B132" t="s">
        <v>205</v>
      </c>
      <c r="C132">
        <v>34.530416757478179</v>
      </c>
      <c r="D132">
        <v>35</v>
      </c>
      <c r="E132">
        <v>0</v>
      </c>
      <c r="F132">
        <v>93</v>
      </c>
      <c r="G132">
        <v>4305</v>
      </c>
      <c r="H132">
        <v>26956</v>
      </c>
    </row>
    <row r="133" spans="1:8">
      <c r="A133" s="25" t="s">
        <v>192</v>
      </c>
      <c r="B133" t="s">
        <v>192</v>
      </c>
      <c r="C133">
        <v>41.885426652003289</v>
      </c>
      <c r="D133">
        <v>42</v>
      </c>
      <c r="E133">
        <v>0</v>
      </c>
      <c r="F133">
        <v>98</v>
      </c>
      <c r="G133">
        <v>26956</v>
      </c>
      <c r="H133">
        <v>26956</v>
      </c>
    </row>
    <row r="135" spans="1:8" ht="43.5">
      <c r="A135" s="25" t="s">
        <v>238</v>
      </c>
    </row>
    <row r="136" spans="1:8">
      <c r="A136" s="25" t="s">
        <v>181</v>
      </c>
      <c r="B136" t="s">
        <v>182</v>
      </c>
      <c r="C136" t="s">
        <v>183</v>
      </c>
      <c r="D136" t="s">
        <v>184</v>
      </c>
      <c r="E136" t="s">
        <v>185</v>
      </c>
      <c r="F136" t="s">
        <v>186</v>
      </c>
      <c r="G136" t="s">
        <v>187</v>
      </c>
      <c r="H136" t="s">
        <v>188</v>
      </c>
    </row>
    <row r="137" spans="1:8">
      <c r="A137" s="25" t="s">
        <v>189</v>
      </c>
      <c r="B137" t="s">
        <v>207</v>
      </c>
      <c r="C137">
        <v>42.194744931005722</v>
      </c>
      <c r="D137">
        <v>43</v>
      </c>
      <c r="E137">
        <v>0</v>
      </c>
      <c r="F137">
        <v>98</v>
      </c>
      <c r="G137">
        <v>19402</v>
      </c>
      <c r="H137">
        <v>26956</v>
      </c>
    </row>
    <row r="138" spans="1:8">
      <c r="A138" s="25" t="s">
        <v>189</v>
      </c>
      <c r="B138" t="s">
        <v>208</v>
      </c>
      <c r="C138">
        <v>60.010000047140188</v>
      </c>
      <c r="D138">
        <v>66</v>
      </c>
      <c r="E138">
        <v>18</v>
      </c>
      <c r="F138">
        <v>95</v>
      </c>
      <c r="G138">
        <v>2245</v>
      </c>
      <c r="H138">
        <v>26956</v>
      </c>
    </row>
    <row r="139" spans="1:8">
      <c r="A139" s="25" t="s">
        <v>189</v>
      </c>
      <c r="B139" t="s">
        <v>209</v>
      </c>
      <c r="C139">
        <v>31.37886963633202</v>
      </c>
      <c r="D139">
        <v>30</v>
      </c>
      <c r="E139">
        <v>0</v>
      </c>
      <c r="F139">
        <v>96</v>
      </c>
      <c r="G139">
        <v>5309</v>
      </c>
      <c r="H139">
        <v>26956</v>
      </c>
    </row>
    <row r="140" spans="1:8">
      <c r="A140" s="25" t="s">
        <v>192</v>
      </c>
      <c r="B140" t="s">
        <v>192</v>
      </c>
      <c r="C140">
        <v>41.885426652003289</v>
      </c>
      <c r="D140">
        <v>42</v>
      </c>
      <c r="E140">
        <v>0</v>
      </c>
      <c r="F140">
        <v>98</v>
      </c>
      <c r="G140">
        <v>26956</v>
      </c>
      <c r="H140">
        <v>26956</v>
      </c>
    </row>
    <row r="142" spans="1:8" ht="57.95">
      <c r="A142" s="25" t="s">
        <v>239</v>
      </c>
    </row>
    <row r="143" spans="1:8">
      <c r="A143" s="25" t="s">
        <v>181</v>
      </c>
      <c r="B143" t="s">
        <v>182</v>
      </c>
      <c r="C143" t="s">
        <v>183</v>
      </c>
      <c r="D143" t="s">
        <v>184</v>
      </c>
      <c r="E143" t="s">
        <v>185</v>
      </c>
      <c r="F143" t="s">
        <v>186</v>
      </c>
      <c r="G143" t="s">
        <v>187</v>
      </c>
      <c r="H143" t="s">
        <v>188</v>
      </c>
    </row>
    <row r="144" spans="1:8">
      <c r="A144" s="25" t="s">
        <v>189</v>
      </c>
      <c r="B144" t="s">
        <v>211</v>
      </c>
      <c r="C144">
        <v>40.81875341943411</v>
      </c>
      <c r="D144">
        <v>41</v>
      </c>
      <c r="E144">
        <v>0</v>
      </c>
      <c r="F144">
        <v>98</v>
      </c>
      <c r="G144">
        <v>15345</v>
      </c>
      <c r="H144">
        <v>26956</v>
      </c>
    </row>
    <row r="145" spans="1:8">
      <c r="A145" s="25" t="s">
        <v>189</v>
      </c>
      <c r="B145" t="s">
        <v>212</v>
      </c>
      <c r="C145">
        <v>44.662187082033903</v>
      </c>
      <c r="D145">
        <v>46</v>
      </c>
      <c r="E145">
        <v>0</v>
      </c>
      <c r="F145">
        <v>97</v>
      </c>
      <c r="G145">
        <v>6781</v>
      </c>
      <c r="H145">
        <v>26956</v>
      </c>
    </row>
    <row r="146" spans="1:8">
      <c r="A146" s="25" t="s">
        <v>189</v>
      </c>
      <c r="B146" t="s">
        <v>213</v>
      </c>
      <c r="C146">
        <v>41.563320685729771</v>
      </c>
      <c r="D146">
        <v>41</v>
      </c>
      <c r="E146">
        <v>0</v>
      </c>
      <c r="F146">
        <v>97</v>
      </c>
      <c r="G146">
        <v>4830</v>
      </c>
      <c r="H146">
        <v>26956</v>
      </c>
    </row>
    <row r="147" spans="1:8">
      <c r="A147" s="25" t="s">
        <v>192</v>
      </c>
      <c r="B147" t="s">
        <v>192</v>
      </c>
      <c r="C147">
        <v>41.885426652003289</v>
      </c>
      <c r="D147">
        <v>42</v>
      </c>
      <c r="E147">
        <v>0</v>
      </c>
      <c r="F147">
        <v>98</v>
      </c>
      <c r="G147">
        <v>26956</v>
      </c>
      <c r="H147">
        <v>26956</v>
      </c>
    </row>
    <row r="149" spans="1:8" ht="43.5">
      <c r="A149" s="25" t="s">
        <v>240</v>
      </c>
    </row>
    <row r="150" spans="1:8">
      <c r="A150" s="25" t="s">
        <v>182</v>
      </c>
      <c r="B150" t="s">
        <v>219</v>
      </c>
      <c r="C150" t="s">
        <v>181</v>
      </c>
      <c r="D150" t="s">
        <v>188</v>
      </c>
      <c r="E150" t="s">
        <v>241</v>
      </c>
      <c r="F150" t="s">
        <v>242</v>
      </c>
      <c r="G150" t="s">
        <v>243</v>
      </c>
      <c r="H150" t="s">
        <v>244</v>
      </c>
    </row>
    <row r="151" spans="1:8">
      <c r="A151" s="25" t="s">
        <v>190</v>
      </c>
      <c r="B151">
        <v>13285</v>
      </c>
      <c r="C151" t="s">
        <v>189</v>
      </c>
      <c r="D151">
        <v>26956</v>
      </c>
      <c r="E151" s="1">
        <v>0</v>
      </c>
      <c r="F151" s="1">
        <v>0.45800000000000002</v>
      </c>
      <c r="G151" s="1">
        <v>1E-4</v>
      </c>
      <c r="H151" s="1">
        <v>0.54190000000000005</v>
      </c>
    </row>
    <row r="152" spans="1:8">
      <c r="A152" s="25" t="s">
        <v>191</v>
      </c>
      <c r="B152">
        <v>13502</v>
      </c>
      <c r="C152" t="s">
        <v>189</v>
      </c>
      <c r="D152">
        <v>26956</v>
      </c>
      <c r="E152" s="1">
        <v>1E-4</v>
      </c>
      <c r="F152" s="1">
        <v>0.45529999999999998</v>
      </c>
      <c r="H152" s="1">
        <v>0.54469999999999996</v>
      </c>
    </row>
    <row r="153" spans="1:8">
      <c r="A153" s="25" t="s">
        <v>192</v>
      </c>
      <c r="B153">
        <v>26956</v>
      </c>
      <c r="C153" t="s">
        <v>192</v>
      </c>
      <c r="D153">
        <v>26956</v>
      </c>
      <c r="E153" s="1">
        <v>0</v>
      </c>
      <c r="F153" s="1">
        <v>0.45639999999999997</v>
      </c>
      <c r="G153" s="1">
        <v>0</v>
      </c>
      <c r="H153" s="1">
        <v>0.54349999999999998</v>
      </c>
    </row>
    <row r="155" spans="1:8" ht="72.599999999999994">
      <c r="A155" s="25" t="s">
        <v>245</v>
      </c>
    </row>
    <row r="156" spans="1:8">
      <c r="A156" s="25" t="s">
        <v>182</v>
      </c>
      <c r="B156" t="s">
        <v>219</v>
      </c>
      <c r="C156" t="s">
        <v>181</v>
      </c>
      <c r="D156" t="s">
        <v>188</v>
      </c>
      <c r="E156" t="s">
        <v>241</v>
      </c>
      <c r="F156" t="s">
        <v>242</v>
      </c>
      <c r="G156" t="s">
        <v>243</v>
      </c>
      <c r="H156" t="s">
        <v>244</v>
      </c>
    </row>
    <row r="157" spans="1:8" ht="43.5">
      <c r="A157" s="25" t="s">
        <v>194</v>
      </c>
      <c r="B157">
        <v>15384</v>
      </c>
      <c r="C157" t="s">
        <v>189</v>
      </c>
      <c r="D157">
        <v>26956</v>
      </c>
      <c r="F157" s="1">
        <v>0.45669999999999999</v>
      </c>
      <c r="H157" s="1">
        <v>0.54330000000000001</v>
      </c>
    </row>
    <row r="158" spans="1:8" ht="43.5">
      <c r="A158" s="25" t="s">
        <v>195</v>
      </c>
      <c r="B158">
        <v>6828</v>
      </c>
      <c r="C158" t="s">
        <v>189</v>
      </c>
      <c r="D158">
        <v>26956</v>
      </c>
      <c r="E158" s="1">
        <v>0</v>
      </c>
      <c r="F158" s="1">
        <v>0.46179999999999999</v>
      </c>
      <c r="H158" s="1">
        <v>0.53810000000000002</v>
      </c>
    </row>
    <row r="159" spans="1:8" ht="43.5">
      <c r="A159" s="25" t="s">
        <v>196</v>
      </c>
      <c r="B159">
        <v>4575</v>
      </c>
      <c r="C159" t="s">
        <v>189</v>
      </c>
      <c r="D159">
        <v>26956</v>
      </c>
      <c r="E159" s="1">
        <v>4.0000000000000002E-4</v>
      </c>
      <c r="F159" s="1">
        <v>0.44319999999999998</v>
      </c>
      <c r="G159" s="1">
        <v>2.0000000000000001E-4</v>
      </c>
      <c r="H159" s="1">
        <v>0.55620000000000003</v>
      </c>
    </row>
    <row r="160" spans="1:8">
      <c r="A160" s="25" t="s">
        <v>192</v>
      </c>
      <c r="B160">
        <v>26956</v>
      </c>
      <c r="C160" t="s">
        <v>192</v>
      </c>
      <c r="D160">
        <v>26956</v>
      </c>
      <c r="E160" s="1">
        <v>0</v>
      </c>
      <c r="F160" s="1">
        <v>0.45639999999999997</v>
      </c>
      <c r="G160" s="1">
        <v>0</v>
      </c>
      <c r="H160" s="1">
        <v>0.54349999999999998</v>
      </c>
    </row>
    <row r="162" spans="1:8" ht="57.95">
      <c r="A162" s="25" t="s">
        <v>246</v>
      </c>
    </row>
    <row r="163" spans="1:8">
      <c r="A163" s="25" t="s">
        <v>182</v>
      </c>
      <c r="B163" t="s">
        <v>219</v>
      </c>
      <c r="C163" t="s">
        <v>181</v>
      </c>
      <c r="D163" t="s">
        <v>188</v>
      </c>
      <c r="E163" t="s">
        <v>241</v>
      </c>
      <c r="F163" t="s">
        <v>242</v>
      </c>
      <c r="G163" t="s">
        <v>243</v>
      </c>
      <c r="H163" t="s">
        <v>244</v>
      </c>
    </row>
    <row r="164" spans="1:8" ht="29.1">
      <c r="A164" s="25" t="s">
        <v>198</v>
      </c>
      <c r="B164">
        <v>5625</v>
      </c>
      <c r="C164" t="s">
        <v>189</v>
      </c>
      <c r="D164">
        <v>26956</v>
      </c>
      <c r="E164" s="1">
        <v>0</v>
      </c>
      <c r="F164" s="1">
        <v>0.42870000000000003</v>
      </c>
      <c r="H164" s="1">
        <v>0.57120000000000004</v>
      </c>
    </row>
    <row r="165" spans="1:8" ht="29.1">
      <c r="A165" s="25" t="s">
        <v>199</v>
      </c>
      <c r="B165">
        <v>21331</v>
      </c>
      <c r="C165" t="s">
        <v>189</v>
      </c>
      <c r="D165">
        <v>26956</v>
      </c>
      <c r="E165" s="1">
        <v>0</v>
      </c>
      <c r="F165" s="1">
        <v>0.46229999999999999</v>
      </c>
      <c r="G165" s="1">
        <v>0</v>
      </c>
      <c r="H165" s="1">
        <v>0.53769999999999996</v>
      </c>
    </row>
    <row r="166" spans="1:8">
      <c r="A166" s="25" t="s">
        <v>192</v>
      </c>
      <c r="B166">
        <v>26956</v>
      </c>
      <c r="C166" t="s">
        <v>192</v>
      </c>
      <c r="D166">
        <v>26956</v>
      </c>
      <c r="E166" s="1">
        <v>0</v>
      </c>
      <c r="F166" s="1">
        <v>0.45639999999999997</v>
      </c>
      <c r="G166" s="1">
        <v>0</v>
      </c>
      <c r="H166" s="1">
        <v>0.54349999999999998</v>
      </c>
    </row>
    <row r="168" spans="1:8" ht="57.95">
      <c r="A168" s="25" t="s">
        <v>247</v>
      </c>
    </row>
    <row r="169" spans="1:8">
      <c r="A169" s="25" t="s">
        <v>182</v>
      </c>
      <c r="B169" t="s">
        <v>219</v>
      </c>
      <c r="C169" t="s">
        <v>181</v>
      </c>
      <c r="D169" t="s">
        <v>188</v>
      </c>
      <c r="E169" t="s">
        <v>241</v>
      </c>
      <c r="F169" t="s">
        <v>242</v>
      </c>
      <c r="G169" t="s">
        <v>243</v>
      </c>
      <c r="H169" t="s">
        <v>244</v>
      </c>
    </row>
    <row r="170" spans="1:8">
      <c r="A170" s="25" t="s">
        <v>201</v>
      </c>
      <c r="B170">
        <v>2180</v>
      </c>
      <c r="C170" t="s">
        <v>189</v>
      </c>
      <c r="D170">
        <v>26956</v>
      </c>
      <c r="F170" s="1">
        <v>0.4224</v>
      </c>
      <c r="H170" s="1">
        <v>0.5776</v>
      </c>
    </row>
    <row r="171" spans="1:8">
      <c r="A171" s="25" t="s">
        <v>237</v>
      </c>
      <c r="B171">
        <v>310</v>
      </c>
      <c r="C171" t="s">
        <v>189</v>
      </c>
      <c r="D171">
        <v>26956</v>
      </c>
      <c r="E171" s="1">
        <v>8.9999999999999998E-4</v>
      </c>
      <c r="F171" s="1">
        <v>0.46839999999999998</v>
      </c>
      <c r="G171" s="1">
        <v>2.3E-3</v>
      </c>
      <c r="H171" s="1">
        <v>0.52849999999999997</v>
      </c>
    </row>
    <row r="172" spans="1:8">
      <c r="A172" s="25" t="s">
        <v>203</v>
      </c>
      <c r="B172">
        <v>20089</v>
      </c>
      <c r="C172" t="s">
        <v>189</v>
      </c>
      <c r="D172">
        <v>26956</v>
      </c>
      <c r="E172" s="1">
        <v>0</v>
      </c>
      <c r="F172" s="1">
        <v>0.45989999999999998</v>
      </c>
      <c r="G172" s="1">
        <v>0</v>
      </c>
      <c r="H172" s="1">
        <v>0.54</v>
      </c>
    </row>
    <row r="173" spans="1:8">
      <c r="A173" s="25" t="s">
        <v>204</v>
      </c>
      <c r="B173">
        <v>72</v>
      </c>
      <c r="C173" t="s">
        <v>189</v>
      </c>
      <c r="D173">
        <v>26956</v>
      </c>
      <c r="F173" s="1">
        <v>0.44819999999999999</v>
      </c>
      <c r="H173" s="1">
        <v>0.55179999999999996</v>
      </c>
    </row>
    <row r="174" spans="1:8">
      <c r="A174" s="25" t="s">
        <v>205</v>
      </c>
      <c r="B174">
        <v>4305</v>
      </c>
      <c r="C174" t="s">
        <v>189</v>
      </c>
      <c r="D174">
        <v>26956</v>
      </c>
      <c r="F174" s="1">
        <v>0.4556</v>
      </c>
      <c r="H174" s="1">
        <v>0.5444</v>
      </c>
    </row>
    <row r="175" spans="1:8">
      <c r="A175" s="25" t="s">
        <v>192</v>
      </c>
      <c r="B175">
        <v>26956</v>
      </c>
      <c r="C175" t="s">
        <v>192</v>
      </c>
      <c r="D175">
        <v>26956</v>
      </c>
      <c r="E175" s="1">
        <v>0</v>
      </c>
      <c r="F175" s="1">
        <v>0.45639999999999997</v>
      </c>
      <c r="G175" s="1">
        <v>0</v>
      </c>
      <c r="H175" s="1">
        <v>0.54349999999999998</v>
      </c>
    </row>
    <row r="177" spans="1:14" ht="57.95">
      <c r="A177" s="25" t="s">
        <v>248</v>
      </c>
    </row>
    <row r="178" spans="1:14">
      <c r="A178" s="25" t="s">
        <v>182</v>
      </c>
      <c r="B178" t="s">
        <v>219</v>
      </c>
      <c r="C178" t="s">
        <v>181</v>
      </c>
      <c r="D178" t="s">
        <v>188</v>
      </c>
      <c r="E178" t="s">
        <v>241</v>
      </c>
      <c r="F178" t="s">
        <v>242</v>
      </c>
      <c r="G178" t="s">
        <v>243</v>
      </c>
      <c r="H178" t="s">
        <v>244</v>
      </c>
    </row>
    <row r="179" spans="1:14">
      <c r="A179" s="25" t="s">
        <v>207</v>
      </c>
      <c r="B179">
        <v>19402</v>
      </c>
      <c r="C179" t="s">
        <v>189</v>
      </c>
      <c r="D179">
        <v>26956</v>
      </c>
      <c r="E179" s="1">
        <v>0</v>
      </c>
      <c r="F179" s="1">
        <v>0.4647</v>
      </c>
      <c r="G179" s="1">
        <v>0</v>
      </c>
      <c r="H179" s="1">
        <v>0.53520000000000001</v>
      </c>
    </row>
    <row r="180" spans="1:14">
      <c r="A180" s="25" t="s">
        <v>208</v>
      </c>
      <c r="B180">
        <v>2245</v>
      </c>
      <c r="C180" t="s">
        <v>189</v>
      </c>
      <c r="D180">
        <v>26956</v>
      </c>
      <c r="F180" s="1">
        <v>0.32469999999999999</v>
      </c>
      <c r="H180" s="1">
        <v>0.67530000000000001</v>
      </c>
    </row>
    <row r="181" spans="1:14">
      <c r="A181" s="25" t="s">
        <v>209</v>
      </c>
      <c r="B181">
        <v>5309</v>
      </c>
      <c r="C181" t="s">
        <v>189</v>
      </c>
      <c r="D181">
        <v>26956</v>
      </c>
      <c r="E181" s="1">
        <v>1E-4</v>
      </c>
      <c r="F181" s="1">
        <v>0.4884</v>
      </c>
      <c r="H181" s="1">
        <v>0.51149999999999995</v>
      </c>
    </row>
    <row r="182" spans="1:14">
      <c r="A182" s="25" t="s">
        <v>192</v>
      </c>
      <c r="B182">
        <v>26956</v>
      </c>
      <c r="C182" t="s">
        <v>192</v>
      </c>
      <c r="D182">
        <v>26956</v>
      </c>
      <c r="E182" s="1">
        <v>0</v>
      </c>
      <c r="F182" s="1">
        <v>0.45639999999999997</v>
      </c>
      <c r="G182" s="1">
        <v>0</v>
      </c>
      <c r="H182" s="1">
        <v>0.54349999999999998</v>
      </c>
    </row>
    <row r="184" spans="1:14" ht="57.95">
      <c r="A184" s="25" t="s">
        <v>249</v>
      </c>
    </row>
    <row r="185" spans="1:14">
      <c r="A185" s="25" t="s">
        <v>182</v>
      </c>
      <c r="B185" t="s">
        <v>219</v>
      </c>
      <c r="C185" t="s">
        <v>181</v>
      </c>
      <c r="D185" t="s">
        <v>188</v>
      </c>
      <c r="E185" t="s">
        <v>241</v>
      </c>
      <c r="F185" t="s">
        <v>242</v>
      </c>
      <c r="G185" t="s">
        <v>243</v>
      </c>
      <c r="H185" t="s">
        <v>244</v>
      </c>
    </row>
    <row r="186" spans="1:14">
      <c r="A186" s="25" t="s">
        <v>211</v>
      </c>
      <c r="B186">
        <v>15345</v>
      </c>
      <c r="C186" t="s">
        <v>189</v>
      </c>
      <c r="D186">
        <v>26956</v>
      </c>
      <c r="E186" s="1">
        <v>1E-4</v>
      </c>
      <c r="F186" s="1">
        <v>0.48520000000000002</v>
      </c>
      <c r="G186" s="1">
        <v>0</v>
      </c>
      <c r="H186" s="1">
        <v>0.51470000000000005</v>
      </c>
    </row>
    <row r="187" spans="1:14">
      <c r="A187" s="25" t="s">
        <v>212</v>
      </c>
      <c r="B187">
        <v>6781</v>
      </c>
      <c r="C187" t="s">
        <v>189</v>
      </c>
      <c r="D187">
        <v>26956</v>
      </c>
      <c r="E187" s="1">
        <v>0</v>
      </c>
      <c r="F187" s="1">
        <v>0.2863</v>
      </c>
      <c r="H187" s="1">
        <v>0.7137</v>
      </c>
    </row>
    <row r="188" spans="1:14">
      <c r="A188" s="25" t="s">
        <v>213</v>
      </c>
      <c r="B188">
        <v>4830</v>
      </c>
      <c r="C188" t="s">
        <v>189</v>
      </c>
      <c r="D188">
        <v>26956</v>
      </c>
      <c r="F188" s="1">
        <v>0.57750000000000001</v>
      </c>
      <c r="H188" s="1">
        <v>0.42249999999999999</v>
      </c>
    </row>
    <row r="189" spans="1:14">
      <c r="A189" s="25" t="s">
        <v>192</v>
      </c>
      <c r="B189">
        <v>26956</v>
      </c>
      <c r="C189" t="s">
        <v>192</v>
      </c>
      <c r="D189">
        <v>26956</v>
      </c>
      <c r="E189" s="1">
        <v>0</v>
      </c>
      <c r="F189" s="1">
        <v>0.45639999999999997</v>
      </c>
      <c r="G189" s="1">
        <v>0</v>
      </c>
      <c r="H189" s="1">
        <v>0.54349999999999998</v>
      </c>
    </row>
    <row r="191" spans="1:14" ht="43.5">
      <c r="A191" s="25" t="s">
        <v>250</v>
      </c>
    </row>
    <row r="192" spans="1:14">
      <c r="A192" s="25" t="s">
        <v>182</v>
      </c>
      <c r="B192" t="s">
        <v>219</v>
      </c>
      <c r="C192" t="s">
        <v>181</v>
      </c>
      <c r="D192" t="s">
        <v>188</v>
      </c>
      <c r="E192" t="s">
        <v>251</v>
      </c>
      <c r="F192" t="s">
        <v>252</v>
      </c>
      <c r="G192" t="s">
        <v>241</v>
      </c>
      <c r="H192" t="s">
        <v>253</v>
      </c>
      <c r="I192" t="s">
        <v>254</v>
      </c>
      <c r="J192" t="s">
        <v>255</v>
      </c>
      <c r="K192" t="s">
        <v>243</v>
      </c>
      <c r="L192" t="s">
        <v>256</v>
      </c>
      <c r="M192" t="s">
        <v>257</v>
      </c>
      <c r="N192" t="s">
        <v>258</v>
      </c>
    </row>
    <row r="193" spans="1:14">
      <c r="A193" s="25" t="s">
        <v>190</v>
      </c>
      <c r="B193">
        <v>7267</v>
      </c>
      <c r="C193" t="s">
        <v>189</v>
      </c>
      <c r="D193">
        <v>15406</v>
      </c>
      <c r="E193" s="1">
        <v>7.7399999999999997E-2</v>
      </c>
      <c r="F193" s="1">
        <v>0.21460000000000001</v>
      </c>
      <c r="G193" s="1">
        <v>1.8E-3</v>
      </c>
      <c r="H193" s="1">
        <v>1E-4</v>
      </c>
      <c r="I193" s="1">
        <v>5.0000000000000001E-4</v>
      </c>
      <c r="J193" s="1">
        <v>1.4E-3</v>
      </c>
      <c r="K193" s="1">
        <v>8.9999999999999998E-4</v>
      </c>
      <c r="L193" s="1">
        <v>4.8999999999999998E-3</v>
      </c>
      <c r="M193" s="1">
        <v>0.21190000000000001</v>
      </c>
      <c r="N193" s="1">
        <v>0.4864</v>
      </c>
    </row>
    <row r="194" spans="1:14">
      <c r="A194" s="25" t="s">
        <v>191</v>
      </c>
      <c r="B194">
        <v>8048</v>
      </c>
      <c r="C194" t="s">
        <v>189</v>
      </c>
      <c r="D194">
        <v>15406</v>
      </c>
      <c r="E194" s="1">
        <v>2.7400000000000001E-2</v>
      </c>
      <c r="F194" s="1">
        <v>0.1148</v>
      </c>
      <c r="G194" s="1">
        <v>1.1999999999999999E-3</v>
      </c>
      <c r="H194" s="1">
        <v>3.0000000000000001E-3</v>
      </c>
      <c r="I194" s="1">
        <v>4.0000000000000002E-4</v>
      </c>
      <c r="J194" s="1">
        <v>5.5999999999999999E-3</v>
      </c>
      <c r="K194" s="1">
        <v>2.0000000000000001E-4</v>
      </c>
      <c r="L194" s="1">
        <v>2.3999999999999998E-3</v>
      </c>
      <c r="M194" s="1">
        <v>0.4662</v>
      </c>
      <c r="N194" s="1">
        <v>0.37880000000000003</v>
      </c>
    </row>
    <row r="195" spans="1:14">
      <c r="A195" s="25" t="s">
        <v>192</v>
      </c>
      <c r="B195">
        <v>15406</v>
      </c>
      <c r="C195" t="s">
        <v>192</v>
      </c>
      <c r="D195">
        <v>15406</v>
      </c>
      <c r="E195" s="1">
        <v>4.65E-2</v>
      </c>
      <c r="F195" s="1">
        <v>0.153</v>
      </c>
      <c r="G195" s="1">
        <v>1.4E-3</v>
      </c>
      <c r="H195" s="1">
        <v>1.9E-3</v>
      </c>
      <c r="I195" s="1">
        <v>4.0000000000000002E-4</v>
      </c>
      <c r="J195" s="1">
        <v>4.0000000000000001E-3</v>
      </c>
      <c r="K195" s="1">
        <v>5.0000000000000001E-4</v>
      </c>
      <c r="L195" s="1">
        <v>3.3999999999999998E-3</v>
      </c>
      <c r="M195" s="1">
        <v>0.36909999999999998</v>
      </c>
      <c r="N195" s="1">
        <v>0.41970000000000002</v>
      </c>
    </row>
    <row r="197" spans="1:14" ht="72.599999999999994">
      <c r="A197" s="25" t="s">
        <v>259</v>
      </c>
    </row>
    <row r="198" spans="1:14">
      <c r="A198" s="25" t="s">
        <v>182</v>
      </c>
      <c r="B198" t="s">
        <v>219</v>
      </c>
      <c r="C198" t="s">
        <v>181</v>
      </c>
      <c r="D198" t="s">
        <v>188</v>
      </c>
      <c r="E198" t="s">
        <v>251</v>
      </c>
      <c r="F198" t="s">
        <v>252</v>
      </c>
      <c r="G198" t="s">
        <v>241</v>
      </c>
      <c r="H198" t="s">
        <v>253</v>
      </c>
      <c r="I198" t="s">
        <v>254</v>
      </c>
      <c r="J198" t="s">
        <v>255</v>
      </c>
      <c r="K198" t="s">
        <v>243</v>
      </c>
      <c r="L198" t="s">
        <v>256</v>
      </c>
      <c r="M198" t="s">
        <v>257</v>
      </c>
      <c r="N198" t="s">
        <v>258</v>
      </c>
    </row>
    <row r="199" spans="1:14" ht="43.5">
      <c r="A199" s="25" t="s">
        <v>194</v>
      </c>
      <c r="B199">
        <v>8929</v>
      </c>
      <c r="C199" t="s">
        <v>189</v>
      </c>
      <c r="D199">
        <v>15406</v>
      </c>
      <c r="E199" s="1">
        <v>4.7800000000000002E-2</v>
      </c>
      <c r="F199" s="1">
        <v>0.15229999999999999</v>
      </c>
      <c r="G199" s="1">
        <v>5.0000000000000001E-4</v>
      </c>
      <c r="H199" s="1">
        <v>2.5000000000000001E-3</v>
      </c>
      <c r="I199" s="1">
        <v>4.0000000000000002E-4</v>
      </c>
      <c r="J199" s="1">
        <v>3.8999999999999998E-3</v>
      </c>
      <c r="K199" s="1">
        <v>5.9999999999999995E-4</v>
      </c>
      <c r="L199" s="1">
        <v>3.7000000000000002E-3</v>
      </c>
      <c r="M199" s="1">
        <v>0.36620000000000003</v>
      </c>
      <c r="N199" s="1">
        <v>0.42209999999999998</v>
      </c>
    </row>
    <row r="200" spans="1:14" ht="43.5">
      <c r="A200" s="25" t="s">
        <v>195</v>
      </c>
      <c r="B200">
        <v>3950</v>
      </c>
      <c r="C200" t="s">
        <v>189</v>
      </c>
      <c r="D200">
        <v>15406</v>
      </c>
      <c r="E200" s="1">
        <v>4.1300000000000003E-2</v>
      </c>
      <c r="F200" s="1">
        <v>0.16259999999999999</v>
      </c>
      <c r="G200" s="1">
        <v>3.3999999999999998E-3</v>
      </c>
      <c r="I200" s="1">
        <v>6.9999999999999999E-4</v>
      </c>
      <c r="J200" s="1">
        <v>1.2999999999999999E-3</v>
      </c>
      <c r="K200" s="1">
        <v>1E-4</v>
      </c>
      <c r="L200" s="1">
        <v>1.6000000000000001E-3</v>
      </c>
      <c r="M200" s="1">
        <v>0.3584</v>
      </c>
      <c r="N200" s="1">
        <v>0.43059999999999998</v>
      </c>
    </row>
    <row r="201" spans="1:14" ht="43.5">
      <c r="A201" s="25" t="s">
        <v>196</v>
      </c>
      <c r="B201">
        <v>2436</v>
      </c>
      <c r="C201" t="s">
        <v>189</v>
      </c>
      <c r="D201">
        <v>15406</v>
      </c>
      <c r="E201" s="1">
        <v>4.6699999999999998E-2</v>
      </c>
      <c r="F201" s="1">
        <v>0.13780000000000001</v>
      </c>
      <c r="G201" s="1">
        <v>4.1000000000000003E-3</v>
      </c>
      <c r="H201" s="1">
        <v>8.9999999999999998E-4</v>
      </c>
      <c r="J201" s="1">
        <v>1.0999999999999999E-2</v>
      </c>
      <c r="K201" s="1">
        <v>2.9999999999999997E-4</v>
      </c>
      <c r="L201" s="1">
        <v>4.0000000000000001E-3</v>
      </c>
      <c r="M201" s="1">
        <v>0.4133</v>
      </c>
      <c r="N201" s="1">
        <v>0.38179999999999997</v>
      </c>
    </row>
    <row r="202" spans="1:14">
      <c r="A202" s="25" t="s">
        <v>192</v>
      </c>
      <c r="B202">
        <v>15406</v>
      </c>
      <c r="C202" t="s">
        <v>192</v>
      </c>
      <c r="D202">
        <v>15406</v>
      </c>
      <c r="E202" s="1">
        <v>4.65E-2</v>
      </c>
      <c r="F202" s="1">
        <v>0.153</v>
      </c>
      <c r="G202" s="1">
        <v>1.4E-3</v>
      </c>
      <c r="H202" s="1">
        <v>1.9E-3</v>
      </c>
      <c r="I202" s="1">
        <v>4.0000000000000002E-4</v>
      </c>
      <c r="J202" s="1">
        <v>4.0000000000000001E-3</v>
      </c>
      <c r="K202" s="1">
        <v>5.0000000000000001E-4</v>
      </c>
      <c r="L202" s="1">
        <v>3.3999999999999998E-3</v>
      </c>
      <c r="M202" s="1">
        <v>0.36909999999999998</v>
      </c>
      <c r="N202" s="1">
        <v>0.41970000000000002</v>
      </c>
    </row>
    <row r="204" spans="1:14" ht="57.95">
      <c r="A204" s="25" t="s">
        <v>260</v>
      </c>
    </row>
    <row r="205" spans="1:14">
      <c r="A205" s="25" t="s">
        <v>182</v>
      </c>
      <c r="B205" t="s">
        <v>219</v>
      </c>
      <c r="C205" t="s">
        <v>181</v>
      </c>
      <c r="D205" t="s">
        <v>188</v>
      </c>
      <c r="E205" t="s">
        <v>251</v>
      </c>
      <c r="F205" t="s">
        <v>252</v>
      </c>
      <c r="G205" t="s">
        <v>241</v>
      </c>
      <c r="H205" t="s">
        <v>253</v>
      </c>
      <c r="I205" t="s">
        <v>254</v>
      </c>
      <c r="J205" t="s">
        <v>255</v>
      </c>
      <c r="K205" t="s">
        <v>243</v>
      </c>
      <c r="L205" t="s">
        <v>256</v>
      </c>
      <c r="M205" t="s">
        <v>257</v>
      </c>
      <c r="N205" t="s">
        <v>258</v>
      </c>
    </row>
    <row r="206" spans="1:14" ht="29.1">
      <c r="A206" s="25" t="s">
        <v>198</v>
      </c>
      <c r="B206">
        <v>3207</v>
      </c>
      <c r="C206" t="s">
        <v>189</v>
      </c>
      <c r="D206">
        <v>15406</v>
      </c>
      <c r="E206" s="1">
        <v>8.5999999999999993E-2</v>
      </c>
      <c r="F206" s="1">
        <v>0.22339999999999999</v>
      </c>
      <c r="G206" s="1">
        <v>1.5E-3</v>
      </c>
      <c r="I206" s="1">
        <v>5.9999999999999995E-4</v>
      </c>
      <c r="J206" s="1">
        <v>1.9E-3</v>
      </c>
      <c r="K206" s="1">
        <v>2.0000000000000001E-4</v>
      </c>
      <c r="L206" s="1">
        <v>9.7999999999999997E-3</v>
      </c>
      <c r="M206" s="1">
        <v>0.2303</v>
      </c>
      <c r="N206" s="1">
        <v>0.44629999999999997</v>
      </c>
    </row>
    <row r="207" spans="1:14" ht="29.1">
      <c r="A207" s="25" t="s">
        <v>199</v>
      </c>
      <c r="B207">
        <v>12199</v>
      </c>
      <c r="C207" t="s">
        <v>189</v>
      </c>
      <c r="D207">
        <v>15406</v>
      </c>
      <c r="E207" s="1">
        <v>3.7999999999999999E-2</v>
      </c>
      <c r="F207" s="1">
        <v>0.13789999999999999</v>
      </c>
      <c r="G207" s="1">
        <v>1.4E-3</v>
      </c>
      <c r="H207" s="1">
        <v>2.3E-3</v>
      </c>
      <c r="I207" s="1">
        <v>4.0000000000000002E-4</v>
      </c>
      <c r="J207" s="1">
        <v>4.4999999999999997E-3</v>
      </c>
      <c r="K207" s="1">
        <v>5.9999999999999995E-4</v>
      </c>
      <c r="L207" s="1">
        <v>2E-3</v>
      </c>
      <c r="M207" s="1">
        <v>0.39889999999999998</v>
      </c>
      <c r="N207" s="1">
        <v>0.41399999999999998</v>
      </c>
    </row>
    <row r="208" spans="1:14">
      <c r="A208" s="25" t="s">
        <v>192</v>
      </c>
      <c r="B208">
        <v>15406</v>
      </c>
      <c r="C208" t="s">
        <v>192</v>
      </c>
      <c r="D208">
        <v>15406</v>
      </c>
      <c r="E208" s="1">
        <v>4.65E-2</v>
      </c>
      <c r="F208" s="1">
        <v>0.153</v>
      </c>
      <c r="G208" s="1">
        <v>1.4E-3</v>
      </c>
      <c r="H208" s="1">
        <v>1.9E-3</v>
      </c>
      <c r="I208" s="1">
        <v>4.0000000000000002E-4</v>
      </c>
      <c r="J208" s="1">
        <v>4.0000000000000001E-3</v>
      </c>
      <c r="K208" s="1">
        <v>5.0000000000000001E-4</v>
      </c>
      <c r="L208" s="1">
        <v>3.3999999999999998E-3</v>
      </c>
      <c r="M208" s="1">
        <v>0.36909999999999998</v>
      </c>
      <c r="N208" s="1">
        <v>0.41970000000000002</v>
      </c>
    </row>
    <row r="210" spans="1:14" ht="57.95">
      <c r="A210" s="25" t="s">
        <v>261</v>
      </c>
    </row>
    <row r="211" spans="1:14">
      <c r="A211" s="25" t="s">
        <v>182</v>
      </c>
      <c r="B211" t="s">
        <v>219</v>
      </c>
      <c r="C211" t="s">
        <v>181</v>
      </c>
      <c r="D211" t="s">
        <v>188</v>
      </c>
      <c r="E211" t="s">
        <v>251</v>
      </c>
      <c r="F211" t="s">
        <v>252</v>
      </c>
      <c r="G211" t="s">
        <v>241</v>
      </c>
      <c r="H211" t="s">
        <v>253</v>
      </c>
      <c r="I211" t="s">
        <v>254</v>
      </c>
      <c r="J211" t="s">
        <v>255</v>
      </c>
      <c r="K211" t="s">
        <v>243</v>
      </c>
      <c r="L211" t="s">
        <v>256</v>
      </c>
      <c r="M211" t="s">
        <v>257</v>
      </c>
      <c r="N211" t="s">
        <v>258</v>
      </c>
    </row>
    <row r="212" spans="1:14">
      <c r="A212" s="25" t="s">
        <v>201</v>
      </c>
      <c r="B212">
        <v>1099</v>
      </c>
      <c r="C212" t="s">
        <v>189</v>
      </c>
      <c r="D212">
        <v>15406</v>
      </c>
      <c r="E212" s="1">
        <v>3.32E-2</v>
      </c>
      <c r="F212" s="1">
        <v>0.1305</v>
      </c>
      <c r="G212" s="1">
        <v>1.1999999999999999E-3</v>
      </c>
      <c r="I212" s="1">
        <v>1.6000000000000001E-3</v>
      </c>
      <c r="J212" s="1">
        <v>6.4999999999999997E-3</v>
      </c>
      <c r="L212" s="1">
        <v>4.1000000000000003E-3</v>
      </c>
      <c r="M212" s="1">
        <v>0.49590000000000001</v>
      </c>
      <c r="N212" s="1">
        <v>0.32700000000000001</v>
      </c>
    </row>
    <row r="213" spans="1:14">
      <c r="A213" s="25" t="s">
        <v>237</v>
      </c>
      <c r="B213">
        <v>165</v>
      </c>
      <c r="C213" t="s">
        <v>189</v>
      </c>
      <c r="D213">
        <v>15406</v>
      </c>
      <c r="E213" s="1">
        <v>3.4200000000000001E-2</v>
      </c>
      <c r="F213" s="1">
        <v>0.12570000000000001</v>
      </c>
      <c r="J213" s="1">
        <v>8.3000000000000001E-3</v>
      </c>
      <c r="L213" s="1">
        <v>2.3999999999999998E-3</v>
      </c>
      <c r="M213" s="1">
        <v>0.4002</v>
      </c>
      <c r="N213" s="1">
        <v>0.42909999999999998</v>
      </c>
    </row>
    <row r="214" spans="1:14">
      <c r="A214" s="25" t="s">
        <v>203</v>
      </c>
      <c r="B214">
        <v>11802</v>
      </c>
      <c r="C214" t="s">
        <v>189</v>
      </c>
      <c r="D214">
        <v>15406</v>
      </c>
      <c r="E214" s="1">
        <v>5.2999999999999999E-2</v>
      </c>
      <c r="F214" s="1">
        <v>0.1696</v>
      </c>
      <c r="G214" s="1">
        <v>1.5E-3</v>
      </c>
      <c r="H214" s="1">
        <v>2.2000000000000001E-3</v>
      </c>
      <c r="I214" s="1">
        <v>2.9999999999999997E-4</v>
      </c>
      <c r="J214" s="1">
        <v>2.3E-3</v>
      </c>
      <c r="K214" s="1">
        <v>5.0000000000000001E-4</v>
      </c>
      <c r="L214" s="1">
        <v>3.0999999999999999E-3</v>
      </c>
      <c r="M214" s="1">
        <v>0.31380000000000002</v>
      </c>
      <c r="N214" s="1">
        <v>0.45369999999999999</v>
      </c>
    </row>
    <row r="215" spans="1:14">
      <c r="A215" s="25" t="s">
        <v>204</v>
      </c>
      <c r="B215">
        <v>43</v>
      </c>
      <c r="C215" t="s">
        <v>189</v>
      </c>
      <c r="D215">
        <v>15406</v>
      </c>
      <c r="E215" s="1">
        <v>4.4200000000000003E-2</v>
      </c>
      <c r="F215" s="1">
        <v>0.11550000000000001</v>
      </c>
      <c r="G215" s="1">
        <v>7.9000000000000008E-3</v>
      </c>
      <c r="M215" s="1">
        <v>0.19819999999999999</v>
      </c>
      <c r="N215" s="1">
        <v>0.63419999999999999</v>
      </c>
    </row>
    <row r="216" spans="1:14">
      <c r="A216" s="25" t="s">
        <v>205</v>
      </c>
      <c r="B216">
        <v>2297</v>
      </c>
      <c r="C216" t="s">
        <v>189</v>
      </c>
      <c r="D216">
        <v>15406</v>
      </c>
      <c r="E216" s="1">
        <v>1.9099999999999999E-2</v>
      </c>
      <c r="F216" s="1">
        <v>7.7700000000000005E-2</v>
      </c>
      <c r="G216" s="1">
        <v>8.9999999999999998E-4</v>
      </c>
      <c r="H216" s="1">
        <v>1.2999999999999999E-3</v>
      </c>
      <c r="I216" s="1">
        <v>5.9999999999999995E-4</v>
      </c>
      <c r="J216" s="1">
        <v>1.1599999999999999E-2</v>
      </c>
      <c r="K216" s="1">
        <v>8.0000000000000004E-4</v>
      </c>
      <c r="L216" s="1">
        <v>4.4000000000000003E-3</v>
      </c>
      <c r="M216" s="1">
        <v>0.60270000000000001</v>
      </c>
      <c r="N216" s="1">
        <v>0.28079999999999999</v>
      </c>
    </row>
    <row r="217" spans="1:14">
      <c r="A217" s="25" t="s">
        <v>192</v>
      </c>
      <c r="B217">
        <v>15406</v>
      </c>
      <c r="C217" t="s">
        <v>192</v>
      </c>
      <c r="D217">
        <v>15406</v>
      </c>
      <c r="E217" s="1">
        <v>4.65E-2</v>
      </c>
      <c r="F217" s="1">
        <v>0.153</v>
      </c>
      <c r="G217" s="1">
        <v>1.4E-3</v>
      </c>
      <c r="H217" s="1">
        <v>1.9E-3</v>
      </c>
      <c r="I217" s="1">
        <v>4.0000000000000002E-4</v>
      </c>
      <c r="J217" s="1">
        <v>4.0000000000000001E-3</v>
      </c>
      <c r="K217" s="1">
        <v>5.0000000000000001E-4</v>
      </c>
      <c r="L217" s="1">
        <v>3.3999999999999998E-3</v>
      </c>
      <c r="M217" s="1">
        <v>0.36909999999999998</v>
      </c>
      <c r="N217" s="1">
        <v>0.41970000000000002</v>
      </c>
    </row>
    <row r="219" spans="1:14" ht="57.95">
      <c r="A219" s="25" t="s">
        <v>262</v>
      </c>
    </row>
    <row r="220" spans="1:14">
      <c r="A220" s="25" t="s">
        <v>182</v>
      </c>
      <c r="B220" t="s">
        <v>219</v>
      </c>
      <c r="C220" t="s">
        <v>181</v>
      </c>
      <c r="D220" t="s">
        <v>188</v>
      </c>
      <c r="E220" t="s">
        <v>251</v>
      </c>
      <c r="F220" t="s">
        <v>252</v>
      </c>
      <c r="G220" t="s">
        <v>241</v>
      </c>
      <c r="H220" t="s">
        <v>253</v>
      </c>
      <c r="I220" t="s">
        <v>254</v>
      </c>
      <c r="J220" t="s">
        <v>255</v>
      </c>
      <c r="K220" t="s">
        <v>243</v>
      </c>
      <c r="L220" t="s">
        <v>256</v>
      </c>
      <c r="M220" t="s">
        <v>257</v>
      </c>
      <c r="N220" t="s">
        <v>258</v>
      </c>
    </row>
    <row r="221" spans="1:14">
      <c r="A221" s="25" t="s">
        <v>207</v>
      </c>
      <c r="B221">
        <v>11595</v>
      </c>
      <c r="C221" t="s">
        <v>189</v>
      </c>
      <c r="D221">
        <v>15406</v>
      </c>
      <c r="E221" s="1">
        <v>3.6400000000000002E-2</v>
      </c>
      <c r="F221" s="1">
        <v>0.1341</v>
      </c>
      <c r="G221" s="1">
        <v>1.6000000000000001E-3</v>
      </c>
      <c r="H221" s="1">
        <v>2.3E-3</v>
      </c>
      <c r="I221" s="1">
        <v>2.9999999999999997E-4</v>
      </c>
      <c r="J221" s="1">
        <v>3.3999999999999998E-3</v>
      </c>
      <c r="K221" s="1">
        <v>2.0000000000000001E-4</v>
      </c>
      <c r="L221" s="1">
        <v>3.0000000000000001E-3</v>
      </c>
      <c r="M221" s="1">
        <v>0.39410000000000001</v>
      </c>
      <c r="N221" s="1">
        <v>0.42459999999999998</v>
      </c>
    </row>
    <row r="222" spans="1:14">
      <c r="A222" s="25" t="s">
        <v>208</v>
      </c>
      <c r="B222">
        <v>2245</v>
      </c>
      <c r="C222" t="s">
        <v>189</v>
      </c>
      <c r="D222">
        <v>15406</v>
      </c>
      <c r="E222" s="1">
        <v>9.4E-2</v>
      </c>
      <c r="F222" s="1">
        <v>0.218</v>
      </c>
      <c r="G222" s="1">
        <v>1E-4</v>
      </c>
      <c r="H222" s="1">
        <v>6.9999999999999999E-4</v>
      </c>
      <c r="I222" s="1">
        <v>5.9999999999999995E-4</v>
      </c>
      <c r="J222" s="1">
        <v>8.9999999999999993E-3</v>
      </c>
      <c r="K222" s="1">
        <v>1.9E-3</v>
      </c>
      <c r="L222" s="1">
        <v>5.4999999999999997E-3</v>
      </c>
      <c r="M222" s="1">
        <v>0.28349999999999997</v>
      </c>
      <c r="N222" s="1">
        <v>0.38669999999999999</v>
      </c>
    </row>
    <row r="223" spans="1:14">
      <c r="A223" s="25" t="s">
        <v>209</v>
      </c>
      <c r="B223">
        <v>1566</v>
      </c>
      <c r="C223" t="s">
        <v>189</v>
      </c>
      <c r="D223">
        <v>15406</v>
      </c>
      <c r="E223" s="1">
        <v>5.1400000000000001E-2</v>
      </c>
      <c r="F223" s="1">
        <v>0.20349999999999999</v>
      </c>
      <c r="G223" s="1">
        <v>2.3999999999999998E-3</v>
      </c>
      <c r="I223" s="1">
        <v>1.2999999999999999E-3</v>
      </c>
      <c r="J223" s="1">
        <v>4.0000000000000002E-4</v>
      </c>
      <c r="K223" s="1">
        <v>2.0000000000000001E-4</v>
      </c>
      <c r="L223" s="1">
        <v>3.0999999999999999E-3</v>
      </c>
      <c r="M223" s="1">
        <v>0.3024</v>
      </c>
      <c r="N223" s="1">
        <v>0.43530000000000002</v>
      </c>
    </row>
    <row r="224" spans="1:14">
      <c r="A224" s="25" t="s">
        <v>192</v>
      </c>
      <c r="B224">
        <v>15406</v>
      </c>
      <c r="C224" t="s">
        <v>192</v>
      </c>
      <c r="D224">
        <v>15406</v>
      </c>
      <c r="E224" s="1">
        <v>4.65E-2</v>
      </c>
      <c r="F224" s="1">
        <v>0.153</v>
      </c>
      <c r="G224" s="1">
        <v>1.4E-3</v>
      </c>
      <c r="H224" s="1">
        <v>1.9E-3</v>
      </c>
      <c r="I224" s="1">
        <v>4.0000000000000002E-4</v>
      </c>
      <c r="J224" s="1">
        <v>4.0000000000000001E-3</v>
      </c>
      <c r="K224" s="1">
        <v>5.0000000000000001E-4</v>
      </c>
      <c r="L224" s="1">
        <v>3.3999999999999998E-3</v>
      </c>
      <c r="M224" s="1">
        <v>0.36909999999999998</v>
      </c>
      <c r="N224" s="1">
        <v>0.41970000000000002</v>
      </c>
    </row>
    <row r="226" spans="1:21" ht="57.95">
      <c r="A226" s="25" t="s">
        <v>263</v>
      </c>
    </row>
    <row r="227" spans="1:21">
      <c r="A227" s="25" t="s">
        <v>182</v>
      </c>
      <c r="B227" t="s">
        <v>219</v>
      </c>
      <c r="C227" t="s">
        <v>181</v>
      </c>
      <c r="D227" t="s">
        <v>188</v>
      </c>
      <c r="E227" t="s">
        <v>251</v>
      </c>
      <c r="F227" t="s">
        <v>252</v>
      </c>
      <c r="G227" t="s">
        <v>241</v>
      </c>
      <c r="H227" t="s">
        <v>253</v>
      </c>
      <c r="I227" t="s">
        <v>254</v>
      </c>
      <c r="J227" t="s">
        <v>255</v>
      </c>
      <c r="K227" t="s">
        <v>243</v>
      </c>
      <c r="L227" t="s">
        <v>256</v>
      </c>
      <c r="M227" t="s">
        <v>257</v>
      </c>
      <c r="N227" t="s">
        <v>258</v>
      </c>
    </row>
    <row r="228" spans="1:21">
      <c r="A228" s="25" t="s">
        <v>211</v>
      </c>
      <c r="B228">
        <v>9944</v>
      </c>
      <c r="C228" t="s">
        <v>189</v>
      </c>
      <c r="D228">
        <v>15406</v>
      </c>
      <c r="E228" s="1">
        <v>3.7400000000000003E-2</v>
      </c>
      <c r="F228" s="1">
        <v>0.13689999999999999</v>
      </c>
      <c r="G228" s="1">
        <v>1.8E-3</v>
      </c>
      <c r="H228" s="1">
        <v>2.5999999999999999E-3</v>
      </c>
      <c r="I228" s="1">
        <v>4.0000000000000002E-4</v>
      </c>
      <c r="J228" s="1">
        <v>3.2000000000000002E-3</v>
      </c>
      <c r="K228" s="1">
        <v>2.0000000000000001E-4</v>
      </c>
      <c r="L228" s="1">
        <v>2.5999999999999999E-3</v>
      </c>
      <c r="M228" s="1">
        <v>0.39</v>
      </c>
      <c r="N228" s="1">
        <v>0.4249</v>
      </c>
    </row>
    <row r="229" spans="1:21">
      <c r="A229" s="25" t="s">
        <v>212</v>
      </c>
      <c r="B229">
        <v>3376</v>
      </c>
      <c r="C229" t="s">
        <v>189</v>
      </c>
      <c r="D229">
        <v>15406</v>
      </c>
      <c r="E229" s="1">
        <v>7.4200000000000002E-2</v>
      </c>
      <c r="F229" s="1">
        <v>0.20780000000000001</v>
      </c>
      <c r="G229" s="1">
        <v>6.9999999999999999E-4</v>
      </c>
      <c r="H229" s="1">
        <v>5.0000000000000001E-4</v>
      </c>
      <c r="I229" s="1">
        <v>8.0000000000000004E-4</v>
      </c>
      <c r="J229" s="1">
        <v>3.3E-3</v>
      </c>
      <c r="K229" s="1">
        <v>1.1000000000000001E-3</v>
      </c>
      <c r="L229" s="1">
        <v>6.1000000000000004E-3</v>
      </c>
      <c r="M229" s="1">
        <v>0.30209999999999998</v>
      </c>
      <c r="N229" s="1">
        <v>0.40339999999999998</v>
      </c>
    </row>
    <row r="230" spans="1:21">
      <c r="A230" s="25" t="s">
        <v>213</v>
      </c>
      <c r="B230">
        <v>2086</v>
      </c>
      <c r="C230" t="s">
        <v>189</v>
      </c>
      <c r="D230">
        <v>15406</v>
      </c>
      <c r="E230" s="1">
        <v>4.6100000000000002E-2</v>
      </c>
      <c r="F230" s="1">
        <v>0.1447</v>
      </c>
      <c r="G230" s="1">
        <v>8.0000000000000004E-4</v>
      </c>
      <c r="H230" s="1">
        <v>6.9999999999999999E-4</v>
      </c>
      <c r="I230" s="1">
        <v>2.0000000000000001E-4</v>
      </c>
      <c r="J230" s="1">
        <v>8.6999999999999994E-3</v>
      </c>
      <c r="K230" s="1">
        <v>6.9999999999999999E-4</v>
      </c>
      <c r="L230" s="1">
        <v>2.5999999999999999E-3</v>
      </c>
      <c r="M230" s="1">
        <v>0.3745</v>
      </c>
      <c r="N230" s="1">
        <v>0.4209</v>
      </c>
    </row>
    <row r="231" spans="1:21">
      <c r="A231" s="25" t="s">
        <v>192</v>
      </c>
      <c r="B231">
        <v>15406</v>
      </c>
      <c r="C231" t="s">
        <v>192</v>
      </c>
      <c r="D231">
        <v>15406</v>
      </c>
      <c r="E231" s="1">
        <v>4.65E-2</v>
      </c>
      <c r="F231" s="1">
        <v>0.153</v>
      </c>
      <c r="G231" s="1">
        <v>1.4E-3</v>
      </c>
      <c r="H231" s="1">
        <v>1.9E-3</v>
      </c>
      <c r="I231" s="1">
        <v>4.0000000000000002E-4</v>
      </c>
      <c r="J231" s="1">
        <v>4.0000000000000001E-3</v>
      </c>
      <c r="K231" s="1">
        <v>5.0000000000000001E-4</v>
      </c>
      <c r="L231" s="1">
        <v>3.3999999999999998E-3</v>
      </c>
      <c r="M231" s="1">
        <v>0.36909999999999998</v>
      </c>
      <c r="N231" s="1">
        <v>0.41970000000000002</v>
      </c>
    </row>
    <row r="233" spans="1:21" ht="72.599999999999994">
      <c r="A233" s="25" t="s">
        <v>264</v>
      </c>
    </row>
    <row r="234" spans="1:21">
      <c r="A234" s="25" t="s">
        <v>182</v>
      </c>
      <c r="B234" t="s">
        <v>219</v>
      </c>
      <c r="C234" t="s">
        <v>181</v>
      </c>
      <c r="D234" t="s">
        <v>188</v>
      </c>
      <c r="E234" t="s">
        <v>265</v>
      </c>
      <c r="F234" t="s">
        <v>241</v>
      </c>
      <c r="G234" t="s">
        <v>266</v>
      </c>
      <c r="H234" t="s">
        <v>267</v>
      </c>
      <c r="I234" t="s">
        <v>268</v>
      </c>
      <c r="J234" t="s">
        <v>269</v>
      </c>
      <c r="K234" t="s">
        <v>270</v>
      </c>
      <c r="L234" t="s">
        <v>271</v>
      </c>
      <c r="M234" t="s">
        <v>272</v>
      </c>
      <c r="N234" t="s">
        <v>243</v>
      </c>
      <c r="O234" t="s">
        <v>273</v>
      </c>
      <c r="P234" t="s">
        <v>274</v>
      </c>
      <c r="Q234" t="s">
        <v>275</v>
      </c>
      <c r="R234" t="s">
        <v>276</v>
      </c>
      <c r="S234" t="s">
        <v>277</v>
      </c>
      <c r="T234" t="s">
        <v>278</v>
      </c>
      <c r="U234" t="s">
        <v>279</v>
      </c>
    </row>
    <row r="235" spans="1:21">
      <c r="A235" s="25" t="s">
        <v>280</v>
      </c>
      <c r="B235">
        <v>934</v>
      </c>
      <c r="C235" t="s">
        <v>189</v>
      </c>
      <c r="D235">
        <v>22347</v>
      </c>
      <c r="E235" s="1">
        <v>0</v>
      </c>
      <c r="F235" s="1">
        <v>5.0000000000000001E-4</v>
      </c>
      <c r="G235" s="1">
        <v>5.1000000000000004E-3</v>
      </c>
      <c r="M235" s="1">
        <v>1.2E-2</v>
      </c>
      <c r="Q235" s="1">
        <v>0.1062</v>
      </c>
      <c r="R235" s="1">
        <v>0.86729999999999996</v>
      </c>
      <c r="S235" s="1">
        <v>4.0000000000000002E-4</v>
      </c>
      <c r="T235" s="1">
        <v>5.4999999999999997E-3</v>
      </c>
      <c r="U235" s="1">
        <v>2.8999999999999998E-3</v>
      </c>
    </row>
    <row r="236" spans="1:21">
      <c r="A236" s="25" t="s">
        <v>281</v>
      </c>
      <c r="B236">
        <v>2585</v>
      </c>
      <c r="C236" t="s">
        <v>189</v>
      </c>
      <c r="D236">
        <v>22347</v>
      </c>
      <c r="E236" s="1">
        <v>1.1599999999999999E-2</v>
      </c>
      <c r="F236" s="1">
        <v>2.9999999999999997E-4</v>
      </c>
      <c r="G236" s="1">
        <v>7.4099999999999999E-2</v>
      </c>
      <c r="H236" s="1">
        <v>1.3299999999999999E-2</v>
      </c>
      <c r="I236" s="1">
        <v>2.1399999999999999E-2</v>
      </c>
      <c r="J236" s="1">
        <v>1E-4</v>
      </c>
      <c r="K236" s="1">
        <v>1.8800000000000001E-2</v>
      </c>
      <c r="L236" s="1">
        <v>0.35560000000000003</v>
      </c>
      <c r="M236" s="1">
        <v>1.2999999999999999E-2</v>
      </c>
      <c r="N236" s="1">
        <v>1.6000000000000001E-3</v>
      </c>
      <c r="P236" s="1">
        <v>3.6200000000000003E-2</v>
      </c>
      <c r="Q236" s="1">
        <v>9.7299999999999998E-2</v>
      </c>
      <c r="R236" s="1">
        <v>0.14169999999999999</v>
      </c>
      <c r="S236" s="1">
        <v>3.3399999999999999E-2</v>
      </c>
      <c r="T236" s="1">
        <v>5.33E-2</v>
      </c>
      <c r="U236" s="1">
        <v>0.1283</v>
      </c>
    </row>
    <row r="237" spans="1:21">
      <c r="A237" s="25" t="s">
        <v>282</v>
      </c>
      <c r="B237">
        <v>5843</v>
      </c>
      <c r="C237" t="s">
        <v>189</v>
      </c>
      <c r="D237">
        <v>22347</v>
      </c>
      <c r="E237" s="1">
        <v>2.01E-2</v>
      </c>
      <c r="F237" s="1">
        <v>1E-4</v>
      </c>
      <c r="G237" s="1">
        <v>7.4099999999999999E-2</v>
      </c>
      <c r="H237" s="1">
        <v>1.7299999999999999E-2</v>
      </c>
      <c r="I237" s="1">
        <v>3.9600000000000003E-2</v>
      </c>
      <c r="J237" s="1">
        <v>1E-4</v>
      </c>
      <c r="K237" s="1">
        <v>3.8199999999999998E-2</v>
      </c>
      <c r="L237" s="1">
        <v>0.55430000000000001</v>
      </c>
      <c r="M237" s="1">
        <v>1.89E-2</v>
      </c>
      <c r="N237" s="1">
        <v>5.0000000000000001E-4</v>
      </c>
      <c r="O237" s="1">
        <v>1.5E-3</v>
      </c>
      <c r="P237" s="1">
        <v>2.6800000000000001E-2</v>
      </c>
      <c r="Q237" s="1">
        <v>4.0000000000000002E-4</v>
      </c>
      <c r="R237" s="1">
        <v>5.0000000000000001E-4</v>
      </c>
      <c r="S237" s="1">
        <v>3.56E-2</v>
      </c>
      <c r="T237" s="1">
        <v>5.5199999999999999E-2</v>
      </c>
      <c r="U237" s="1">
        <v>0.1167</v>
      </c>
    </row>
    <row r="238" spans="1:21">
      <c r="A238" s="25" t="s">
        <v>283</v>
      </c>
      <c r="B238">
        <v>5530</v>
      </c>
      <c r="C238" t="s">
        <v>189</v>
      </c>
      <c r="D238">
        <v>22347</v>
      </c>
      <c r="E238" s="1">
        <v>3.1800000000000002E-2</v>
      </c>
      <c r="F238" s="1">
        <v>4.0000000000000002E-4</v>
      </c>
      <c r="G238" s="1">
        <v>5.7599999999999998E-2</v>
      </c>
      <c r="H238" s="1">
        <v>8.2000000000000007E-3</v>
      </c>
      <c r="I238" s="1">
        <v>2.3E-2</v>
      </c>
      <c r="J238" s="1">
        <v>1E-4</v>
      </c>
      <c r="K238" s="1">
        <v>4.2099999999999999E-2</v>
      </c>
      <c r="L238" s="1">
        <v>0.54930000000000001</v>
      </c>
      <c r="M238" s="1">
        <v>5.1900000000000002E-2</v>
      </c>
      <c r="N238" s="1">
        <v>1.6000000000000001E-3</v>
      </c>
      <c r="O238" s="1">
        <v>4.19E-2</v>
      </c>
      <c r="P238" s="1">
        <v>2.3199999999999998E-2</v>
      </c>
      <c r="Q238" s="1">
        <v>0</v>
      </c>
      <c r="R238" s="1">
        <v>5.9999999999999995E-4</v>
      </c>
      <c r="S238" s="1">
        <v>4.1099999999999998E-2</v>
      </c>
      <c r="T238" s="1">
        <v>6.8599999999999994E-2</v>
      </c>
      <c r="U238" s="1">
        <v>5.8400000000000001E-2</v>
      </c>
    </row>
    <row r="239" spans="1:21">
      <c r="A239" s="25" t="s">
        <v>284</v>
      </c>
      <c r="B239">
        <v>7455</v>
      </c>
      <c r="C239" t="s">
        <v>189</v>
      </c>
      <c r="D239">
        <v>22347</v>
      </c>
      <c r="E239" s="1">
        <v>7.6E-3</v>
      </c>
      <c r="G239" s="1">
        <v>1.1599999999999999E-2</v>
      </c>
      <c r="H239" s="1">
        <v>1E-4</v>
      </c>
      <c r="K239" s="1">
        <v>9.5999999999999992E-3</v>
      </c>
      <c r="L239" s="1">
        <v>9.7799999999999998E-2</v>
      </c>
      <c r="M239" s="1">
        <v>1.9900000000000001E-2</v>
      </c>
      <c r="N239" s="1">
        <v>2.0000000000000001E-4</v>
      </c>
      <c r="O239" s="1">
        <v>0.82330000000000003</v>
      </c>
      <c r="P239" s="1">
        <v>4.1000000000000003E-3</v>
      </c>
      <c r="Q239" s="1">
        <v>0</v>
      </c>
      <c r="S239" s="1">
        <v>1.04E-2</v>
      </c>
      <c r="T239" s="1">
        <v>9.4000000000000004E-3</v>
      </c>
      <c r="U239" s="1">
        <v>5.7999999999999996E-3</v>
      </c>
    </row>
    <row r="240" spans="1:21">
      <c r="A240" s="25" t="s">
        <v>192</v>
      </c>
      <c r="B240">
        <v>22347</v>
      </c>
      <c r="C240" t="s">
        <v>192</v>
      </c>
      <c r="D240">
        <v>22347</v>
      </c>
      <c r="E240" s="1">
        <v>1.7000000000000001E-2</v>
      </c>
      <c r="F240" s="1">
        <v>2.0000000000000001E-4</v>
      </c>
      <c r="G240" s="1">
        <v>4.7399999999999998E-2</v>
      </c>
      <c r="H240" s="1">
        <v>8.3999999999999995E-3</v>
      </c>
      <c r="I240" s="1">
        <v>1.89E-2</v>
      </c>
      <c r="J240" s="1">
        <v>1E-4</v>
      </c>
      <c r="K240" s="1">
        <v>2.58E-2</v>
      </c>
      <c r="L240" s="1">
        <v>0.35770000000000002</v>
      </c>
      <c r="M240" s="1">
        <v>2.5999999999999999E-2</v>
      </c>
      <c r="N240" s="1">
        <v>8.0000000000000004E-4</v>
      </c>
      <c r="O240" s="1">
        <v>0.27739999999999998</v>
      </c>
      <c r="P240" s="1">
        <v>1.89E-2</v>
      </c>
      <c r="Q240" s="1">
        <v>1.7399999999999999E-2</v>
      </c>
      <c r="R240" s="1">
        <v>5.0900000000000001E-2</v>
      </c>
      <c r="S240" s="1">
        <v>2.7199999999999998E-2</v>
      </c>
      <c r="T240" s="1">
        <v>4.1500000000000002E-2</v>
      </c>
      <c r="U240" s="1">
        <v>6.4399999999999999E-2</v>
      </c>
    </row>
    <row r="242" spans="1:22" ht="87">
      <c r="A242" s="25" t="s">
        <v>285</v>
      </c>
    </row>
    <row r="243" spans="1:22">
      <c r="A243" s="25" t="s">
        <v>182</v>
      </c>
      <c r="B243" t="s">
        <v>286</v>
      </c>
      <c r="C243" t="s">
        <v>219</v>
      </c>
      <c r="D243" t="s">
        <v>181</v>
      </c>
      <c r="E243" t="s">
        <v>188</v>
      </c>
      <c r="F243" t="s">
        <v>265</v>
      </c>
      <c r="G243" t="s">
        <v>241</v>
      </c>
      <c r="H243" t="s">
        <v>266</v>
      </c>
      <c r="I243" t="s">
        <v>267</v>
      </c>
      <c r="J243" t="s">
        <v>268</v>
      </c>
      <c r="K243" t="s">
        <v>269</v>
      </c>
      <c r="L243" t="s">
        <v>270</v>
      </c>
      <c r="M243" t="s">
        <v>271</v>
      </c>
      <c r="N243" t="s">
        <v>272</v>
      </c>
      <c r="O243" t="s">
        <v>243</v>
      </c>
      <c r="P243" t="s">
        <v>273</v>
      </c>
      <c r="Q243" t="s">
        <v>274</v>
      </c>
      <c r="R243" t="s">
        <v>275</v>
      </c>
      <c r="S243" t="s">
        <v>276</v>
      </c>
      <c r="T243" t="s">
        <v>277</v>
      </c>
      <c r="U243" t="s">
        <v>278</v>
      </c>
      <c r="V243" t="s">
        <v>279</v>
      </c>
    </row>
    <row r="244" spans="1:22">
      <c r="A244" s="25" t="s">
        <v>287</v>
      </c>
      <c r="B244" t="s">
        <v>280</v>
      </c>
      <c r="C244">
        <v>504</v>
      </c>
      <c r="D244" t="s">
        <v>189</v>
      </c>
      <c r="E244">
        <v>22347</v>
      </c>
      <c r="F244" s="1">
        <v>1E-4</v>
      </c>
      <c r="H244" s="1">
        <v>8.6E-3</v>
      </c>
      <c r="N244" s="1">
        <v>1.5900000000000001E-2</v>
      </c>
      <c r="R244" s="1">
        <v>9.4E-2</v>
      </c>
      <c r="S244" s="1">
        <v>0.88029999999999997</v>
      </c>
      <c r="V244" s="1">
        <v>1.1000000000000001E-3</v>
      </c>
    </row>
    <row r="245" spans="1:22">
      <c r="A245" s="25" t="s">
        <v>287</v>
      </c>
      <c r="B245" t="s">
        <v>281</v>
      </c>
      <c r="C245">
        <v>1165</v>
      </c>
      <c r="D245" t="s">
        <v>189</v>
      </c>
      <c r="E245">
        <v>22347</v>
      </c>
      <c r="F245" s="1">
        <v>1.7100000000000001E-2</v>
      </c>
      <c r="G245" s="1">
        <v>6.9999999999999999E-4</v>
      </c>
      <c r="H245" s="1">
        <v>0.1053</v>
      </c>
      <c r="I245" s="1">
        <v>2.7400000000000001E-2</v>
      </c>
      <c r="J245" s="1">
        <v>4.7600000000000003E-2</v>
      </c>
      <c r="K245" s="1">
        <v>2.0000000000000001E-4</v>
      </c>
      <c r="L245" s="1">
        <v>1.8800000000000001E-2</v>
      </c>
      <c r="M245" s="1">
        <v>0.36220000000000002</v>
      </c>
      <c r="N245" s="1">
        <v>1.4800000000000001E-2</v>
      </c>
      <c r="O245" s="1">
        <v>3.2000000000000002E-3</v>
      </c>
      <c r="Q245" s="1">
        <v>3.4799999999999998E-2</v>
      </c>
      <c r="R245" s="1">
        <v>0.11749999999999999</v>
      </c>
      <c r="S245" s="1">
        <v>0.14990000000000001</v>
      </c>
      <c r="T245" s="1">
        <v>4.5999999999999999E-2</v>
      </c>
      <c r="U245" s="1">
        <v>5.3999999999999999E-2</v>
      </c>
      <c r="V245" s="1">
        <v>6.9999999999999999E-4</v>
      </c>
    </row>
    <row r="246" spans="1:22">
      <c r="A246" s="25" t="s">
        <v>287</v>
      </c>
      <c r="B246" t="s">
        <v>282</v>
      </c>
      <c r="C246">
        <v>2634</v>
      </c>
      <c r="D246" t="s">
        <v>189</v>
      </c>
      <c r="E246">
        <v>22347</v>
      </c>
      <c r="F246" s="1">
        <v>2.29E-2</v>
      </c>
      <c r="G246" s="1">
        <v>2.9999999999999997E-4</v>
      </c>
      <c r="H246" s="1">
        <v>0.113</v>
      </c>
      <c r="I246" s="1">
        <v>3.49E-2</v>
      </c>
      <c r="J246" s="1">
        <v>8.4500000000000006E-2</v>
      </c>
      <c r="K246" s="1">
        <v>2.0000000000000001E-4</v>
      </c>
      <c r="L246" s="1">
        <v>4.9599999999999998E-2</v>
      </c>
      <c r="M246" s="1">
        <v>0.53910000000000002</v>
      </c>
      <c r="N246" s="1">
        <v>2.8299999999999999E-2</v>
      </c>
      <c r="O246" s="1">
        <v>2.9999999999999997E-4</v>
      </c>
      <c r="P246" s="1">
        <v>2.2000000000000001E-3</v>
      </c>
      <c r="Q246" s="1">
        <v>3.0499999999999999E-2</v>
      </c>
      <c r="R246" s="1">
        <v>8.0000000000000004E-4</v>
      </c>
      <c r="S246" s="1">
        <v>5.0000000000000001E-4</v>
      </c>
      <c r="T246" s="1">
        <v>4.2700000000000002E-2</v>
      </c>
      <c r="U246" s="1">
        <v>4.36E-2</v>
      </c>
      <c r="V246" s="1">
        <v>6.7999999999999996E-3</v>
      </c>
    </row>
    <row r="247" spans="1:22">
      <c r="A247" s="25" t="s">
        <v>287</v>
      </c>
      <c r="B247" t="s">
        <v>283</v>
      </c>
      <c r="C247">
        <v>2546</v>
      </c>
      <c r="D247" t="s">
        <v>189</v>
      </c>
      <c r="E247">
        <v>22347</v>
      </c>
      <c r="F247" s="1">
        <v>3.6999999999999998E-2</v>
      </c>
      <c r="G247" s="1">
        <v>5.0000000000000001E-4</v>
      </c>
      <c r="H247" s="1">
        <v>7.1900000000000006E-2</v>
      </c>
      <c r="I247" s="1">
        <v>1.7500000000000002E-2</v>
      </c>
      <c r="J247" s="1">
        <v>4.8599999999999997E-2</v>
      </c>
      <c r="K247" s="1">
        <v>1E-4</v>
      </c>
      <c r="L247" s="1">
        <v>5.7599999999999998E-2</v>
      </c>
      <c r="M247" s="1">
        <v>0.504</v>
      </c>
      <c r="N247" s="1">
        <v>5.8700000000000002E-2</v>
      </c>
      <c r="O247" s="1">
        <v>2.8E-3</v>
      </c>
      <c r="P247" s="1">
        <v>4.3799999999999999E-2</v>
      </c>
      <c r="Q247" s="1">
        <v>3.1199999999999999E-2</v>
      </c>
      <c r="R247" s="1">
        <v>1E-4</v>
      </c>
      <c r="S247" s="1">
        <v>1E-4</v>
      </c>
      <c r="T247" s="1">
        <v>5.0299999999999997E-2</v>
      </c>
      <c r="U247" s="1">
        <v>6.3100000000000003E-2</v>
      </c>
      <c r="V247" s="1">
        <v>1.2699999999999999E-2</v>
      </c>
    </row>
    <row r="248" spans="1:22">
      <c r="A248" s="25" t="s">
        <v>287</v>
      </c>
      <c r="B248" t="s">
        <v>284</v>
      </c>
      <c r="C248">
        <v>2951</v>
      </c>
      <c r="D248" t="s">
        <v>189</v>
      </c>
      <c r="E248">
        <v>22347</v>
      </c>
      <c r="F248" s="1">
        <v>8.0000000000000002E-3</v>
      </c>
      <c r="H248" s="1">
        <v>1.5299999999999999E-2</v>
      </c>
      <c r="I248" s="1">
        <v>4.0000000000000002E-4</v>
      </c>
      <c r="L248" s="1">
        <v>9.5999999999999992E-3</v>
      </c>
      <c r="M248" s="1">
        <v>0.12870000000000001</v>
      </c>
      <c r="N248" s="1">
        <v>2.8899999999999999E-2</v>
      </c>
      <c r="O248" s="1">
        <v>2.0000000000000001E-4</v>
      </c>
      <c r="P248" s="1">
        <v>0.76959999999999995</v>
      </c>
      <c r="Q248" s="1">
        <v>6.3E-3</v>
      </c>
      <c r="T248" s="1">
        <v>1.7999999999999999E-2</v>
      </c>
      <c r="U248" s="1">
        <v>9.7999999999999997E-3</v>
      </c>
      <c r="V248" s="1">
        <v>5.1000000000000004E-3</v>
      </c>
    </row>
    <row r="249" spans="1:22">
      <c r="A249" s="25" t="s">
        <v>243</v>
      </c>
      <c r="B249" t="s">
        <v>282</v>
      </c>
      <c r="C249">
        <v>1</v>
      </c>
      <c r="D249" t="s">
        <v>189</v>
      </c>
      <c r="E249">
        <v>22347</v>
      </c>
      <c r="M249" s="1">
        <v>1</v>
      </c>
    </row>
    <row r="250" spans="1:22">
      <c r="A250" s="25" t="s">
        <v>243</v>
      </c>
      <c r="B250" t="s">
        <v>283</v>
      </c>
      <c r="C250">
        <v>1</v>
      </c>
      <c r="D250" t="s">
        <v>189</v>
      </c>
      <c r="E250">
        <v>22347</v>
      </c>
      <c r="M250" s="1">
        <v>1</v>
      </c>
    </row>
    <row r="251" spans="1:22">
      <c r="A251" s="25" t="s">
        <v>243</v>
      </c>
      <c r="B251" t="s">
        <v>284</v>
      </c>
      <c r="C251">
        <v>1</v>
      </c>
      <c r="D251" t="s">
        <v>189</v>
      </c>
      <c r="E251">
        <v>22347</v>
      </c>
      <c r="P251" s="1">
        <v>1</v>
      </c>
    </row>
    <row r="252" spans="1:22">
      <c r="A252" s="25" t="s">
        <v>288</v>
      </c>
      <c r="B252" t="s">
        <v>280</v>
      </c>
      <c r="C252">
        <v>430</v>
      </c>
      <c r="D252" t="s">
        <v>189</v>
      </c>
      <c r="E252">
        <v>22347</v>
      </c>
      <c r="G252" s="1">
        <v>1.1999999999999999E-3</v>
      </c>
      <c r="H252" s="1">
        <v>6.9999999999999999E-4</v>
      </c>
      <c r="N252" s="1">
        <v>7.1000000000000004E-3</v>
      </c>
      <c r="R252" s="1">
        <v>0.12180000000000001</v>
      </c>
      <c r="S252" s="1">
        <v>0.8508</v>
      </c>
      <c r="T252" s="1">
        <v>8.0000000000000004E-4</v>
      </c>
      <c r="U252" s="1">
        <v>1.24E-2</v>
      </c>
      <c r="V252" s="1">
        <v>5.3E-3</v>
      </c>
    </row>
    <row r="253" spans="1:22">
      <c r="A253" s="25" t="s">
        <v>288</v>
      </c>
      <c r="B253" t="s">
        <v>281</v>
      </c>
      <c r="C253">
        <v>1420</v>
      </c>
      <c r="D253" t="s">
        <v>189</v>
      </c>
      <c r="E253">
        <v>22347</v>
      </c>
      <c r="F253" s="1">
        <v>7.3000000000000001E-3</v>
      </c>
      <c r="H253" s="1">
        <v>4.9200000000000001E-2</v>
      </c>
      <c r="I253" s="1">
        <v>2.0999999999999999E-3</v>
      </c>
      <c r="J253" s="1">
        <v>5.0000000000000001E-4</v>
      </c>
      <c r="L253" s="1">
        <v>1.89E-2</v>
      </c>
      <c r="M253" s="1">
        <v>0.35039999999999999</v>
      </c>
      <c r="N253" s="1">
        <v>1.15E-2</v>
      </c>
      <c r="O253" s="1">
        <v>2.9999999999999997E-4</v>
      </c>
      <c r="Q253" s="1">
        <v>3.73E-2</v>
      </c>
      <c r="R253" s="1">
        <v>8.1100000000000005E-2</v>
      </c>
      <c r="S253" s="1">
        <v>0.1351</v>
      </c>
      <c r="T253" s="1">
        <v>2.3199999999999998E-2</v>
      </c>
      <c r="U253" s="1">
        <v>5.28E-2</v>
      </c>
      <c r="V253" s="1">
        <v>0.23019999999999999</v>
      </c>
    </row>
    <row r="254" spans="1:22">
      <c r="A254" s="25" t="s">
        <v>288</v>
      </c>
      <c r="B254" t="s">
        <v>282</v>
      </c>
      <c r="C254">
        <v>3208</v>
      </c>
      <c r="D254" t="s">
        <v>189</v>
      </c>
      <c r="E254">
        <v>22347</v>
      </c>
      <c r="F254" s="1">
        <v>1.77E-2</v>
      </c>
      <c r="H254" s="1">
        <v>4.0099999999999997E-2</v>
      </c>
      <c r="I254" s="1">
        <v>1.9E-3</v>
      </c>
      <c r="J254" s="1">
        <v>5.0000000000000001E-4</v>
      </c>
      <c r="L254" s="1">
        <v>2.8299999999999999E-2</v>
      </c>
      <c r="M254" s="1">
        <v>0.5675</v>
      </c>
      <c r="N254" s="1">
        <v>1.0800000000000001E-2</v>
      </c>
      <c r="O254" s="1">
        <v>5.9999999999999995E-4</v>
      </c>
      <c r="P254" s="1">
        <v>1E-3</v>
      </c>
      <c r="Q254" s="1">
        <v>2.3599999999999999E-2</v>
      </c>
      <c r="S254" s="1">
        <v>5.9999999999999995E-4</v>
      </c>
      <c r="T254" s="1">
        <v>2.9399999999999999E-2</v>
      </c>
      <c r="U254" s="1">
        <v>6.5299999999999997E-2</v>
      </c>
      <c r="V254" s="1">
        <v>0.21279999999999999</v>
      </c>
    </row>
    <row r="255" spans="1:22">
      <c r="A255" s="25" t="s">
        <v>288</v>
      </c>
      <c r="B255" t="s">
        <v>283</v>
      </c>
      <c r="C255">
        <v>2983</v>
      </c>
      <c r="D255" t="s">
        <v>189</v>
      </c>
      <c r="E255">
        <v>22347</v>
      </c>
      <c r="F255" s="1">
        <v>2.7199999999999998E-2</v>
      </c>
      <c r="G255" s="1">
        <v>2.9999999999999997E-4</v>
      </c>
      <c r="H255" s="1">
        <v>4.48E-2</v>
      </c>
      <c r="K255" s="1">
        <v>2.0000000000000001E-4</v>
      </c>
      <c r="L255" s="1">
        <v>2.8299999999999999E-2</v>
      </c>
      <c r="M255" s="1">
        <v>0.5897</v>
      </c>
      <c r="N255" s="1">
        <v>4.58E-2</v>
      </c>
      <c r="O255" s="1">
        <v>4.0000000000000002E-4</v>
      </c>
      <c r="P255" s="1">
        <v>4.02E-2</v>
      </c>
      <c r="Q255" s="1">
        <v>1.61E-2</v>
      </c>
      <c r="S255" s="1">
        <v>1.1000000000000001E-3</v>
      </c>
      <c r="T255" s="1">
        <v>3.3000000000000002E-2</v>
      </c>
      <c r="U255" s="1">
        <v>7.3599999999999999E-2</v>
      </c>
      <c r="V255" s="1">
        <v>9.9199999999999997E-2</v>
      </c>
    </row>
    <row r="256" spans="1:22">
      <c r="A256" s="25" t="s">
        <v>288</v>
      </c>
      <c r="B256" t="s">
        <v>284</v>
      </c>
      <c r="C256">
        <v>4503</v>
      </c>
      <c r="D256" t="s">
        <v>189</v>
      </c>
      <c r="E256">
        <v>22347</v>
      </c>
      <c r="F256" s="1">
        <v>7.3000000000000001E-3</v>
      </c>
      <c r="H256" s="1">
        <v>9.1000000000000004E-3</v>
      </c>
      <c r="L256" s="1">
        <v>9.7000000000000003E-3</v>
      </c>
      <c r="M256" s="1">
        <v>7.7600000000000002E-2</v>
      </c>
      <c r="N256" s="1">
        <v>1.41E-2</v>
      </c>
      <c r="O256" s="1">
        <v>2.9999999999999997E-4</v>
      </c>
      <c r="P256" s="1">
        <v>0.85819999999999996</v>
      </c>
      <c r="Q256" s="1">
        <v>2.5999999999999999E-3</v>
      </c>
      <c r="R256" s="1">
        <v>0</v>
      </c>
      <c r="T256" s="1">
        <v>5.4999999999999997E-3</v>
      </c>
      <c r="U256" s="1">
        <v>9.1999999999999998E-3</v>
      </c>
      <c r="V256" s="1">
        <v>6.3E-3</v>
      </c>
    </row>
    <row r="257" spans="1:22">
      <c r="A257" s="25" t="s">
        <v>192</v>
      </c>
      <c r="B257" t="s">
        <v>192</v>
      </c>
      <c r="C257">
        <v>22347</v>
      </c>
      <c r="D257" t="s">
        <v>192</v>
      </c>
      <c r="E257">
        <v>22347</v>
      </c>
      <c r="F257" s="1">
        <v>1.7000000000000001E-2</v>
      </c>
      <c r="G257" s="1">
        <v>2.0000000000000001E-4</v>
      </c>
      <c r="H257" s="1">
        <v>4.7399999999999998E-2</v>
      </c>
      <c r="I257" s="1">
        <v>8.3999999999999995E-3</v>
      </c>
      <c r="J257" s="1">
        <v>1.89E-2</v>
      </c>
      <c r="K257" s="1">
        <v>1E-4</v>
      </c>
      <c r="L257" s="1">
        <v>2.58E-2</v>
      </c>
      <c r="M257" s="1">
        <v>0.35770000000000002</v>
      </c>
      <c r="N257" s="1">
        <v>2.5999999999999999E-2</v>
      </c>
      <c r="O257" s="1">
        <v>8.0000000000000004E-4</v>
      </c>
      <c r="P257" s="1">
        <v>0.27739999999999998</v>
      </c>
      <c r="Q257" s="1">
        <v>1.89E-2</v>
      </c>
      <c r="R257" s="1">
        <v>1.7399999999999999E-2</v>
      </c>
      <c r="S257" s="1">
        <v>5.0900000000000001E-2</v>
      </c>
      <c r="T257" s="1">
        <v>2.7199999999999998E-2</v>
      </c>
      <c r="U257" s="1">
        <v>4.1500000000000002E-2</v>
      </c>
      <c r="V257" s="1">
        <v>6.4399999999999999E-2</v>
      </c>
    </row>
    <row r="259" spans="1:22" ht="57.95">
      <c r="A259" s="25" t="s">
        <v>289</v>
      </c>
    </row>
    <row r="260" spans="1:22">
      <c r="A260" s="25" t="s">
        <v>182</v>
      </c>
      <c r="B260" t="s">
        <v>219</v>
      </c>
      <c r="C260" t="s">
        <v>181</v>
      </c>
      <c r="D260" t="s">
        <v>188</v>
      </c>
      <c r="E260" t="s">
        <v>265</v>
      </c>
      <c r="F260" t="s">
        <v>241</v>
      </c>
      <c r="G260" t="s">
        <v>266</v>
      </c>
      <c r="H260" t="s">
        <v>267</v>
      </c>
      <c r="I260" t="s">
        <v>268</v>
      </c>
      <c r="J260" t="s">
        <v>269</v>
      </c>
      <c r="K260" t="s">
        <v>270</v>
      </c>
      <c r="L260" t="s">
        <v>271</v>
      </c>
      <c r="M260" t="s">
        <v>272</v>
      </c>
      <c r="N260" t="s">
        <v>243</v>
      </c>
      <c r="O260" t="s">
        <v>273</v>
      </c>
      <c r="P260" t="s">
        <v>274</v>
      </c>
      <c r="Q260" t="s">
        <v>275</v>
      </c>
      <c r="R260" t="s">
        <v>276</v>
      </c>
      <c r="S260" t="s">
        <v>277</v>
      </c>
      <c r="T260" t="s">
        <v>278</v>
      </c>
      <c r="U260" t="s">
        <v>279</v>
      </c>
    </row>
    <row r="261" spans="1:22">
      <c r="A261" s="25" t="s">
        <v>190</v>
      </c>
      <c r="B261">
        <v>10898</v>
      </c>
      <c r="C261" t="s">
        <v>189</v>
      </c>
      <c r="D261">
        <v>22347</v>
      </c>
      <c r="E261" s="1">
        <v>1.72E-2</v>
      </c>
      <c r="F261" s="1">
        <v>1E-4</v>
      </c>
      <c r="G261" s="1">
        <v>4.8000000000000001E-2</v>
      </c>
      <c r="H261" s="1">
        <v>5.1000000000000004E-3</v>
      </c>
      <c r="I261" s="1">
        <v>2.2100000000000002E-2</v>
      </c>
      <c r="J261" s="1">
        <v>1E-4</v>
      </c>
      <c r="K261" s="1">
        <v>1.9199999999999998E-2</v>
      </c>
      <c r="L261" s="1">
        <v>0.29520000000000002</v>
      </c>
      <c r="M261" s="1">
        <v>3.32E-2</v>
      </c>
      <c r="N261" s="1">
        <v>1.2999999999999999E-3</v>
      </c>
      <c r="O261" s="1">
        <v>0.32100000000000001</v>
      </c>
      <c r="P261" s="1">
        <v>1.5599999999999999E-2</v>
      </c>
      <c r="Q261" s="1">
        <v>1.0800000000000001E-2</v>
      </c>
      <c r="R261" s="1">
        <v>4.6399999999999997E-2</v>
      </c>
      <c r="S261" s="1">
        <v>3.78E-2</v>
      </c>
      <c r="T261" s="1">
        <v>5.3600000000000002E-2</v>
      </c>
      <c r="U261" s="1">
        <v>7.3400000000000007E-2</v>
      </c>
    </row>
    <row r="262" spans="1:22">
      <c r="A262" s="25" t="s">
        <v>191</v>
      </c>
      <c r="B262">
        <v>11322</v>
      </c>
      <c r="C262" t="s">
        <v>189</v>
      </c>
      <c r="D262">
        <v>22347</v>
      </c>
      <c r="E262" s="1">
        <v>1.6799999999999999E-2</v>
      </c>
      <c r="F262" s="1">
        <v>2.9999999999999997E-4</v>
      </c>
      <c r="G262" s="1">
        <v>4.7100000000000003E-2</v>
      </c>
      <c r="H262" s="1">
        <v>1.0699999999999999E-2</v>
      </c>
      <c r="I262" s="1">
        <v>1.67E-2</v>
      </c>
      <c r="J262" s="1">
        <v>1E-4</v>
      </c>
      <c r="K262" s="1">
        <v>3.04E-2</v>
      </c>
      <c r="L262" s="1">
        <v>0.40089999999999998</v>
      </c>
      <c r="M262" s="1">
        <v>2.1000000000000001E-2</v>
      </c>
      <c r="N262" s="1">
        <v>5.0000000000000001E-4</v>
      </c>
      <c r="O262" s="1">
        <v>0.2475</v>
      </c>
      <c r="P262" s="1">
        <v>2.12E-2</v>
      </c>
      <c r="Q262" s="1">
        <v>2.1899999999999999E-2</v>
      </c>
      <c r="R262" s="1">
        <v>5.3999999999999999E-2</v>
      </c>
      <c r="S262" s="1">
        <v>1.9900000000000001E-2</v>
      </c>
      <c r="T262" s="1">
        <v>3.3000000000000002E-2</v>
      </c>
      <c r="U262" s="1">
        <v>5.8200000000000002E-2</v>
      </c>
    </row>
    <row r="263" spans="1:22">
      <c r="A263" s="25" t="s">
        <v>192</v>
      </c>
      <c r="B263">
        <v>22347</v>
      </c>
      <c r="C263" t="s">
        <v>192</v>
      </c>
      <c r="D263">
        <v>22347</v>
      </c>
      <c r="E263" s="1">
        <v>1.7000000000000001E-2</v>
      </c>
      <c r="F263" s="1">
        <v>2.0000000000000001E-4</v>
      </c>
      <c r="G263" s="1">
        <v>4.7399999999999998E-2</v>
      </c>
      <c r="H263" s="1">
        <v>8.3999999999999995E-3</v>
      </c>
      <c r="I263" s="1">
        <v>1.89E-2</v>
      </c>
      <c r="J263" s="1">
        <v>1E-4</v>
      </c>
      <c r="K263" s="1">
        <v>2.58E-2</v>
      </c>
      <c r="L263" s="1">
        <v>0.35770000000000002</v>
      </c>
      <c r="M263" s="1">
        <v>2.5999999999999999E-2</v>
      </c>
      <c r="N263" s="1">
        <v>8.0000000000000004E-4</v>
      </c>
      <c r="O263" s="1">
        <v>0.27739999999999998</v>
      </c>
      <c r="P263" s="1">
        <v>1.89E-2</v>
      </c>
      <c r="Q263" s="1">
        <v>1.7399999999999999E-2</v>
      </c>
      <c r="R263" s="1">
        <v>5.0900000000000001E-2</v>
      </c>
      <c r="S263" s="1">
        <v>2.7199999999999998E-2</v>
      </c>
      <c r="T263" s="1">
        <v>4.1500000000000002E-2</v>
      </c>
      <c r="U263" s="1">
        <v>6.4399999999999999E-2</v>
      </c>
    </row>
    <row r="265" spans="1:22" ht="72.599999999999994">
      <c r="A265" s="25" t="s">
        <v>290</v>
      </c>
    </row>
    <row r="266" spans="1:22">
      <c r="A266" s="25" t="s">
        <v>182</v>
      </c>
      <c r="B266" t="s">
        <v>219</v>
      </c>
      <c r="C266" t="s">
        <v>181</v>
      </c>
      <c r="D266" t="s">
        <v>188</v>
      </c>
      <c r="E266" t="s">
        <v>265</v>
      </c>
      <c r="F266" t="s">
        <v>241</v>
      </c>
      <c r="G266" t="s">
        <v>266</v>
      </c>
      <c r="H266" t="s">
        <v>267</v>
      </c>
      <c r="I266" t="s">
        <v>268</v>
      </c>
      <c r="J266" t="s">
        <v>269</v>
      </c>
      <c r="K266" t="s">
        <v>270</v>
      </c>
      <c r="L266" t="s">
        <v>271</v>
      </c>
      <c r="M266" t="s">
        <v>272</v>
      </c>
      <c r="N266" t="s">
        <v>243</v>
      </c>
      <c r="O266" t="s">
        <v>273</v>
      </c>
      <c r="P266" t="s">
        <v>274</v>
      </c>
      <c r="Q266" t="s">
        <v>275</v>
      </c>
      <c r="R266" t="s">
        <v>276</v>
      </c>
      <c r="S266" t="s">
        <v>277</v>
      </c>
      <c r="T266" t="s">
        <v>278</v>
      </c>
      <c r="U266" t="s">
        <v>279</v>
      </c>
    </row>
    <row r="267" spans="1:22" ht="43.5">
      <c r="A267" s="25" t="s">
        <v>194</v>
      </c>
      <c r="B267">
        <v>12840</v>
      </c>
      <c r="C267" t="s">
        <v>189</v>
      </c>
      <c r="D267">
        <v>22347</v>
      </c>
      <c r="E267" s="1">
        <v>1.44E-2</v>
      </c>
      <c r="F267" s="1">
        <v>2.0000000000000001E-4</v>
      </c>
      <c r="G267" s="1">
        <v>4.4400000000000002E-2</v>
      </c>
      <c r="H267" s="1">
        <v>8.6E-3</v>
      </c>
      <c r="I267" s="1">
        <v>1.9699999999999999E-2</v>
      </c>
      <c r="K267" s="1">
        <v>2.7699999999999999E-2</v>
      </c>
      <c r="L267" s="1">
        <v>0.36620000000000003</v>
      </c>
      <c r="M267" s="1">
        <v>2.47E-2</v>
      </c>
      <c r="N267" s="1">
        <v>5.9999999999999995E-4</v>
      </c>
      <c r="O267" s="1">
        <v>0.2868</v>
      </c>
      <c r="P267" s="1">
        <v>1.6899999999999998E-2</v>
      </c>
      <c r="Q267" s="1">
        <v>1.7500000000000002E-2</v>
      </c>
      <c r="R267" s="1">
        <v>4.8099999999999997E-2</v>
      </c>
      <c r="S267" s="1">
        <v>2.7E-2</v>
      </c>
      <c r="T267" s="1">
        <v>3.6799999999999999E-2</v>
      </c>
      <c r="U267" s="1">
        <v>6.0499999999999998E-2</v>
      </c>
    </row>
    <row r="268" spans="1:22" ht="43.5">
      <c r="A268" s="25" t="s">
        <v>195</v>
      </c>
      <c r="B268">
        <v>5650</v>
      </c>
      <c r="C268" t="s">
        <v>189</v>
      </c>
      <c r="D268">
        <v>22347</v>
      </c>
      <c r="E268" s="1">
        <v>2.2499999999999999E-2</v>
      </c>
      <c r="F268" s="1">
        <v>2.0000000000000001E-4</v>
      </c>
      <c r="G268" s="1">
        <v>6.0999999999999999E-2</v>
      </c>
      <c r="H268" s="1">
        <v>1.0200000000000001E-2</v>
      </c>
      <c r="I268" s="1">
        <v>1.84E-2</v>
      </c>
      <c r="J268" s="1">
        <v>1E-4</v>
      </c>
      <c r="K268" s="1">
        <v>1.9900000000000001E-2</v>
      </c>
      <c r="L268" s="1">
        <v>0.33300000000000002</v>
      </c>
      <c r="M268" s="1">
        <v>2.6499999999999999E-2</v>
      </c>
      <c r="N268" s="1">
        <v>1.1999999999999999E-3</v>
      </c>
      <c r="O268" s="1">
        <v>0.26319999999999999</v>
      </c>
      <c r="P268" s="1">
        <v>2.46E-2</v>
      </c>
      <c r="Q268" s="1">
        <v>1.61E-2</v>
      </c>
      <c r="R268" s="1">
        <v>5.5199999999999999E-2</v>
      </c>
      <c r="S268" s="1">
        <v>2.3300000000000001E-2</v>
      </c>
      <c r="T268" s="1">
        <v>4.5900000000000003E-2</v>
      </c>
      <c r="U268" s="1">
        <v>7.8600000000000003E-2</v>
      </c>
    </row>
    <row r="269" spans="1:22" ht="43.5">
      <c r="A269" s="25" t="s">
        <v>196</v>
      </c>
      <c r="B269">
        <v>3730</v>
      </c>
      <c r="C269" t="s">
        <v>189</v>
      </c>
      <c r="D269">
        <v>22347</v>
      </c>
      <c r="E269" s="1">
        <v>2.5499999999999998E-2</v>
      </c>
      <c r="F269" s="1">
        <v>2.0000000000000001E-4</v>
      </c>
      <c r="G269" s="1">
        <v>4.3299999999999998E-2</v>
      </c>
      <c r="H269" s="1">
        <v>3.7000000000000002E-3</v>
      </c>
      <c r="I269" s="1">
        <v>1.3899999999999999E-2</v>
      </c>
      <c r="J269" s="1">
        <v>4.0000000000000002E-4</v>
      </c>
      <c r="K269" s="1">
        <v>2.3199999999999998E-2</v>
      </c>
      <c r="L269" s="1">
        <v>0.34320000000000001</v>
      </c>
      <c r="M269" s="1">
        <v>3.4500000000000003E-2</v>
      </c>
      <c r="N269" s="1">
        <v>1.8E-3</v>
      </c>
      <c r="O269" s="1">
        <v>0.23469999999999999</v>
      </c>
      <c r="P269" s="1">
        <v>2.3300000000000001E-2</v>
      </c>
      <c r="Q269" s="1">
        <v>1.8599999999999998E-2</v>
      </c>
      <c r="R269" s="1">
        <v>6.3299999999999995E-2</v>
      </c>
      <c r="S269" s="1">
        <v>3.6600000000000001E-2</v>
      </c>
      <c r="T269" s="1">
        <v>6.8099999999999994E-2</v>
      </c>
      <c r="U269" s="1">
        <v>6.5600000000000006E-2</v>
      </c>
    </row>
    <row r="270" spans="1:22">
      <c r="A270" s="25" t="s">
        <v>192</v>
      </c>
      <c r="B270">
        <v>22347</v>
      </c>
      <c r="C270" t="s">
        <v>192</v>
      </c>
      <c r="D270">
        <v>22347</v>
      </c>
      <c r="E270" s="1">
        <v>1.7000000000000001E-2</v>
      </c>
      <c r="F270" s="1">
        <v>2.0000000000000001E-4</v>
      </c>
      <c r="G270" s="1">
        <v>4.7399999999999998E-2</v>
      </c>
      <c r="H270" s="1">
        <v>8.3999999999999995E-3</v>
      </c>
      <c r="I270" s="1">
        <v>1.89E-2</v>
      </c>
      <c r="J270" s="1">
        <v>1E-4</v>
      </c>
      <c r="K270" s="1">
        <v>2.58E-2</v>
      </c>
      <c r="L270" s="1">
        <v>0.35770000000000002</v>
      </c>
      <c r="M270" s="1">
        <v>2.5999999999999999E-2</v>
      </c>
      <c r="N270" s="1">
        <v>8.0000000000000004E-4</v>
      </c>
      <c r="O270" s="1">
        <v>0.27739999999999998</v>
      </c>
      <c r="P270" s="1">
        <v>1.89E-2</v>
      </c>
      <c r="Q270" s="1">
        <v>1.7399999999999999E-2</v>
      </c>
      <c r="R270" s="1">
        <v>5.0900000000000001E-2</v>
      </c>
      <c r="S270" s="1">
        <v>2.7199999999999998E-2</v>
      </c>
      <c r="T270" s="1">
        <v>4.1500000000000002E-2</v>
      </c>
      <c r="U270" s="1">
        <v>6.4399999999999999E-2</v>
      </c>
    </row>
    <row r="272" spans="1:22" ht="57.95">
      <c r="A272" s="25" t="s">
        <v>291</v>
      </c>
    </row>
    <row r="273" spans="1:21">
      <c r="A273" s="25" t="s">
        <v>182</v>
      </c>
      <c r="B273" t="s">
        <v>219</v>
      </c>
      <c r="C273" t="s">
        <v>181</v>
      </c>
      <c r="D273" t="s">
        <v>188</v>
      </c>
      <c r="E273" t="s">
        <v>265</v>
      </c>
      <c r="F273" t="s">
        <v>241</v>
      </c>
      <c r="G273" t="s">
        <v>266</v>
      </c>
      <c r="H273" t="s">
        <v>267</v>
      </c>
      <c r="I273" t="s">
        <v>268</v>
      </c>
      <c r="J273" t="s">
        <v>269</v>
      </c>
      <c r="K273" t="s">
        <v>270</v>
      </c>
      <c r="L273" t="s">
        <v>271</v>
      </c>
      <c r="M273" t="s">
        <v>272</v>
      </c>
      <c r="N273" t="s">
        <v>243</v>
      </c>
      <c r="O273" t="s">
        <v>273</v>
      </c>
      <c r="P273" t="s">
        <v>274</v>
      </c>
      <c r="Q273" t="s">
        <v>275</v>
      </c>
      <c r="R273" t="s">
        <v>276</v>
      </c>
      <c r="S273" t="s">
        <v>277</v>
      </c>
      <c r="T273" t="s">
        <v>278</v>
      </c>
      <c r="U273" t="s">
        <v>279</v>
      </c>
    </row>
    <row r="274" spans="1:21" ht="29.1">
      <c r="A274" s="25" t="s">
        <v>198</v>
      </c>
      <c r="B274">
        <v>5045</v>
      </c>
      <c r="C274" t="s">
        <v>189</v>
      </c>
      <c r="D274">
        <v>22347</v>
      </c>
      <c r="E274" s="1">
        <v>1.2999999999999999E-2</v>
      </c>
      <c r="F274" s="1">
        <v>2.0000000000000001E-4</v>
      </c>
      <c r="G274" s="1">
        <v>3.44E-2</v>
      </c>
      <c r="H274" s="1">
        <v>3.5000000000000001E-3</v>
      </c>
      <c r="I274" s="1">
        <v>1.7500000000000002E-2</v>
      </c>
      <c r="J274" s="1">
        <v>1E-4</v>
      </c>
      <c r="K274" s="1">
        <v>1.5100000000000001E-2</v>
      </c>
      <c r="L274" s="1">
        <v>0.21160000000000001</v>
      </c>
      <c r="M274" s="1">
        <v>7.4499999999999997E-2</v>
      </c>
      <c r="N274" s="1">
        <v>1.2999999999999999E-3</v>
      </c>
      <c r="O274" s="1">
        <v>0.46710000000000002</v>
      </c>
      <c r="P274" s="1">
        <v>7.4000000000000003E-3</v>
      </c>
      <c r="Q274" s="1">
        <v>9.1999999999999998E-3</v>
      </c>
      <c r="R274" s="1">
        <v>3.2399999999999998E-2</v>
      </c>
      <c r="S274" s="1">
        <v>1.9599999999999999E-2</v>
      </c>
      <c r="T274" s="1">
        <v>4.6699999999999998E-2</v>
      </c>
      <c r="U274" s="1">
        <v>4.65E-2</v>
      </c>
    </row>
    <row r="275" spans="1:21" ht="29.1">
      <c r="A275" s="25" t="s">
        <v>199</v>
      </c>
      <c r="B275">
        <v>17302</v>
      </c>
      <c r="C275" t="s">
        <v>189</v>
      </c>
      <c r="D275">
        <v>22347</v>
      </c>
      <c r="E275" s="1">
        <v>1.7899999999999999E-2</v>
      </c>
      <c r="F275" s="1">
        <v>2.0000000000000001E-4</v>
      </c>
      <c r="G275" s="1">
        <v>5.0500000000000003E-2</v>
      </c>
      <c r="H275" s="1">
        <v>9.5999999999999992E-3</v>
      </c>
      <c r="I275" s="1">
        <v>1.9199999999999998E-2</v>
      </c>
      <c r="J275" s="1">
        <v>0</v>
      </c>
      <c r="K275" s="1">
        <v>2.8400000000000002E-2</v>
      </c>
      <c r="L275" s="1">
        <v>0.3921</v>
      </c>
      <c r="M275" s="1">
        <v>1.46E-2</v>
      </c>
      <c r="N275" s="1">
        <v>6.9999999999999999E-4</v>
      </c>
      <c r="O275" s="1">
        <v>0.23280000000000001</v>
      </c>
      <c r="P275" s="1">
        <v>2.1600000000000001E-2</v>
      </c>
      <c r="Q275" s="1">
        <v>1.9300000000000001E-2</v>
      </c>
      <c r="R275" s="1">
        <v>5.5199999999999999E-2</v>
      </c>
      <c r="S275" s="1">
        <v>2.9000000000000001E-2</v>
      </c>
      <c r="T275" s="1">
        <v>4.0300000000000002E-2</v>
      </c>
      <c r="U275" s="1">
        <v>6.8599999999999994E-2</v>
      </c>
    </row>
    <row r="276" spans="1:21">
      <c r="A276" s="25" t="s">
        <v>192</v>
      </c>
      <c r="B276">
        <v>22347</v>
      </c>
      <c r="C276" t="s">
        <v>192</v>
      </c>
      <c r="D276">
        <v>22347</v>
      </c>
      <c r="E276" s="1">
        <v>1.7000000000000001E-2</v>
      </c>
      <c r="F276" s="1">
        <v>2.0000000000000001E-4</v>
      </c>
      <c r="G276" s="1">
        <v>4.7399999999999998E-2</v>
      </c>
      <c r="H276" s="1">
        <v>8.3999999999999995E-3</v>
      </c>
      <c r="I276" s="1">
        <v>1.89E-2</v>
      </c>
      <c r="J276" s="1">
        <v>1E-4</v>
      </c>
      <c r="K276" s="1">
        <v>2.58E-2</v>
      </c>
      <c r="L276" s="1">
        <v>0.35770000000000002</v>
      </c>
      <c r="M276" s="1">
        <v>2.5999999999999999E-2</v>
      </c>
      <c r="N276" s="1">
        <v>8.0000000000000004E-4</v>
      </c>
      <c r="O276" s="1">
        <v>0.27739999999999998</v>
      </c>
      <c r="P276" s="1">
        <v>1.89E-2</v>
      </c>
      <c r="Q276" s="1">
        <v>1.7399999999999999E-2</v>
      </c>
      <c r="R276" s="1">
        <v>5.0900000000000001E-2</v>
      </c>
      <c r="S276" s="1">
        <v>2.7199999999999998E-2</v>
      </c>
      <c r="T276" s="1">
        <v>4.1500000000000002E-2</v>
      </c>
      <c r="U276" s="1">
        <v>6.4399999999999999E-2</v>
      </c>
    </row>
    <row r="278" spans="1:21" ht="57.95">
      <c r="A278" s="25" t="s">
        <v>292</v>
      </c>
    </row>
    <row r="279" spans="1:21">
      <c r="A279" s="25" t="s">
        <v>182</v>
      </c>
      <c r="B279" t="s">
        <v>219</v>
      </c>
      <c r="C279" t="s">
        <v>181</v>
      </c>
      <c r="D279" t="s">
        <v>188</v>
      </c>
      <c r="E279" t="s">
        <v>265</v>
      </c>
      <c r="F279" t="s">
        <v>241</v>
      </c>
      <c r="G279" t="s">
        <v>266</v>
      </c>
      <c r="H279" t="s">
        <v>267</v>
      </c>
      <c r="I279" t="s">
        <v>268</v>
      </c>
      <c r="J279" t="s">
        <v>269</v>
      </c>
      <c r="K279" t="s">
        <v>270</v>
      </c>
      <c r="L279" t="s">
        <v>271</v>
      </c>
      <c r="M279" t="s">
        <v>272</v>
      </c>
      <c r="N279" t="s">
        <v>243</v>
      </c>
      <c r="O279" t="s">
        <v>273</v>
      </c>
      <c r="P279" t="s">
        <v>274</v>
      </c>
      <c r="Q279" t="s">
        <v>275</v>
      </c>
      <c r="R279" t="s">
        <v>276</v>
      </c>
      <c r="S279" t="s">
        <v>277</v>
      </c>
      <c r="T279" t="s">
        <v>278</v>
      </c>
      <c r="U279" t="s">
        <v>279</v>
      </c>
    </row>
    <row r="280" spans="1:21">
      <c r="A280" s="25" t="s">
        <v>201</v>
      </c>
      <c r="B280">
        <v>1659</v>
      </c>
      <c r="C280" t="s">
        <v>189</v>
      </c>
      <c r="D280">
        <v>22347</v>
      </c>
      <c r="E280" s="1">
        <v>2.0799999999999999E-2</v>
      </c>
      <c r="G280" s="1">
        <v>4.4600000000000001E-2</v>
      </c>
      <c r="H280" s="1">
        <v>5.7999999999999996E-3</v>
      </c>
      <c r="I280" s="1">
        <v>9.1999999999999998E-3</v>
      </c>
      <c r="K280" s="1">
        <v>9.1999999999999998E-3</v>
      </c>
      <c r="L280" s="1">
        <v>0.3483</v>
      </c>
      <c r="M280" s="1">
        <v>3.7699999999999997E-2</v>
      </c>
      <c r="N280" s="1">
        <v>4.0000000000000002E-4</v>
      </c>
      <c r="O280" s="1">
        <v>0.2009</v>
      </c>
      <c r="P280" s="1">
        <v>1.6500000000000001E-2</v>
      </c>
      <c r="Q280" s="1">
        <v>2.3199999999999998E-2</v>
      </c>
      <c r="R280" s="1">
        <v>6.7100000000000007E-2</v>
      </c>
      <c r="S280" s="1">
        <v>3.6600000000000001E-2</v>
      </c>
      <c r="T280" s="1">
        <v>8.0500000000000002E-2</v>
      </c>
      <c r="U280" s="1">
        <v>9.9199999999999997E-2</v>
      </c>
    </row>
    <row r="281" spans="1:21">
      <c r="A281" s="25" t="s">
        <v>237</v>
      </c>
      <c r="B281">
        <v>255</v>
      </c>
      <c r="C281" t="s">
        <v>189</v>
      </c>
      <c r="D281">
        <v>22347</v>
      </c>
      <c r="E281" s="1">
        <v>2.9899999999999999E-2</v>
      </c>
      <c r="G281" s="1">
        <v>2.98E-2</v>
      </c>
      <c r="H281" s="1">
        <v>1.5E-3</v>
      </c>
      <c r="I281" s="1">
        <v>2.75E-2</v>
      </c>
      <c r="K281" s="1">
        <v>4.19E-2</v>
      </c>
      <c r="L281" s="1">
        <v>0.32469999999999999</v>
      </c>
      <c r="M281" s="1">
        <v>5.28E-2</v>
      </c>
      <c r="N281" s="1">
        <v>2.7000000000000001E-3</v>
      </c>
      <c r="O281" s="1">
        <v>0.2253</v>
      </c>
      <c r="P281" s="1">
        <v>1.09E-2</v>
      </c>
      <c r="Q281" s="1">
        <v>1.83E-2</v>
      </c>
      <c r="R281" s="1">
        <v>3.2899999999999999E-2</v>
      </c>
      <c r="S281" s="1">
        <v>2.3599999999999999E-2</v>
      </c>
      <c r="T281" s="1">
        <v>9.5699999999999993E-2</v>
      </c>
      <c r="U281" s="1">
        <v>8.2600000000000007E-2</v>
      </c>
    </row>
    <row r="282" spans="1:21">
      <c r="A282" s="25" t="s">
        <v>203</v>
      </c>
      <c r="B282">
        <v>17030</v>
      </c>
      <c r="C282" t="s">
        <v>189</v>
      </c>
      <c r="D282">
        <v>22347</v>
      </c>
      <c r="E282" s="1">
        <v>1.7299999999999999E-2</v>
      </c>
      <c r="F282" s="1">
        <v>2.0000000000000001E-4</v>
      </c>
      <c r="G282" s="1">
        <v>4.7100000000000003E-2</v>
      </c>
      <c r="H282" s="1">
        <v>7.7999999999999996E-3</v>
      </c>
      <c r="I282" s="1">
        <v>1.8200000000000001E-2</v>
      </c>
      <c r="J282" s="1">
        <v>1E-4</v>
      </c>
      <c r="K282" s="1">
        <v>2.18E-2</v>
      </c>
      <c r="L282" s="1">
        <v>0.34770000000000001</v>
      </c>
      <c r="M282" s="1">
        <v>2.7300000000000001E-2</v>
      </c>
      <c r="N282" s="1">
        <v>6.9999999999999999E-4</v>
      </c>
      <c r="O282" s="1">
        <v>0.30940000000000001</v>
      </c>
      <c r="P282" s="1">
        <v>1.67E-2</v>
      </c>
      <c r="Q282" s="1">
        <v>1.5900000000000001E-2</v>
      </c>
      <c r="R282" s="1">
        <v>4.7899999999999998E-2</v>
      </c>
      <c r="S282" s="1">
        <v>2.7300000000000001E-2</v>
      </c>
      <c r="T282" s="1">
        <v>3.6600000000000001E-2</v>
      </c>
      <c r="U282" s="1">
        <v>5.8299999999999998E-2</v>
      </c>
    </row>
    <row r="283" spans="1:21">
      <c r="A283" s="25" t="s">
        <v>204</v>
      </c>
      <c r="B283">
        <v>62</v>
      </c>
      <c r="C283" t="s">
        <v>189</v>
      </c>
      <c r="D283">
        <v>22347</v>
      </c>
      <c r="G283" s="1">
        <v>0.1129</v>
      </c>
      <c r="I283" s="1">
        <v>5.7000000000000002E-2</v>
      </c>
      <c r="K283" s="1">
        <v>3.5799999999999998E-2</v>
      </c>
      <c r="L283" s="1">
        <v>0.31519999999999998</v>
      </c>
      <c r="M283" s="1">
        <v>6.2199999999999998E-2</v>
      </c>
      <c r="N283" s="1">
        <v>2.9100000000000001E-2</v>
      </c>
      <c r="O283" s="1">
        <v>0.29289999999999999</v>
      </c>
      <c r="P283" s="1">
        <v>8.9999999999999998E-4</v>
      </c>
      <c r="R283" s="1">
        <v>8.9999999999999998E-4</v>
      </c>
      <c r="S283" s="1">
        <v>5.7999999999999996E-3</v>
      </c>
      <c r="T283" s="1">
        <v>1.3299999999999999E-2</v>
      </c>
      <c r="U283" s="1">
        <v>7.3999999999999996E-2</v>
      </c>
    </row>
    <row r="284" spans="1:21">
      <c r="A284" s="25" t="s">
        <v>205</v>
      </c>
      <c r="B284">
        <v>3341</v>
      </c>
      <c r="C284" t="s">
        <v>189</v>
      </c>
      <c r="D284">
        <v>22347</v>
      </c>
      <c r="E284" s="1">
        <v>1.29E-2</v>
      </c>
      <c r="F284" s="1">
        <v>2.9999999999999997E-4</v>
      </c>
      <c r="G284" s="1">
        <v>5.0299999999999997E-2</v>
      </c>
      <c r="H284" s="1">
        <v>1.37E-2</v>
      </c>
      <c r="I284" s="1">
        <v>2.6800000000000001E-2</v>
      </c>
      <c r="J284" s="1">
        <v>1E-4</v>
      </c>
      <c r="K284" s="1">
        <v>5.5899999999999998E-2</v>
      </c>
      <c r="L284" s="1">
        <v>0.42049999999999998</v>
      </c>
      <c r="M284" s="1">
        <v>1.17E-2</v>
      </c>
      <c r="N284" s="1">
        <v>1.1999999999999999E-3</v>
      </c>
      <c r="O284" s="1">
        <v>0.13950000000000001</v>
      </c>
      <c r="P284" s="1">
        <v>3.32E-2</v>
      </c>
      <c r="Q284" s="1">
        <v>2.2700000000000001E-2</v>
      </c>
      <c r="R284" s="1">
        <v>6.0900000000000003E-2</v>
      </c>
      <c r="S284" s="1">
        <v>2.2200000000000001E-2</v>
      </c>
      <c r="T284" s="1">
        <v>4.7600000000000003E-2</v>
      </c>
      <c r="U284" s="1">
        <v>8.0500000000000002E-2</v>
      </c>
    </row>
    <row r="285" spans="1:21">
      <c r="A285" s="25" t="s">
        <v>192</v>
      </c>
      <c r="B285">
        <v>22347</v>
      </c>
      <c r="C285" t="s">
        <v>192</v>
      </c>
      <c r="D285">
        <v>22347</v>
      </c>
      <c r="E285" s="1">
        <v>1.7000000000000001E-2</v>
      </c>
      <c r="F285" s="1">
        <v>2.0000000000000001E-4</v>
      </c>
      <c r="G285" s="1">
        <v>4.7399999999999998E-2</v>
      </c>
      <c r="H285" s="1">
        <v>8.3999999999999995E-3</v>
      </c>
      <c r="I285" s="1">
        <v>1.89E-2</v>
      </c>
      <c r="J285" s="1">
        <v>1E-4</v>
      </c>
      <c r="K285" s="1">
        <v>2.58E-2</v>
      </c>
      <c r="L285" s="1">
        <v>0.35770000000000002</v>
      </c>
      <c r="M285" s="1">
        <v>2.5999999999999999E-2</v>
      </c>
      <c r="N285" s="1">
        <v>8.0000000000000004E-4</v>
      </c>
      <c r="O285" s="1">
        <v>0.27739999999999998</v>
      </c>
      <c r="P285" s="1">
        <v>1.89E-2</v>
      </c>
      <c r="Q285" s="1">
        <v>1.7399999999999999E-2</v>
      </c>
      <c r="R285" s="1">
        <v>5.0900000000000001E-2</v>
      </c>
      <c r="S285" s="1">
        <v>2.7199999999999998E-2</v>
      </c>
      <c r="T285" s="1">
        <v>4.1500000000000002E-2</v>
      </c>
      <c r="U285" s="1">
        <v>6.4399999999999999E-2</v>
      </c>
    </row>
    <row r="287" spans="1:21" ht="57.95">
      <c r="A287" s="25" t="s">
        <v>293</v>
      </c>
    </row>
    <row r="288" spans="1:21">
      <c r="A288" s="25" t="s">
        <v>182</v>
      </c>
      <c r="B288" t="s">
        <v>219</v>
      </c>
      <c r="C288" t="s">
        <v>181</v>
      </c>
      <c r="D288" t="s">
        <v>188</v>
      </c>
      <c r="E288" t="s">
        <v>265</v>
      </c>
      <c r="F288" t="s">
        <v>241</v>
      </c>
      <c r="G288" t="s">
        <v>266</v>
      </c>
      <c r="H288" t="s">
        <v>267</v>
      </c>
      <c r="I288" t="s">
        <v>268</v>
      </c>
      <c r="J288" t="s">
        <v>269</v>
      </c>
      <c r="K288" t="s">
        <v>270</v>
      </c>
      <c r="L288" t="s">
        <v>271</v>
      </c>
      <c r="M288" t="s">
        <v>272</v>
      </c>
      <c r="N288" t="s">
        <v>243</v>
      </c>
      <c r="O288" t="s">
        <v>273</v>
      </c>
      <c r="P288" t="s">
        <v>274</v>
      </c>
      <c r="Q288" t="s">
        <v>275</v>
      </c>
      <c r="R288" t="s">
        <v>276</v>
      </c>
      <c r="S288" t="s">
        <v>277</v>
      </c>
      <c r="T288" t="s">
        <v>278</v>
      </c>
      <c r="U288" t="s">
        <v>279</v>
      </c>
    </row>
    <row r="289" spans="1:21">
      <c r="A289" s="25" t="s">
        <v>207</v>
      </c>
      <c r="B289">
        <v>16570</v>
      </c>
      <c r="C289" t="s">
        <v>189</v>
      </c>
      <c r="D289">
        <v>22347</v>
      </c>
      <c r="E289" s="1">
        <v>1.6299999999999999E-2</v>
      </c>
      <c r="F289" s="1">
        <v>2.0000000000000001E-4</v>
      </c>
      <c r="G289" s="1">
        <v>4.5699999999999998E-2</v>
      </c>
      <c r="H289" s="1">
        <v>9.7000000000000003E-3</v>
      </c>
      <c r="I289" s="1">
        <v>1.9099999999999999E-2</v>
      </c>
      <c r="J289" s="1">
        <v>0</v>
      </c>
      <c r="K289" s="1">
        <v>2.8000000000000001E-2</v>
      </c>
      <c r="L289" s="1">
        <v>0.38090000000000002</v>
      </c>
      <c r="M289" s="1">
        <v>2.6599999999999999E-2</v>
      </c>
      <c r="N289" s="1">
        <v>8.9999999999999998E-4</v>
      </c>
      <c r="O289" s="1">
        <v>0.25580000000000003</v>
      </c>
      <c r="P289" s="1">
        <v>2.1700000000000001E-2</v>
      </c>
      <c r="Q289" s="1">
        <v>1.4999999999999999E-2</v>
      </c>
      <c r="R289" s="1">
        <v>4.9700000000000001E-2</v>
      </c>
      <c r="S289" s="1">
        <v>2.6800000000000001E-2</v>
      </c>
      <c r="T289" s="1">
        <v>4.0099999999999997E-2</v>
      </c>
      <c r="U289" s="1">
        <v>6.3500000000000001E-2</v>
      </c>
    </row>
    <row r="290" spans="1:21">
      <c r="A290" s="25" t="s">
        <v>208</v>
      </c>
      <c r="B290">
        <v>2245</v>
      </c>
      <c r="C290" t="s">
        <v>189</v>
      </c>
      <c r="D290">
        <v>22347</v>
      </c>
      <c r="E290" s="1">
        <v>1.9199999999999998E-2</v>
      </c>
      <c r="G290" s="1">
        <v>3.6600000000000001E-2</v>
      </c>
      <c r="H290" s="1">
        <v>1.6999999999999999E-3</v>
      </c>
      <c r="J290" s="1">
        <v>1E-4</v>
      </c>
      <c r="K290" s="1">
        <v>1.49E-2</v>
      </c>
      <c r="L290" s="1">
        <v>0.21260000000000001</v>
      </c>
      <c r="M290" s="1">
        <v>2.3400000000000001E-2</v>
      </c>
      <c r="N290" s="1">
        <v>8.9999999999999998E-4</v>
      </c>
      <c r="O290" s="1">
        <v>0.55979999999999996</v>
      </c>
      <c r="P290" s="1">
        <v>1.4800000000000001E-2</v>
      </c>
      <c r="Q290" s="1">
        <v>3.3099999999999997E-2</v>
      </c>
      <c r="R290" s="1">
        <v>1.9099999999999999E-2</v>
      </c>
      <c r="S290" s="1">
        <v>2.75E-2</v>
      </c>
      <c r="T290" s="1">
        <v>3.04E-2</v>
      </c>
      <c r="U290" s="1">
        <v>5.8999999999999999E-3</v>
      </c>
    </row>
    <row r="291" spans="1:21">
      <c r="A291" s="25" t="s">
        <v>209</v>
      </c>
      <c r="B291">
        <v>3532</v>
      </c>
      <c r="C291" t="s">
        <v>189</v>
      </c>
      <c r="D291">
        <v>22347</v>
      </c>
      <c r="E291" s="1">
        <v>1.8599999999999998E-2</v>
      </c>
      <c r="F291" s="1">
        <v>5.0000000000000001E-4</v>
      </c>
      <c r="G291" s="1">
        <v>6.4600000000000005E-2</v>
      </c>
      <c r="H291" s="1">
        <v>6.4000000000000003E-3</v>
      </c>
      <c r="I291" s="1">
        <v>3.2099999999999997E-2</v>
      </c>
      <c r="J291" s="1">
        <v>2.0000000000000001E-4</v>
      </c>
      <c r="K291" s="1">
        <v>2.2700000000000001E-2</v>
      </c>
      <c r="L291" s="1">
        <v>0.34379999999999999</v>
      </c>
      <c r="M291" s="1">
        <v>2.4799999999999999E-2</v>
      </c>
      <c r="N291" s="1">
        <v>1E-4</v>
      </c>
      <c r="O291" s="1">
        <v>0.1794</v>
      </c>
      <c r="P291" s="1">
        <v>7.3000000000000001E-3</v>
      </c>
      <c r="Q291" s="1">
        <v>1.8100000000000002E-2</v>
      </c>
      <c r="R291" s="1">
        <v>8.1199999999999994E-2</v>
      </c>
      <c r="S291" s="1">
        <v>2.9100000000000001E-2</v>
      </c>
      <c r="T291" s="1">
        <v>5.74E-2</v>
      </c>
      <c r="U291" s="1">
        <v>0.11360000000000001</v>
      </c>
    </row>
    <row r="292" spans="1:21">
      <c r="A292" s="25" t="s">
        <v>192</v>
      </c>
      <c r="B292">
        <v>22347</v>
      </c>
      <c r="C292" t="s">
        <v>192</v>
      </c>
      <c r="D292">
        <v>22347</v>
      </c>
      <c r="E292" s="1">
        <v>1.7000000000000001E-2</v>
      </c>
      <c r="F292" s="1">
        <v>2.0000000000000001E-4</v>
      </c>
      <c r="G292" s="1">
        <v>4.7399999999999998E-2</v>
      </c>
      <c r="H292" s="1">
        <v>8.3999999999999995E-3</v>
      </c>
      <c r="I292" s="1">
        <v>1.89E-2</v>
      </c>
      <c r="J292" s="1">
        <v>1E-4</v>
      </c>
      <c r="K292" s="1">
        <v>2.58E-2</v>
      </c>
      <c r="L292" s="1">
        <v>0.35770000000000002</v>
      </c>
      <c r="M292" s="1">
        <v>2.5999999999999999E-2</v>
      </c>
      <c r="N292" s="1">
        <v>8.0000000000000004E-4</v>
      </c>
      <c r="O292" s="1">
        <v>0.27739999999999998</v>
      </c>
      <c r="P292" s="1">
        <v>1.89E-2</v>
      </c>
      <c r="Q292" s="1">
        <v>1.7399999999999999E-2</v>
      </c>
      <c r="R292" s="1">
        <v>5.0900000000000001E-2</v>
      </c>
      <c r="S292" s="1">
        <v>2.7199999999999998E-2</v>
      </c>
      <c r="T292" s="1">
        <v>4.1500000000000002E-2</v>
      </c>
      <c r="U292" s="1">
        <v>6.4399999999999999E-2</v>
      </c>
    </row>
    <row r="294" spans="1:21" ht="57.95">
      <c r="A294" s="25" t="s">
        <v>294</v>
      </c>
    </row>
    <row r="295" spans="1:21">
      <c r="A295" s="25" t="s">
        <v>182</v>
      </c>
      <c r="B295" t="s">
        <v>219</v>
      </c>
      <c r="C295" t="s">
        <v>181</v>
      </c>
      <c r="D295" t="s">
        <v>188</v>
      </c>
      <c r="E295" t="s">
        <v>265</v>
      </c>
      <c r="F295" t="s">
        <v>241</v>
      </c>
      <c r="G295" t="s">
        <v>266</v>
      </c>
      <c r="H295" t="s">
        <v>267</v>
      </c>
      <c r="I295" t="s">
        <v>268</v>
      </c>
      <c r="J295" t="s">
        <v>269</v>
      </c>
      <c r="K295" t="s">
        <v>270</v>
      </c>
      <c r="L295" t="s">
        <v>271</v>
      </c>
      <c r="M295" t="s">
        <v>272</v>
      </c>
      <c r="N295" t="s">
        <v>243</v>
      </c>
      <c r="O295" t="s">
        <v>273</v>
      </c>
      <c r="P295" t="s">
        <v>274</v>
      </c>
      <c r="Q295" t="s">
        <v>275</v>
      </c>
      <c r="R295" t="s">
        <v>276</v>
      </c>
      <c r="S295" t="s">
        <v>277</v>
      </c>
      <c r="T295" t="s">
        <v>278</v>
      </c>
      <c r="U295" t="s">
        <v>279</v>
      </c>
    </row>
    <row r="296" spans="1:21">
      <c r="A296" s="25" t="s">
        <v>211</v>
      </c>
      <c r="B296">
        <v>12618</v>
      </c>
      <c r="C296" t="s">
        <v>189</v>
      </c>
      <c r="D296">
        <v>22347</v>
      </c>
      <c r="E296" s="1">
        <v>1.7299999999999999E-2</v>
      </c>
      <c r="F296" s="1">
        <v>1E-4</v>
      </c>
      <c r="G296" s="1">
        <v>4.7100000000000003E-2</v>
      </c>
      <c r="H296" s="1">
        <v>1.17E-2</v>
      </c>
      <c r="I296" s="1">
        <v>2.23E-2</v>
      </c>
      <c r="J296" s="1">
        <v>0</v>
      </c>
      <c r="K296" s="1">
        <v>2.9100000000000001E-2</v>
      </c>
      <c r="L296" s="1">
        <v>0.3871</v>
      </c>
      <c r="M296" s="1">
        <v>2.3599999999999999E-2</v>
      </c>
      <c r="N296" s="1">
        <v>6.9999999999999999E-4</v>
      </c>
      <c r="O296" s="1">
        <v>0.2445</v>
      </c>
      <c r="P296" s="1">
        <v>2.1899999999999999E-2</v>
      </c>
      <c r="Q296" s="1">
        <v>1.3599999999999999E-2</v>
      </c>
      <c r="R296" s="1">
        <v>4.9799999999999997E-2</v>
      </c>
      <c r="S296" s="1">
        <v>2.7E-2</v>
      </c>
      <c r="T296" s="1">
        <v>3.6400000000000002E-2</v>
      </c>
      <c r="U296" s="1">
        <v>6.7900000000000002E-2</v>
      </c>
    </row>
    <row r="297" spans="1:21">
      <c r="A297" s="25" t="s">
        <v>212</v>
      </c>
      <c r="B297">
        <v>5605</v>
      </c>
      <c r="C297" t="s">
        <v>189</v>
      </c>
      <c r="D297">
        <v>22347</v>
      </c>
      <c r="E297" s="1">
        <v>1.61E-2</v>
      </c>
      <c r="F297" s="1">
        <v>4.0000000000000002E-4</v>
      </c>
      <c r="G297" s="1">
        <v>3.6499999999999998E-2</v>
      </c>
      <c r="H297" s="1">
        <v>3.5000000000000001E-3</v>
      </c>
      <c r="I297" s="1">
        <v>1.95E-2</v>
      </c>
      <c r="J297" s="1">
        <v>1E-4</v>
      </c>
      <c r="K297" s="1">
        <v>1.0800000000000001E-2</v>
      </c>
      <c r="L297" s="1">
        <v>0.2863</v>
      </c>
      <c r="M297" s="1">
        <v>3.0800000000000001E-2</v>
      </c>
      <c r="N297" s="1">
        <v>1.5E-3</v>
      </c>
      <c r="O297" s="1">
        <v>0.36880000000000002</v>
      </c>
      <c r="P297" s="1">
        <v>1.0699999999999999E-2</v>
      </c>
      <c r="Q297" s="1">
        <v>2.0799999999999999E-2</v>
      </c>
      <c r="R297" s="1">
        <v>6.5799999999999997E-2</v>
      </c>
      <c r="S297" s="1">
        <v>2.4799999999999999E-2</v>
      </c>
      <c r="T297" s="1">
        <v>5.0200000000000002E-2</v>
      </c>
      <c r="U297" s="1">
        <v>5.3100000000000001E-2</v>
      </c>
    </row>
    <row r="298" spans="1:21">
      <c r="A298" s="25" t="s">
        <v>213</v>
      </c>
      <c r="B298">
        <v>4124</v>
      </c>
      <c r="C298" t="s">
        <v>189</v>
      </c>
      <c r="D298">
        <v>22347</v>
      </c>
      <c r="E298" s="1">
        <v>1.7100000000000001E-2</v>
      </c>
      <c r="F298" s="1">
        <v>2.0000000000000001E-4</v>
      </c>
      <c r="G298" s="1">
        <v>6.0999999999999999E-2</v>
      </c>
      <c r="H298" s="1">
        <v>5.3E-3</v>
      </c>
      <c r="I298" s="1">
        <v>8.8000000000000005E-3</v>
      </c>
      <c r="J298" s="1">
        <v>0</v>
      </c>
      <c r="K298" s="1">
        <v>3.4799999999999998E-2</v>
      </c>
      <c r="L298" s="1">
        <v>0.36249999999999999</v>
      </c>
      <c r="M298" s="1">
        <v>2.6800000000000001E-2</v>
      </c>
      <c r="N298" s="1">
        <v>2.0000000000000001E-4</v>
      </c>
      <c r="O298" s="1">
        <v>0.2591</v>
      </c>
      <c r="P298" s="1">
        <v>2.0500000000000001E-2</v>
      </c>
      <c r="Q298" s="1">
        <v>2.35E-2</v>
      </c>
      <c r="R298" s="1">
        <v>3.6299999999999999E-2</v>
      </c>
      <c r="S298" s="1">
        <v>3.0700000000000002E-2</v>
      </c>
      <c r="T298" s="1">
        <v>4.4999999999999998E-2</v>
      </c>
      <c r="U298" s="1">
        <v>6.83E-2</v>
      </c>
    </row>
    <row r="299" spans="1:21">
      <c r="A299" s="25" t="s">
        <v>192</v>
      </c>
      <c r="B299">
        <v>22347</v>
      </c>
      <c r="C299" t="s">
        <v>192</v>
      </c>
      <c r="D299">
        <v>22347</v>
      </c>
      <c r="E299" s="1">
        <v>1.7000000000000001E-2</v>
      </c>
      <c r="F299" s="1">
        <v>2.0000000000000001E-4</v>
      </c>
      <c r="G299" s="1">
        <v>4.7399999999999998E-2</v>
      </c>
      <c r="H299" s="1">
        <v>8.3999999999999995E-3</v>
      </c>
      <c r="I299" s="1">
        <v>1.89E-2</v>
      </c>
      <c r="J299" s="1">
        <v>1E-4</v>
      </c>
      <c r="K299" s="1">
        <v>2.58E-2</v>
      </c>
      <c r="L299" s="1">
        <v>0.35770000000000002</v>
      </c>
      <c r="M299" s="1">
        <v>2.5999999999999999E-2</v>
      </c>
      <c r="N299" s="1">
        <v>8.0000000000000004E-4</v>
      </c>
      <c r="O299" s="1">
        <v>0.27739999999999998</v>
      </c>
      <c r="P299" s="1">
        <v>1.89E-2</v>
      </c>
      <c r="Q299" s="1">
        <v>1.7399999999999999E-2</v>
      </c>
      <c r="R299" s="1">
        <v>5.0900000000000001E-2</v>
      </c>
      <c r="S299" s="1">
        <v>2.7199999999999998E-2</v>
      </c>
      <c r="T299" s="1">
        <v>4.1500000000000002E-2</v>
      </c>
      <c r="U299" s="1">
        <v>6.4399999999999999E-2</v>
      </c>
    </row>
    <row r="301" spans="1:21" ht="57.95">
      <c r="A301" s="25" t="s">
        <v>295</v>
      </c>
    </row>
    <row r="302" spans="1:21">
      <c r="A302" s="25" t="s">
        <v>182</v>
      </c>
      <c r="B302" t="s">
        <v>219</v>
      </c>
      <c r="C302" t="s">
        <v>181</v>
      </c>
      <c r="D302" t="s">
        <v>188</v>
      </c>
      <c r="E302" t="s">
        <v>265</v>
      </c>
      <c r="F302" t="s">
        <v>241</v>
      </c>
      <c r="G302" t="s">
        <v>266</v>
      </c>
      <c r="H302" t="s">
        <v>267</v>
      </c>
      <c r="I302" t="s">
        <v>268</v>
      </c>
      <c r="J302" t="s">
        <v>269</v>
      </c>
      <c r="K302" t="s">
        <v>270</v>
      </c>
      <c r="L302" t="s">
        <v>271</v>
      </c>
      <c r="M302" t="s">
        <v>272</v>
      </c>
      <c r="N302" t="s">
        <v>243</v>
      </c>
      <c r="O302" t="s">
        <v>273</v>
      </c>
      <c r="P302" t="s">
        <v>274</v>
      </c>
      <c r="Q302" t="s">
        <v>275</v>
      </c>
      <c r="R302" t="s">
        <v>276</v>
      </c>
      <c r="S302" t="s">
        <v>277</v>
      </c>
      <c r="T302" t="s">
        <v>278</v>
      </c>
      <c r="U302" t="s">
        <v>279</v>
      </c>
    </row>
    <row r="303" spans="1:21">
      <c r="A303" s="25" t="s">
        <v>296</v>
      </c>
      <c r="B303">
        <v>9166</v>
      </c>
      <c r="C303" t="s">
        <v>189</v>
      </c>
      <c r="D303">
        <v>22347</v>
      </c>
      <c r="E303" s="1">
        <v>1.5699999999999999E-2</v>
      </c>
      <c r="F303" s="1">
        <v>2.0000000000000001E-4</v>
      </c>
      <c r="G303" s="1">
        <v>5.6500000000000002E-2</v>
      </c>
      <c r="H303" s="1">
        <v>1.41E-2</v>
      </c>
      <c r="I303" s="1">
        <v>3.0099999999999998E-2</v>
      </c>
      <c r="J303" s="1">
        <v>1E-4</v>
      </c>
      <c r="K303" s="1">
        <v>0.03</v>
      </c>
      <c r="L303" s="1">
        <v>0.41420000000000001</v>
      </c>
      <c r="M303" s="1">
        <v>1.72E-2</v>
      </c>
      <c r="N303" s="1">
        <v>2.9999999999999997E-4</v>
      </c>
      <c r="O303" s="1">
        <v>9.6799999999999997E-2</v>
      </c>
      <c r="P303" s="1">
        <v>1.7999999999999999E-2</v>
      </c>
      <c r="Q303" s="1">
        <v>1.77E-2</v>
      </c>
      <c r="R303" s="1">
        <v>9.4799999999999995E-2</v>
      </c>
      <c r="S303" s="1">
        <v>2.41E-2</v>
      </c>
      <c r="T303" s="1">
        <v>4.6100000000000002E-2</v>
      </c>
      <c r="U303" s="1">
        <v>0.1244</v>
      </c>
    </row>
    <row r="304" spans="1:21">
      <c r="A304" s="25" t="s">
        <v>297</v>
      </c>
      <c r="B304">
        <v>13181</v>
      </c>
      <c r="C304" t="s">
        <v>189</v>
      </c>
      <c r="D304">
        <v>22347</v>
      </c>
      <c r="E304" s="1">
        <v>1.78E-2</v>
      </c>
      <c r="F304" s="1">
        <v>2.0000000000000001E-4</v>
      </c>
      <c r="G304" s="1">
        <v>4.1599999999999998E-2</v>
      </c>
      <c r="H304" s="1">
        <v>4.7999999999999996E-3</v>
      </c>
      <c r="I304" s="1">
        <v>1.17E-2</v>
      </c>
      <c r="J304" s="1">
        <v>0</v>
      </c>
      <c r="K304" s="1">
        <v>2.3199999999999998E-2</v>
      </c>
      <c r="L304" s="1">
        <v>0.32190000000000002</v>
      </c>
      <c r="M304" s="1">
        <v>3.1600000000000003E-2</v>
      </c>
      <c r="N304" s="1">
        <v>1.1000000000000001E-3</v>
      </c>
      <c r="O304" s="1">
        <v>0.39229999999999998</v>
      </c>
      <c r="P304" s="1">
        <v>1.95E-2</v>
      </c>
      <c r="Q304" s="1">
        <v>1.72E-2</v>
      </c>
      <c r="R304" s="1">
        <v>2.29E-2</v>
      </c>
      <c r="S304" s="1">
        <v>2.92E-2</v>
      </c>
      <c r="T304" s="1">
        <v>3.8600000000000002E-2</v>
      </c>
      <c r="U304" s="1">
        <v>2.63E-2</v>
      </c>
    </row>
    <row r="305" spans="1:21">
      <c r="A305" s="25" t="s">
        <v>192</v>
      </c>
      <c r="B305">
        <v>22347</v>
      </c>
      <c r="C305" t="s">
        <v>192</v>
      </c>
      <c r="D305">
        <v>22347</v>
      </c>
      <c r="E305" s="1">
        <v>1.7000000000000001E-2</v>
      </c>
      <c r="F305" s="1">
        <v>2.0000000000000001E-4</v>
      </c>
      <c r="G305" s="1">
        <v>4.7399999999999998E-2</v>
      </c>
      <c r="H305" s="1">
        <v>8.3999999999999995E-3</v>
      </c>
      <c r="I305" s="1">
        <v>1.89E-2</v>
      </c>
      <c r="J305" s="1">
        <v>1E-4</v>
      </c>
      <c r="K305" s="1">
        <v>2.58E-2</v>
      </c>
      <c r="L305" s="1">
        <v>0.35770000000000002</v>
      </c>
      <c r="M305" s="1">
        <v>2.5999999999999999E-2</v>
      </c>
      <c r="N305" s="1">
        <v>8.0000000000000004E-4</v>
      </c>
      <c r="O305" s="1">
        <v>0.27739999999999998</v>
      </c>
      <c r="P305" s="1">
        <v>1.89E-2</v>
      </c>
      <c r="Q305" s="1">
        <v>1.7399999999999999E-2</v>
      </c>
      <c r="R305" s="1">
        <v>5.0900000000000001E-2</v>
      </c>
      <c r="S305" s="1">
        <v>2.7199999999999998E-2</v>
      </c>
      <c r="T305" s="1">
        <v>4.1500000000000002E-2</v>
      </c>
      <c r="U305" s="1">
        <v>6.4399999999999999E-2</v>
      </c>
    </row>
    <row r="307" spans="1:21" ht="57.95">
      <c r="A307" s="25" t="s">
        <v>298</v>
      </c>
    </row>
    <row r="308" spans="1:21">
      <c r="A308" s="25" t="s">
        <v>182</v>
      </c>
      <c r="B308" t="s">
        <v>219</v>
      </c>
      <c r="C308" t="s">
        <v>181</v>
      </c>
      <c r="D308" t="s">
        <v>188</v>
      </c>
      <c r="E308" t="s">
        <v>265</v>
      </c>
      <c r="F308" t="s">
        <v>241</v>
      </c>
      <c r="G308" t="s">
        <v>266</v>
      </c>
      <c r="H308" t="s">
        <v>267</v>
      </c>
      <c r="I308" t="s">
        <v>268</v>
      </c>
      <c r="J308" t="s">
        <v>269</v>
      </c>
      <c r="K308" t="s">
        <v>270</v>
      </c>
      <c r="L308" t="s">
        <v>271</v>
      </c>
      <c r="M308" t="s">
        <v>272</v>
      </c>
      <c r="N308" t="s">
        <v>243</v>
      </c>
      <c r="O308" t="s">
        <v>273</v>
      </c>
      <c r="P308" t="s">
        <v>274</v>
      </c>
      <c r="Q308" t="s">
        <v>275</v>
      </c>
      <c r="R308" t="s">
        <v>276</v>
      </c>
      <c r="S308" t="s">
        <v>277</v>
      </c>
      <c r="T308" t="s">
        <v>278</v>
      </c>
      <c r="U308" t="s">
        <v>279</v>
      </c>
    </row>
    <row r="309" spans="1:21">
      <c r="A309" s="25" t="s">
        <v>299</v>
      </c>
      <c r="B309">
        <v>557</v>
      </c>
      <c r="C309" t="s">
        <v>189</v>
      </c>
      <c r="D309">
        <v>22347</v>
      </c>
      <c r="E309" s="1">
        <v>1.5599999999999999E-2</v>
      </c>
      <c r="G309" s="1">
        <v>5.3900000000000003E-2</v>
      </c>
      <c r="K309" s="1">
        <v>1.6400000000000001E-2</v>
      </c>
      <c r="L309" s="1">
        <v>0.3589</v>
      </c>
      <c r="M309" s="1">
        <v>1.0699999999999999E-2</v>
      </c>
      <c r="O309" s="1">
        <v>5.1499999999999997E-2</v>
      </c>
      <c r="P309" s="1">
        <v>1.8599999999999998E-2</v>
      </c>
      <c r="Q309" s="1">
        <v>3.0700000000000002E-2</v>
      </c>
      <c r="R309" s="1">
        <v>0.20730000000000001</v>
      </c>
      <c r="S309" s="1">
        <v>4.82E-2</v>
      </c>
      <c r="T309" s="1">
        <v>8.0199999999999994E-2</v>
      </c>
      <c r="U309" s="1">
        <v>0.108</v>
      </c>
    </row>
    <row r="310" spans="1:21">
      <c r="A310" s="25" t="s">
        <v>300</v>
      </c>
      <c r="B310">
        <v>8579</v>
      </c>
      <c r="C310" t="s">
        <v>189</v>
      </c>
      <c r="D310">
        <v>22347</v>
      </c>
      <c r="E310" s="1">
        <v>1.54E-2</v>
      </c>
      <c r="F310" s="1">
        <v>2.0000000000000001E-4</v>
      </c>
      <c r="G310" s="1">
        <v>5.6800000000000003E-2</v>
      </c>
      <c r="H310" s="1">
        <v>1.4999999999999999E-2</v>
      </c>
      <c r="I310" s="1">
        <v>3.2000000000000001E-2</v>
      </c>
      <c r="J310" s="1">
        <v>1E-4</v>
      </c>
      <c r="K310" s="1">
        <v>3.09E-2</v>
      </c>
      <c r="L310" s="1">
        <v>0.41799999999999998</v>
      </c>
      <c r="M310" s="1">
        <v>1.7600000000000001E-2</v>
      </c>
      <c r="N310" s="1">
        <v>2.9999999999999997E-4</v>
      </c>
      <c r="O310" s="1">
        <v>9.9299999999999999E-2</v>
      </c>
      <c r="P310" s="1">
        <v>1.7999999999999999E-2</v>
      </c>
      <c r="Q310" s="1">
        <v>1.6899999999999998E-2</v>
      </c>
      <c r="R310" s="1">
        <v>8.7599999999999997E-2</v>
      </c>
      <c r="S310" s="1">
        <v>2.24E-2</v>
      </c>
      <c r="T310" s="1">
        <v>4.3900000000000002E-2</v>
      </c>
      <c r="U310" s="1">
        <v>0.1255</v>
      </c>
    </row>
    <row r="311" spans="1:21">
      <c r="A311" s="25" t="s">
        <v>301</v>
      </c>
      <c r="B311">
        <v>30</v>
      </c>
      <c r="C311" t="s">
        <v>189</v>
      </c>
      <c r="D311">
        <v>22347</v>
      </c>
      <c r="E311" s="1">
        <v>0.10929999999999999</v>
      </c>
      <c r="K311" s="1">
        <v>1.2500000000000001E-2</v>
      </c>
      <c r="L311" s="1">
        <v>0.20499999999999999</v>
      </c>
      <c r="O311" s="1">
        <v>0.19739999999999999</v>
      </c>
      <c r="Q311" s="1">
        <v>5.7000000000000002E-3</v>
      </c>
      <c r="R311" s="1">
        <v>0.20330000000000001</v>
      </c>
      <c r="S311" s="1">
        <v>9.5399999999999999E-2</v>
      </c>
      <c r="T311" s="1">
        <v>7.5300000000000006E-2</v>
      </c>
      <c r="U311" s="1">
        <v>9.6199999999999994E-2</v>
      </c>
    </row>
    <row r="312" spans="1:21">
      <c r="A312" s="25" t="s">
        <v>302</v>
      </c>
      <c r="B312">
        <v>13181</v>
      </c>
      <c r="C312" t="s">
        <v>189</v>
      </c>
      <c r="D312">
        <v>22347</v>
      </c>
      <c r="E312" s="1">
        <v>1.78E-2</v>
      </c>
      <c r="F312" s="1">
        <v>2.0000000000000001E-4</v>
      </c>
      <c r="G312" s="1">
        <v>4.1599999999999998E-2</v>
      </c>
      <c r="H312" s="1">
        <v>4.7999999999999996E-3</v>
      </c>
      <c r="I312" s="1">
        <v>1.17E-2</v>
      </c>
      <c r="J312" s="1">
        <v>0</v>
      </c>
      <c r="K312" s="1">
        <v>2.3199999999999998E-2</v>
      </c>
      <c r="L312" s="1">
        <v>0.32190000000000002</v>
      </c>
      <c r="M312" s="1">
        <v>3.1600000000000003E-2</v>
      </c>
      <c r="N312" s="1">
        <v>1.1000000000000001E-3</v>
      </c>
      <c r="O312" s="1">
        <v>0.39229999999999998</v>
      </c>
      <c r="P312" s="1">
        <v>1.95E-2</v>
      </c>
      <c r="Q312" s="1">
        <v>1.72E-2</v>
      </c>
      <c r="R312" s="1">
        <v>2.29E-2</v>
      </c>
      <c r="S312" s="1">
        <v>2.92E-2</v>
      </c>
      <c r="T312" s="1">
        <v>3.8600000000000002E-2</v>
      </c>
      <c r="U312" s="1">
        <v>2.63E-2</v>
      </c>
    </row>
    <row r="313" spans="1:21">
      <c r="A313" s="25" t="s">
        <v>192</v>
      </c>
      <c r="B313">
        <v>22347</v>
      </c>
      <c r="C313" t="s">
        <v>192</v>
      </c>
      <c r="D313">
        <v>22347</v>
      </c>
      <c r="E313" s="1">
        <v>1.7000000000000001E-2</v>
      </c>
      <c r="F313" s="1">
        <v>2.0000000000000001E-4</v>
      </c>
      <c r="G313" s="1">
        <v>4.7399999999999998E-2</v>
      </c>
      <c r="H313" s="1">
        <v>8.3999999999999995E-3</v>
      </c>
      <c r="I313" s="1">
        <v>1.89E-2</v>
      </c>
      <c r="J313" s="1">
        <v>1E-4</v>
      </c>
      <c r="K313" s="1">
        <v>2.58E-2</v>
      </c>
      <c r="L313" s="1">
        <v>0.35770000000000002</v>
      </c>
      <c r="M313" s="1">
        <v>2.5999999999999999E-2</v>
      </c>
      <c r="N313" s="1">
        <v>8.0000000000000004E-4</v>
      </c>
      <c r="O313" s="1">
        <v>0.27739999999999998</v>
      </c>
      <c r="P313" s="1">
        <v>1.89E-2</v>
      </c>
      <c r="Q313" s="1">
        <v>1.7399999999999999E-2</v>
      </c>
      <c r="R313" s="1">
        <v>5.0900000000000001E-2</v>
      </c>
      <c r="S313" s="1">
        <v>2.7199999999999998E-2</v>
      </c>
      <c r="T313" s="1">
        <v>4.1500000000000002E-2</v>
      </c>
      <c r="U313" s="1">
        <v>6.4399999999999999E-2</v>
      </c>
    </row>
    <row r="315" spans="1:21" ht="87">
      <c r="A315" s="25" t="s">
        <v>303</v>
      </c>
    </row>
    <row r="316" spans="1:21">
      <c r="A316" s="25" t="s">
        <v>182</v>
      </c>
      <c r="B316" t="s">
        <v>219</v>
      </c>
      <c r="C316" t="s">
        <v>181</v>
      </c>
      <c r="D316" t="s">
        <v>188</v>
      </c>
      <c r="E316" t="s">
        <v>241</v>
      </c>
      <c r="F316" t="s">
        <v>304</v>
      </c>
      <c r="G316" t="s">
        <v>243</v>
      </c>
      <c r="H316" t="s">
        <v>305</v>
      </c>
      <c r="I316" t="s">
        <v>306</v>
      </c>
    </row>
    <row r="317" spans="1:21">
      <c r="A317" s="25" t="s">
        <v>281</v>
      </c>
      <c r="B317">
        <v>2493</v>
      </c>
      <c r="C317" t="s">
        <v>189</v>
      </c>
      <c r="D317">
        <v>19167</v>
      </c>
      <c r="E317" s="1">
        <v>1.06E-2</v>
      </c>
      <c r="F317" s="1">
        <v>0.84489999999999998</v>
      </c>
      <c r="G317" s="1">
        <v>1.1999999999999999E-3</v>
      </c>
      <c r="H317" s="1">
        <v>9.3299999999999994E-2</v>
      </c>
      <c r="I317" s="1">
        <v>0.05</v>
      </c>
    </row>
    <row r="318" spans="1:21">
      <c r="A318" s="25" t="s">
        <v>282</v>
      </c>
      <c r="B318">
        <v>5558</v>
      </c>
      <c r="C318" t="s">
        <v>189</v>
      </c>
      <c r="D318">
        <v>19167</v>
      </c>
      <c r="E318" s="1">
        <v>5.4999999999999997E-3</v>
      </c>
      <c r="F318" s="1">
        <v>0.89480000000000004</v>
      </c>
      <c r="G318" s="1">
        <v>1.6000000000000001E-3</v>
      </c>
      <c r="H318" s="1">
        <v>7.7100000000000002E-2</v>
      </c>
      <c r="I318" s="1">
        <v>2.1000000000000001E-2</v>
      </c>
    </row>
    <row r="319" spans="1:21">
      <c r="A319" s="25" t="s">
        <v>283</v>
      </c>
      <c r="B319">
        <v>5381</v>
      </c>
      <c r="C319" t="s">
        <v>189</v>
      </c>
      <c r="D319">
        <v>19167</v>
      </c>
      <c r="E319" s="1">
        <v>4.7999999999999996E-3</v>
      </c>
      <c r="F319" s="1">
        <v>0.89580000000000004</v>
      </c>
      <c r="G319" s="1">
        <v>1E-3</v>
      </c>
      <c r="H319" s="1">
        <v>7.9899999999999999E-2</v>
      </c>
      <c r="I319" s="1">
        <v>1.8599999999999998E-2</v>
      </c>
    </row>
    <row r="320" spans="1:21">
      <c r="A320" s="25" t="s">
        <v>284</v>
      </c>
      <c r="B320">
        <v>5735</v>
      </c>
      <c r="C320" t="s">
        <v>189</v>
      </c>
      <c r="D320">
        <v>19167</v>
      </c>
      <c r="E320" s="1">
        <v>2.8E-3</v>
      </c>
      <c r="F320" s="1">
        <v>0.96230000000000004</v>
      </c>
      <c r="G320" s="1">
        <v>2.0000000000000001E-4</v>
      </c>
      <c r="H320" s="1">
        <v>2.8199999999999999E-2</v>
      </c>
      <c r="I320" s="1">
        <v>6.4999999999999997E-3</v>
      </c>
    </row>
    <row r="321" spans="1:10">
      <c r="A321" s="25" t="s">
        <v>192</v>
      </c>
      <c r="B321">
        <v>19167</v>
      </c>
      <c r="C321" t="s">
        <v>192</v>
      </c>
      <c r="D321">
        <v>19167</v>
      </c>
      <c r="E321" s="1">
        <v>5.4000000000000003E-3</v>
      </c>
      <c r="F321" s="1">
        <v>0.90639999999999998</v>
      </c>
      <c r="G321" s="1">
        <v>1E-3</v>
      </c>
      <c r="H321" s="1">
        <v>6.6500000000000004E-2</v>
      </c>
      <c r="I321" s="1">
        <v>2.0799999999999999E-2</v>
      </c>
    </row>
    <row r="323" spans="1:10" ht="87">
      <c r="A323" s="25" t="s">
        <v>307</v>
      </c>
    </row>
    <row r="324" spans="1:10">
      <c r="A324" s="25" t="s">
        <v>182</v>
      </c>
      <c r="B324" t="s">
        <v>286</v>
      </c>
      <c r="C324" t="s">
        <v>219</v>
      </c>
      <c r="D324" t="s">
        <v>181</v>
      </c>
      <c r="E324" t="s">
        <v>188</v>
      </c>
      <c r="F324" t="s">
        <v>241</v>
      </c>
      <c r="G324" t="s">
        <v>304</v>
      </c>
      <c r="H324" t="s">
        <v>243</v>
      </c>
      <c r="I324" t="s">
        <v>305</v>
      </c>
      <c r="J324" t="s">
        <v>306</v>
      </c>
    </row>
    <row r="325" spans="1:10">
      <c r="A325" s="25" t="s">
        <v>287</v>
      </c>
      <c r="B325" t="s">
        <v>281</v>
      </c>
      <c r="C325">
        <v>1078</v>
      </c>
      <c r="D325" t="s">
        <v>189</v>
      </c>
      <c r="E325">
        <v>19167</v>
      </c>
      <c r="F325" s="1">
        <v>1.1599999999999999E-2</v>
      </c>
      <c r="G325" s="1">
        <v>0.82799999999999996</v>
      </c>
      <c r="H325" s="1">
        <v>2.5999999999999999E-3</v>
      </c>
      <c r="I325" s="1">
        <v>0.1157</v>
      </c>
      <c r="J325" s="1">
        <v>4.2200000000000001E-2</v>
      </c>
    </row>
    <row r="326" spans="1:10">
      <c r="A326" s="25" t="s">
        <v>287</v>
      </c>
      <c r="B326" t="s">
        <v>282</v>
      </c>
      <c r="C326">
        <v>2350</v>
      </c>
      <c r="D326" t="s">
        <v>189</v>
      </c>
      <c r="E326">
        <v>19167</v>
      </c>
      <c r="F326" s="1">
        <v>8.0999999999999996E-3</v>
      </c>
      <c r="G326" s="1">
        <v>0.9022</v>
      </c>
      <c r="H326" s="1">
        <v>1.8E-3</v>
      </c>
      <c r="I326" s="1">
        <v>7.2099999999999997E-2</v>
      </c>
      <c r="J326" s="1">
        <v>1.5800000000000002E-2</v>
      </c>
    </row>
    <row r="327" spans="1:10">
      <c r="A327" s="25" t="s">
        <v>287</v>
      </c>
      <c r="B327" t="s">
        <v>283</v>
      </c>
      <c r="C327">
        <v>2397</v>
      </c>
      <c r="D327" t="s">
        <v>189</v>
      </c>
      <c r="E327">
        <v>19167</v>
      </c>
      <c r="F327" s="1">
        <v>4.7000000000000002E-3</v>
      </c>
      <c r="G327" s="1">
        <v>0.89959999999999996</v>
      </c>
      <c r="H327" s="1">
        <v>2.2000000000000001E-3</v>
      </c>
      <c r="I327" s="1">
        <v>7.9100000000000004E-2</v>
      </c>
      <c r="J327" s="1">
        <v>1.44E-2</v>
      </c>
    </row>
    <row r="328" spans="1:10">
      <c r="A328" s="25" t="s">
        <v>287</v>
      </c>
      <c r="B328" t="s">
        <v>284</v>
      </c>
      <c r="C328">
        <v>2414</v>
      </c>
      <c r="D328" t="s">
        <v>189</v>
      </c>
      <c r="E328">
        <v>19167</v>
      </c>
      <c r="F328" s="1">
        <v>4.1999999999999997E-3</v>
      </c>
      <c r="G328" s="1">
        <v>0.95399999999999996</v>
      </c>
      <c r="H328" s="1">
        <v>2.9999999999999997E-4</v>
      </c>
      <c r="I328" s="1">
        <v>3.4099999999999998E-2</v>
      </c>
      <c r="J328" s="1">
        <v>7.3000000000000001E-3</v>
      </c>
    </row>
    <row r="329" spans="1:10">
      <c r="A329" s="25" t="s">
        <v>243</v>
      </c>
      <c r="B329" t="s">
        <v>282</v>
      </c>
      <c r="C329">
        <v>1</v>
      </c>
      <c r="D329" t="s">
        <v>189</v>
      </c>
      <c r="E329">
        <v>19167</v>
      </c>
      <c r="G329" s="1">
        <v>1</v>
      </c>
    </row>
    <row r="330" spans="1:10">
      <c r="A330" s="25" t="s">
        <v>243</v>
      </c>
      <c r="B330" t="s">
        <v>283</v>
      </c>
      <c r="C330">
        <v>1</v>
      </c>
      <c r="D330" t="s">
        <v>189</v>
      </c>
      <c r="E330">
        <v>19167</v>
      </c>
      <c r="G330" s="1">
        <v>1</v>
      </c>
    </row>
    <row r="331" spans="1:10">
      <c r="A331" s="25" t="s">
        <v>243</v>
      </c>
      <c r="B331" t="s">
        <v>284</v>
      </c>
      <c r="C331">
        <v>1</v>
      </c>
      <c r="D331" t="s">
        <v>189</v>
      </c>
      <c r="E331">
        <v>19167</v>
      </c>
      <c r="G331" s="1">
        <v>1</v>
      </c>
    </row>
    <row r="332" spans="1:10">
      <c r="A332" s="25" t="s">
        <v>288</v>
      </c>
      <c r="B332" t="s">
        <v>281</v>
      </c>
      <c r="C332">
        <v>1415</v>
      </c>
      <c r="D332" t="s">
        <v>189</v>
      </c>
      <c r="E332">
        <v>19167</v>
      </c>
      <c r="F332" s="1">
        <v>9.9000000000000008E-3</v>
      </c>
      <c r="G332" s="1">
        <v>0.85750000000000004</v>
      </c>
      <c r="H332" s="1">
        <v>1E-4</v>
      </c>
      <c r="I332" s="1">
        <v>7.6700000000000004E-2</v>
      </c>
      <c r="J332" s="1">
        <v>5.5800000000000002E-2</v>
      </c>
    </row>
    <row r="333" spans="1:10">
      <c r="A333" s="25" t="s">
        <v>288</v>
      </c>
      <c r="B333" t="s">
        <v>282</v>
      </c>
      <c r="C333">
        <v>3207</v>
      </c>
      <c r="D333" t="s">
        <v>189</v>
      </c>
      <c r="E333">
        <v>19167</v>
      </c>
      <c r="F333" s="1">
        <v>3.5000000000000001E-3</v>
      </c>
      <c r="G333" s="1">
        <v>0.88900000000000001</v>
      </c>
      <c r="H333" s="1">
        <v>1.5E-3</v>
      </c>
      <c r="I333" s="1">
        <v>8.09E-2</v>
      </c>
      <c r="J333" s="1">
        <v>2.5100000000000001E-2</v>
      </c>
    </row>
    <row r="334" spans="1:10">
      <c r="A334" s="25" t="s">
        <v>288</v>
      </c>
      <c r="B334" t="s">
        <v>283</v>
      </c>
      <c r="C334">
        <v>2983</v>
      </c>
      <c r="D334" t="s">
        <v>189</v>
      </c>
      <c r="E334">
        <v>19167</v>
      </c>
      <c r="F334" s="1">
        <v>5.0000000000000001E-3</v>
      </c>
      <c r="G334" s="1">
        <v>0.89249999999999996</v>
      </c>
      <c r="I334" s="1">
        <v>8.0500000000000002E-2</v>
      </c>
      <c r="J334" s="1">
        <v>2.1999999999999999E-2</v>
      </c>
    </row>
    <row r="335" spans="1:10">
      <c r="A335" s="25" t="s">
        <v>288</v>
      </c>
      <c r="B335" t="s">
        <v>284</v>
      </c>
      <c r="C335">
        <v>3320</v>
      </c>
      <c r="D335" t="s">
        <v>189</v>
      </c>
      <c r="E335">
        <v>19167</v>
      </c>
      <c r="F335" s="1">
        <v>1.8E-3</v>
      </c>
      <c r="G335" s="1">
        <v>0.96830000000000005</v>
      </c>
      <c r="H335" s="1">
        <v>1E-4</v>
      </c>
      <c r="I335" s="1">
        <v>2.3800000000000002E-2</v>
      </c>
      <c r="J335" s="1">
        <v>5.8999999999999999E-3</v>
      </c>
    </row>
    <row r="336" spans="1:10">
      <c r="A336" s="25" t="s">
        <v>192</v>
      </c>
      <c r="B336" t="s">
        <v>192</v>
      </c>
      <c r="C336">
        <v>19167</v>
      </c>
      <c r="D336" t="s">
        <v>192</v>
      </c>
      <c r="E336">
        <v>19167</v>
      </c>
      <c r="F336" s="1">
        <v>5.4000000000000003E-3</v>
      </c>
      <c r="G336" s="1">
        <v>0.90639999999999998</v>
      </c>
      <c r="H336" s="1">
        <v>1E-3</v>
      </c>
      <c r="I336" s="1">
        <v>6.6500000000000004E-2</v>
      </c>
      <c r="J336" s="1">
        <v>2.0799999999999999E-2</v>
      </c>
    </row>
    <row r="338" spans="1:9" ht="57.95">
      <c r="A338" s="25" t="s">
        <v>308</v>
      </c>
    </row>
    <row r="339" spans="1:9">
      <c r="A339" s="25" t="s">
        <v>182</v>
      </c>
      <c r="B339" t="s">
        <v>219</v>
      </c>
      <c r="C339" t="s">
        <v>181</v>
      </c>
      <c r="D339" t="s">
        <v>188</v>
      </c>
      <c r="E339" t="s">
        <v>241</v>
      </c>
      <c r="F339" t="s">
        <v>304</v>
      </c>
      <c r="G339" t="s">
        <v>243</v>
      </c>
      <c r="H339" t="s">
        <v>305</v>
      </c>
      <c r="I339" t="s">
        <v>306</v>
      </c>
    </row>
    <row r="340" spans="1:9">
      <c r="A340" s="25" t="s">
        <v>190</v>
      </c>
      <c r="B340">
        <v>9229</v>
      </c>
      <c r="C340" t="s">
        <v>189</v>
      </c>
      <c r="D340">
        <v>19167</v>
      </c>
      <c r="E340" s="1">
        <v>4.1999999999999997E-3</v>
      </c>
      <c r="F340" s="1">
        <v>0.91149999999999998</v>
      </c>
      <c r="G340" s="1">
        <v>1E-3</v>
      </c>
      <c r="H340" s="1">
        <v>6.9699999999999998E-2</v>
      </c>
      <c r="I340" s="1">
        <v>1.3599999999999999E-2</v>
      </c>
    </row>
    <row r="341" spans="1:9">
      <c r="A341" s="25" t="s">
        <v>191</v>
      </c>
      <c r="B341">
        <v>9818</v>
      </c>
      <c r="C341" t="s">
        <v>189</v>
      </c>
      <c r="D341">
        <v>19167</v>
      </c>
      <c r="E341" s="1">
        <v>6.0000000000000001E-3</v>
      </c>
      <c r="F341" s="1">
        <v>0.9032</v>
      </c>
      <c r="G341" s="1">
        <v>1E-3</v>
      </c>
      <c r="H341" s="1">
        <v>6.4299999999999996E-2</v>
      </c>
      <c r="I341" s="1">
        <v>2.5499999999999998E-2</v>
      </c>
    </row>
    <row r="342" spans="1:9">
      <c r="A342" s="25" t="s">
        <v>192</v>
      </c>
      <c r="B342">
        <v>19167</v>
      </c>
      <c r="C342" t="s">
        <v>192</v>
      </c>
      <c r="D342">
        <v>19167</v>
      </c>
      <c r="E342" s="1">
        <v>5.4000000000000003E-3</v>
      </c>
      <c r="F342" s="1">
        <v>0.90639999999999998</v>
      </c>
      <c r="G342" s="1">
        <v>1E-3</v>
      </c>
      <c r="H342" s="1">
        <v>6.6500000000000004E-2</v>
      </c>
      <c r="I342" s="1">
        <v>2.0799999999999999E-2</v>
      </c>
    </row>
    <row r="344" spans="1:9" ht="87">
      <c r="A344" s="25" t="s">
        <v>309</v>
      </c>
    </row>
    <row r="345" spans="1:9">
      <c r="A345" s="25" t="s">
        <v>182</v>
      </c>
      <c r="B345" t="s">
        <v>219</v>
      </c>
      <c r="C345" t="s">
        <v>181</v>
      </c>
      <c r="D345" t="s">
        <v>188</v>
      </c>
      <c r="E345" t="s">
        <v>241</v>
      </c>
      <c r="F345" t="s">
        <v>304</v>
      </c>
      <c r="G345" t="s">
        <v>243</v>
      </c>
      <c r="H345" t="s">
        <v>305</v>
      </c>
      <c r="I345" t="s">
        <v>306</v>
      </c>
    </row>
    <row r="346" spans="1:9" ht="43.5">
      <c r="A346" s="25" t="s">
        <v>194</v>
      </c>
      <c r="B346">
        <v>10941</v>
      </c>
      <c r="C346" t="s">
        <v>189</v>
      </c>
      <c r="D346">
        <v>19167</v>
      </c>
      <c r="E346" s="1">
        <v>5.8999999999999999E-3</v>
      </c>
      <c r="F346" s="1">
        <v>0.91339999999999999</v>
      </c>
      <c r="G346" s="1">
        <v>4.0000000000000002E-4</v>
      </c>
      <c r="H346" s="1">
        <v>6.2700000000000006E-2</v>
      </c>
      <c r="I346" s="1">
        <v>1.7600000000000001E-2</v>
      </c>
    </row>
    <row r="347" spans="1:9" ht="43.5">
      <c r="A347" s="25" t="s">
        <v>195</v>
      </c>
      <c r="B347">
        <v>4861</v>
      </c>
      <c r="C347" t="s">
        <v>189</v>
      </c>
      <c r="D347">
        <v>19167</v>
      </c>
      <c r="E347" s="1">
        <v>1.8E-3</v>
      </c>
      <c r="F347" s="1">
        <v>0.9073</v>
      </c>
      <c r="G347" s="1">
        <v>1.5E-3</v>
      </c>
      <c r="H347" s="1">
        <v>6.7500000000000004E-2</v>
      </c>
      <c r="I347" s="1">
        <v>2.1899999999999999E-2</v>
      </c>
    </row>
    <row r="348" spans="1:9" ht="43.5">
      <c r="A348" s="25" t="s">
        <v>196</v>
      </c>
      <c r="B348">
        <v>3245</v>
      </c>
      <c r="C348" t="s">
        <v>189</v>
      </c>
      <c r="D348">
        <v>19167</v>
      </c>
      <c r="E348" s="1">
        <v>8.2000000000000007E-3</v>
      </c>
      <c r="F348" s="1">
        <v>0.8518</v>
      </c>
      <c r="G348" s="1">
        <v>3.8E-3</v>
      </c>
      <c r="H348" s="1">
        <v>9.3799999999999994E-2</v>
      </c>
      <c r="I348" s="1">
        <v>4.24E-2</v>
      </c>
    </row>
    <row r="349" spans="1:9">
      <c r="A349" s="25" t="s">
        <v>192</v>
      </c>
      <c r="B349">
        <v>19167</v>
      </c>
      <c r="C349" t="s">
        <v>192</v>
      </c>
      <c r="D349">
        <v>19167</v>
      </c>
      <c r="E349" s="1">
        <v>5.4000000000000003E-3</v>
      </c>
      <c r="F349" s="1">
        <v>0.90639999999999998</v>
      </c>
      <c r="G349" s="1">
        <v>1E-3</v>
      </c>
      <c r="H349" s="1">
        <v>6.6500000000000004E-2</v>
      </c>
      <c r="I349" s="1">
        <v>2.0799999999999999E-2</v>
      </c>
    </row>
    <row r="351" spans="1:9" ht="72.599999999999994">
      <c r="A351" s="25" t="s">
        <v>310</v>
      </c>
    </row>
    <row r="352" spans="1:9">
      <c r="A352" s="25" t="s">
        <v>182</v>
      </c>
      <c r="B352" t="s">
        <v>219</v>
      </c>
      <c r="C352" t="s">
        <v>181</v>
      </c>
      <c r="D352" t="s">
        <v>188</v>
      </c>
      <c r="E352" t="s">
        <v>241</v>
      </c>
      <c r="F352" t="s">
        <v>304</v>
      </c>
      <c r="G352" t="s">
        <v>243</v>
      </c>
      <c r="H352" t="s">
        <v>305</v>
      </c>
      <c r="I352" t="s">
        <v>306</v>
      </c>
    </row>
    <row r="353" spans="1:9" ht="29.1">
      <c r="A353" s="25" t="s">
        <v>198</v>
      </c>
      <c r="B353">
        <v>3948</v>
      </c>
      <c r="C353" t="s">
        <v>189</v>
      </c>
      <c r="D353">
        <v>19167</v>
      </c>
      <c r="E353" s="1">
        <v>6.6E-3</v>
      </c>
      <c r="F353" s="1">
        <v>0.90510000000000002</v>
      </c>
      <c r="G353" s="1">
        <v>1.1999999999999999E-3</v>
      </c>
      <c r="H353" s="1">
        <v>7.0599999999999996E-2</v>
      </c>
      <c r="I353" s="1">
        <v>1.66E-2</v>
      </c>
    </row>
    <row r="354" spans="1:9" ht="29.1">
      <c r="A354" s="25" t="s">
        <v>199</v>
      </c>
      <c r="B354">
        <v>15219</v>
      </c>
      <c r="C354" t="s">
        <v>189</v>
      </c>
      <c r="D354">
        <v>19167</v>
      </c>
      <c r="E354" s="1">
        <v>5.1000000000000004E-3</v>
      </c>
      <c r="F354" s="1">
        <v>0.90669999999999995</v>
      </c>
      <c r="G354" s="1">
        <v>8.9999999999999998E-4</v>
      </c>
      <c r="H354" s="1">
        <v>6.5699999999999995E-2</v>
      </c>
      <c r="I354" s="1">
        <v>2.1600000000000001E-2</v>
      </c>
    </row>
    <row r="355" spans="1:9">
      <c r="A355" s="25" t="s">
        <v>192</v>
      </c>
      <c r="B355">
        <v>19167</v>
      </c>
      <c r="C355" t="s">
        <v>192</v>
      </c>
      <c r="D355">
        <v>19167</v>
      </c>
      <c r="E355" s="1">
        <v>5.4000000000000003E-3</v>
      </c>
      <c r="F355" s="1">
        <v>0.90639999999999998</v>
      </c>
      <c r="G355" s="1">
        <v>1E-3</v>
      </c>
      <c r="H355" s="1">
        <v>6.6500000000000004E-2</v>
      </c>
      <c r="I355" s="1">
        <v>2.0799999999999999E-2</v>
      </c>
    </row>
    <row r="357" spans="1:9" ht="72.599999999999994">
      <c r="A357" s="25" t="s">
        <v>311</v>
      </c>
    </row>
    <row r="358" spans="1:9">
      <c r="A358" s="25" t="s">
        <v>182</v>
      </c>
      <c r="B358" t="s">
        <v>219</v>
      </c>
      <c r="C358" t="s">
        <v>181</v>
      </c>
      <c r="D358" t="s">
        <v>188</v>
      </c>
      <c r="E358" t="s">
        <v>241</v>
      </c>
      <c r="F358" t="s">
        <v>304</v>
      </c>
      <c r="G358" t="s">
        <v>243</v>
      </c>
      <c r="H358" t="s">
        <v>305</v>
      </c>
      <c r="I358" t="s">
        <v>306</v>
      </c>
    </row>
    <row r="359" spans="1:9">
      <c r="A359" s="25" t="s">
        <v>201</v>
      </c>
      <c r="B359">
        <v>1442</v>
      </c>
      <c r="C359" t="s">
        <v>189</v>
      </c>
      <c r="D359">
        <v>19167</v>
      </c>
      <c r="E359" s="1">
        <v>6.1999999999999998E-3</v>
      </c>
      <c r="F359" s="1">
        <v>0.82269999999999999</v>
      </c>
      <c r="H359" s="1">
        <v>0.1227</v>
      </c>
      <c r="I359" s="1">
        <v>4.8399999999999999E-2</v>
      </c>
    </row>
    <row r="360" spans="1:9">
      <c r="A360" s="25" t="s">
        <v>237</v>
      </c>
      <c r="B360">
        <v>225</v>
      </c>
      <c r="C360" t="s">
        <v>189</v>
      </c>
      <c r="D360">
        <v>19167</v>
      </c>
      <c r="E360" s="1">
        <v>6.1999999999999998E-3</v>
      </c>
      <c r="F360" s="1">
        <v>0.87749999999999995</v>
      </c>
      <c r="H360" s="1">
        <v>7.9799999999999996E-2</v>
      </c>
      <c r="I360" s="1">
        <v>3.6499999999999998E-2</v>
      </c>
    </row>
    <row r="361" spans="1:9">
      <c r="A361" s="25" t="s">
        <v>203</v>
      </c>
      <c r="B361">
        <v>14511</v>
      </c>
      <c r="C361" t="s">
        <v>189</v>
      </c>
      <c r="D361">
        <v>19167</v>
      </c>
      <c r="E361" s="1">
        <v>4.4999999999999997E-3</v>
      </c>
      <c r="F361" s="1">
        <v>0.91810000000000003</v>
      </c>
      <c r="G361" s="1">
        <v>8.0000000000000004E-4</v>
      </c>
      <c r="H361" s="1">
        <v>0.06</v>
      </c>
      <c r="I361" s="1">
        <v>1.67E-2</v>
      </c>
    </row>
    <row r="362" spans="1:9">
      <c r="A362" s="25" t="s">
        <v>204</v>
      </c>
      <c r="B362">
        <v>56</v>
      </c>
      <c r="C362" t="s">
        <v>189</v>
      </c>
      <c r="D362">
        <v>19167</v>
      </c>
      <c r="F362" s="1">
        <v>0.96120000000000005</v>
      </c>
      <c r="G362" s="1">
        <v>3.2800000000000003E-2</v>
      </c>
      <c r="H362" s="1">
        <v>6.0000000000000001E-3</v>
      </c>
    </row>
    <row r="363" spans="1:9">
      <c r="A363" s="25" t="s">
        <v>205</v>
      </c>
      <c r="B363">
        <v>2933</v>
      </c>
      <c r="C363" t="s">
        <v>189</v>
      </c>
      <c r="D363">
        <v>19167</v>
      </c>
      <c r="E363" s="1">
        <v>9.9000000000000008E-3</v>
      </c>
      <c r="F363" s="1">
        <v>0.88539999999999996</v>
      </c>
      <c r="G363" s="1">
        <v>2.2000000000000001E-3</v>
      </c>
      <c r="H363" s="1">
        <v>7.3999999999999996E-2</v>
      </c>
      <c r="I363" s="1">
        <v>2.8500000000000001E-2</v>
      </c>
    </row>
    <row r="364" spans="1:9">
      <c r="A364" s="25" t="s">
        <v>192</v>
      </c>
      <c r="B364">
        <v>19167</v>
      </c>
      <c r="C364" t="s">
        <v>192</v>
      </c>
      <c r="D364">
        <v>19167</v>
      </c>
      <c r="E364" s="1">
        <v>5.4000000000000003E-3</v>
      </c>
      <c r="F364" s="1">
        <v>0.90639999999999998</v>
      </c>
      <c r="G364" s="1">
        <v>1E-3</v>
      </c>
      <c r="H364" s="1">
        <v>6.6500000000000004E-2</v>
      </c>
      <c r="I364" s="1">
        <v>2.0799999999999999E-2</v>
      </c>
    </row>
    <row r="366" spans="1:9" ht="72.599999999999994">
      <c r="A366" s="25" t="s">
        <v>312</v>
      </c>
    </row>
    <row r="367" spans="1:9">
      <c r="A367" s="25" t="s">
        <v>182</v>
      </c>
      <c r="B367" t="s">
        <v>219</v>
      </c>
      <c r="C367" t="s">
        <v>181</v>
      </c>
      <c r="D367" t="s">
        <v>188</v>
      </c>
      <c r="E367" t="s">
        <v>241</v>
      </c>
      <c r="F367" t="s">
        <v>304</v>
      </c>
      <c r="G367" t="s">
        <v>243</v>
      </c>
      <c r="H367" t="s">
        <v>305</v>
      </c>
      <c r="I367" t="s">
        <v>306</v>
      </c>
    </row>
    <row r="368" spans="1:9">
      <c r="A368" s="25" t="s">
        <v>207</v>
      </c>
      <c r="B368">
        <v>14431</v>
      </c>
      <c r="C368" t="s">
        <v>189</v>
      </c>
      <c r="D368">
        <v>19167</v>
      </c>
      <c r="E368" s="1">
        <v>5.4999999999999997E-3</v>
      </c>
      <c r="F368" s="1">
        <v>0.90949999999999998</v>
      </c>
      <c r="G368" s="1">
        <v>1E-3</v>
      </c>
      <c r="H368" s="1">
        <v>6.2600000000000003E-2</v>
      </c>
      <c r="I368" s="1">
        <v>2.1299999999999999E-2</v>
      </c>
    </row>
    <row r="369" spans="1:9">
      <c r="A369" s="25" t="s">
        <v>208</v>
      </c>
      <c r="B369">
        <v>1778</v>
      </c>
      <c r="C369" t="s">
        <v>189</v>
      </c>
      <c r="D369">
        <v>19167</v>
      </c>
      <c r="E369" s="1">
        <v>8.0000000000000004E-4</v>
      </c>
      <c r="F369" s="1">
        <v>0.89329999999999998</v>
      </c>
      <c r="G369" s="1">
        <v>1.2999999999999999E-3</v>
      </c>
      <c r="H369" s="1">
        <v>8.1600000000000006E-2</v>
      </c>
      <c r="I369" s="1">
        <v>2.3099999999999999E-2</v>
      </c>
    </row>
    <row r="370" spans="1:9">
      <c r="A370" s="25" t="s">
        <v>209</v>
      </c>
      <c r="B370">
        <v>2958</v>
      </c>
      <c r="C370" t="s">
        <v>189</v>
      </c>
      <c r="D370">
        <v>19167</v>
      </c>
      <c r="E370" s="1">
        <v>7.6E-3</v>
      </c>
      <c r="F370" s="1">
        <v>0.89849999999999997</v>
      </c>
      <c r="G370" s="1">
        <v>6.9999999999999999E-4</v>
      </c>
      <c r="H370" s="1">
        <v>7.7100000000000002E-2</v>
      </c>
      <c r="I370" s="1">
        <v>1.61E-2</v>
      </c>
    </row>
    <row r="371" spans="1:9">
      <c r="A371" s="25" t="s">
        <v>192</v>
      </c>
      <c r="B371">
        <v>19167</v>
      </c>
      <c r="C371" t="s">
        <v>192</v>
      </c>
      <c r="D371">
        <v>19167</v>
      </c>
      <c r="E371" s="1">
        <v>5.4000000000000003E-3</v>
      </c>
      <c r="F371" s="1">
        <v>0.90639999999999998</v>
      </c>
      <c r="G371" s="1">
        <v>1E-3</v>
      </c>
      <c r="H371" s="1">
        <v>6.6500000000000004E-2</v>
      </c>
      <c r="I371" s="1">
        <v>2.0799999999999999E-2</v>
      </c>
    </row>
    <row r="373" spans="1:9" ht="72.599999999999994">
      <c r="A373" s="25" t="s">
        <v>313</v>
      </c>
    </row>
    <row r="374" spans="1:9">
      <c r="A374" s="25" t="s">
        <v>182</v>
      </c>
      <c r="B374" t="s">
        <v>219</v>
      </c>
      <c r="C374" t="s">
        <v>181</v>
      </c>
      <c r="D374" t="s">
        <v>188</v>
      </c>
      <c r="E374" t="s">
        <v>241</v>
      </c>
      <c r="F374" t="s">
        <v>304</v>
      </c>
      <c r="G374" t="s">
        <v>243</v>
      </c>
      <c r="H374" t="s">
        <v>305</v>
      </c>
      <c r="I374" t="s">
        <v>306</v>
      </c>
    </row>
    <row r="375" spans="1:9">
      <c r="A375" s="25" t="s">
        <v>211</v>
      </c>
      <c r="B375">
        <v>10991</v>
      </c>
      <c r="C375" t="s">
        <v>189</v>
      </c>
      <c r="D375">
        <v>19167</v>
      </c>
      <c r="E375" s="1">
        <v>4.4999999999999997E-3</v>
      </c>
      <c r="F375" s="1">
        <v>0.91639999999999999</v>
      </c>
      <c r="G375" s="1">
        <v>8.9999999999999998E-4</v>
      </c>
      <c r="H375" s="1">
        <v>5.8599999999999999E-2</v>
      </c>
      <c r="I375" s="1">
        <v>1.9599999999999999E-2</v>
      </c>
    </row>
    <row r="376" spans="1:9">
      <c r="A376" s="25" t="s">
        <v>212</v>
      </c>
      <c r="B376">
        <v>4521</v>
      </c>
      <c r="C376" t="s">
        <v>189</v>
      </c>
      <c r="D376">
        <v>19167</v>
      </c>
      <c r="E376" s="1">
        <v>8.0000000000000002E-3</v>
      </c>
      <c r="F376" s="1">
        <v>0.89319999999999999</v>
      </c>
      <c r="G376" s="1">
        <v>1.1000000000000001E-3</v>
      </c>
      <c r="H376" s="1">
        <v>7.7200000000000005E-2</v>
      </c>
      <c r="I376" s="1">
        <v>2.0500000000000001E-2</v>
      </c>
    </row>
    <row r="377" spans="1:9">
      <c r="A377" s="25" t="s">
        <v>213</v>
      </c>
      <c r="B377">
        <v>3655</v>
      </c>
      <c r="C377" t="s">
        <v>189</v>
      </c>
      <c r="D377">
        <v>19167</v>
      </c>
      <c r="E377" s="1">
        <v>4.8999999999999998E-3</v>
      </c>
      <c r="F377" s="1">
        <v>0.89400000000000002</v>
      </c>
      <c r="G377" s="1">
        <v>1.1999999999999999E-3</v>
      </c>
      <c r="H377" s="1">
        <v>7.5999999999999998E-2</v>
      </c>
      <c r="I377" s="1">
        <v>2.3900000000000001E-2</v>
      </c>
    </row>
    <row r="378" spans="1:9">
      <c r="A378" s="25" t="s">
        <v>192</v>
      </c>
      <c r="B378">
        <v>19167</v>
      </c>
      <c r="C378" t="s">
        <v>192</v>
      </c>
      <c r="D378">
        <v>19167</v>
      </c>
      <c r="E378" s="1">
        <v>5.4000000000000003E-3</v>
      </c>
      <c r="F378" s="1">
        <v>0.90639999999999998</v>
      </c>
      <c r="G378" s="1">
        <v>1E-3</v>
      </c>
      <c r="H378" s="1">
        <v>6.6500000000000004E-2</v>
      </c>
      <c r="I378" s="1">
        <v>2.0799999999999999E-2</v>
      </c>
    </row>
    <row r="380" spans="1:9" ht="72.599999999999994">
      <c r="A380" s="25" t="s">
        <v>314</v>
      </c>
    </row>
    <row r="381" spans="1:9">
      <c r="A381" s="25" t="s">
        <v>182</v>
      </c>
      <c r="B381" t="s">
        <v>219</v>
      </c>
      <c r="C381" t="s">
        <v>181</v>
      </c>
      <c r="D381" t="s">
        <v>188</v>
      </c>
      <c r="E381" t="s">
        <v>241</v>
      </c>
      <c r="F381" t="s">
        <v>304</v>
      </c>
      <c r="G381" t="s">
        <v>243</v>
      </c>
      <c r="H381" t="s">
        <v>305</v>
      </c>
      <c r="I381" t="s">
        <v>306</v>
      </c>
    </row>
    <row r="382" spans="1:9">
      <c r="A382" s="25" t="s">
        <v>296</v>
      </c>
      <c r="B382">
        <v>7700</v>
      </c>
      <c r="C382" t="s">
        <v>189</v>
      </c>
      <c r="D382">
        <v>19167</v>
      </c>
      <c r="E382" s="1">
        <v>6.7000000000000002E-3</v>
      </c>
      <c r="F382" s="1">
        <v>0.90629999999999999</v>
      </c>
      <c r="G382" s="1">
        <v>1E-3</v>
      </c>
      <c r="H382" s="1">
        <v>6.4500000000000002E-2</v>
      </c>
      <c r="I382" s="1">
        <v>2.1600000000000001E-2</v>
      </c>
    </row>
    <row r="383" spans="1:9">
      <c r="A383" s="25" t="s">
        <v>297</v>
      </c>
      <c r="B383">
        <v>11467</v>
      </c>
      <c r="C383" t="s">
        <v>189</v>
      </c>
      <c r="D383">
        <v>19167</v>
      </c>
      <c r="E383" s="1">
        <v>4.5999999999999999E-3</v>
      </c>
      <c r="F383" s="1">
        <v>0.90649999999999997</v>
      </c>
      <c r="G383" s="1">
        <v>1E-3</v>
      </c>
      <c r="H383" s="1">
        <v>6.7699999999999996E-2</v>
      </c>
      <c r="I383" s="1">
        <v>2.0199999999999999E-2</v>
      </c>
    </row>
    <row r="384" spans="1:9">
      <c r="A384" s="25" t="s">
        <v>192</v>
      </c>
      <c r="B384">
        <v>19167</v>
      </c>
      <c r="C384" t="s">
        <v>192</v>
      </c>
      <c r="D384">
        <v>19167</v>
      </c>
      <c r="E384" s="1">
        <v>5.4000000000000003E-3</v>
      </c>
      <c r="F384" s="1">
        <v>0.90639999999999998</v>
      </c>
      <c r="G384" s="1">
        <v>1E-3</v>
      </c>
      <c r="H384" s="1">
        <v>6.6500000000000004E-2</v>
      </c>
      <c r="I384" s="1">
        <v>2.0799999999999999E-2</v>
      </c>
    </row>
    <row r="386" spans="1:17" ht="72.599999999999994">
      <c r="A386" s="25" t="s">
        <v>315</v>
      </c>
    </row>
    <row r="387" spans="1:17">
      <c r="A387" s="25" t="s">
        <v>182</v>
      </c>
      <c r="B387" t="s">
        <v>219</v>
      </c>
      <c r="C387" t="s">
        <v>181</v>
      </c>
      <c r="D387" t="s">
        <v>188</v>
      </c>
      <c r="E387" t="s">
        <v>241</v>
      </c>
      <c r="F387" t="s">
        <v>304</v>
      </c>
      <c r="G387" t="s">
        <v>243</v>
      </c>
      <c r="H387" t="s">
        <v>305</v>
      </c>
      <c r="I387" t="s">
        <v>306</v>
      </c>
    </row>
    <row r="388" spans="1:17">
      <c r="A388" s="25" t="s">
        <v>299</v>
      </c>
      <c r="B388">
        <v>424</v>
      </c>
      <c r="C388" t="s">
        <v>189</v>
      </c>
      <c r="D388">
        <v>19167</v>
      </c>
      <c r="E388" s="1">
        <v>3.5999999999999999E-3</v>
      </c>
      <c r="F388" s="1">
        <v>0.83840000000000003</v>
      </c>
      <c r="G388" s="1">
        <v>6.9999999999999999E-4</v>
      </c>
      <c r="H388" s="1">
        <v>0.1133</v>
      </c>
      <c r="I388" s="1">
        <v>4.3999999999999997E-2</v>
      </c>
    </row>
    <row r="389" spans="1:17">
      <c r="A389" s="25" t="s">
        <v>300</v>
      </c>
      <c r="B389">
        <v>7256</v>
      </c>
      <c r="C389" t="s">
        <v>189</v>
      </c>
      <c r="D389">
        <v>19167</v>
      </c>
      <c r="E389" s="1">
        <v>6.7999999999999996E-3</v>
      </c>
      <c r="F389" s="1">
        <v>0.91020000000000001</v>
      </c>
      <c r="G389" s="1">
        <v>1E-3</v>
      </c>
      <c r="H389" s="1">
        <v>6.1600000000000002E-2</v>
      </c>
      <c r="I389" s="1">
        <v>2.0400000000000001E-2</v>
      </c>
    </row>
    <row r="390" spans="1:17">
      <c r="A390" s="25" t="s">
        <v>301</v>
      </c>
      <c r="B390">
        <v>20</v>
      </c>
      <c r="C390" t="s">
        <v>189</v>
      </c>
      <c r="D390">
        <v>19167</v>
      </c>
      <c r="F390" s="1">
        <v>0.79259999999999997</v>
      </c>
      <c r="H390" s="1">
        <v>0.19120000000000001</v>
      </c>
      <c r="I390" s="1">
        <v>1.6199999999999999E-2</v>
      </c>
    </row>
    <row r="391" spans="1:17">
      <c r="A391" s="25" t="s">
        <v>302</v>
      </c>
      <c r="B391">
        <v>11467</v>
      </c>
      <c r="C391" t="s">
        <v>189</v>
      </c>
      <c r="D391">
        <v>19167</v>
      </c>
      <c r="E391" s="1">
        <v>4.5999999999999999E-3</v>
      </c>
      <c r="F391" s="1">
        <v>0.90649999999999997</v>
      </c>
      <c r="G391" s="1">
        <v>1E-3</v>
      </c>
      <c r="H391" s="1">
        <v>6.7699999999999996E-2</v>
      </c>
      <c r="I391" s="1">
        <v>2.0199999999999999E-2</v>
      </c>
    </row>
    <row r="392" spans="1:17">
      <c r="A392" s="25" t="s">
        <v>192</v>
      </c>
      <c r="B392">
        <v>19167</v>
      </c>
      <c r="C392" t="s">
        <v>192</v>
      </c>
      <c r="D392">
        <v>19167</v>
      </c>
      <c r="E392" s="1">
        <v>5.4000000000000003E-3</v>
      </c>
      <c r="F392" s="1">
        <v>0.90639999999999998</v>
      </c>
      <c r="G392" s="1">
        <v>1E-3</v>
      </c>
      <c r="H392" s="1">
        <v>6.6500000000000004E-2</v>
      </c>
      <c r="I392" s="1">
        <v>2.0799999999999999E-2</v>
      </c>
    </row>
    <row r="394" spans="1:17" ht="87">
      <c r="A394" s="25" t="s">
        <v>316</v>
      </c>
    </row>
    <row r="395" spans="1:17">
      <c r="A395" s="25" t="s">
        <v>182</v>
      </c>
      <c r="B395" t="s">
        <v>219</v>
      </c>
      <c r="C395" t="s">
        <v>181</v>
      </c>
      <c r="D395" t="s">
        <v>188</v>
      </c>
      <c r="E395" t="s">
        <v>317</v>
      </c>
      <c r="F395" t="s">
        <v>241</v>
      </c>
      <c r="G395" t="s">
        <v>318</v>
      </c>
      <c r="H395" t="s">
        <v>319</v>
      </c>
      <c r="I395" t="s">
        <v>320</v>
      </c>
      <c r="J395" t="s">
        <v>321</v>
      </c>
      <c r="K395" t="s">
        <v>322</v>
      </c>
      <c r="L395" t="s">
        <v>323</v>
      </c>
      <c r="M395" t="s">
        <v>324</v>
      </c>
      <c r="N395" t="s">
        <v>325</v>
      </c>
      <c r="O395" t="s">
        <v>269</v>
      </c>
      <c r="P395" t="s">
        <v>243</v>
      </c>
      <c r="Q395" t="s">
        <v>326</v>
      </c>
    </row>
    <row r="396" spans="1:17">
      <c r="A396" s="25" t="s">
        <v>281</v>
      </c>
      <c r="B396">
        <v>350</v>
      </c>
      <c r="C396" t="s">
        <v>189</v>
      </c>
      <c r="D396">
        <v>1779</v>
      </c>
      <c r="E396" s="1">
        <v>3.2399999999999998E-2</v>
      </c>
      <c r="F396" s="1">
        <v>8.6E-3</v>
      </c>
      <c r="G396" s="1">
        <v>9.7999999999999997E-3</v>
      </c>
      <c r="H396" s="1">
        <v>5.0299999999999997E-2</v>
      </c>
      <c r="I396" s="1">
        <v>7.85E-2</v>
      </c>
      <c r="J396" s="1">
        <v>0.26100000000000001</v>
      </c>
      <c r="K396" s="1">
        <v>0.37790000000000001</v>
      </c>
      <c r="L396" s="1">
        <v>6.5500000000000003E-2</v>
      </c>
      <c r="M396" s="1">
        <v>8.6499999999999994E-2</v>
      </c>
      <c r="N396" s="1">
        <v>0.49349999999999999</v>
      </c>
      <c r="O396" s="1">
        <v>1.5800000000000002E-2</v>
      </c>
      <c r="Q396" s="1">
        <v>3.0700000000000002E-2</v>
      </c>
    </row>
    <row r="397" spans="1:17">
      <c r="A397" s="25" t="s">
        <v>282</v>
      </c>
      <c r="B397">
        <v>628</v>
      </c>
      <c r="C397" t="s">
        <v>189</v>
      </c>
      <c r="D397">
        <v>1779</v>
      </c>
      <c r="E397" s="1">
        <v>2.29E-2</v>
      </c>
      <c r="F397" s="1">
        <v>9.9000000000000008E-3</v>
      </c>
      <c r="G397" s="1">
        <v>2.2800000000000001E-2</v>
      </c>
      <c r="H397" s="1">
        <v>6.1600000000000002E-2</v>
      </c>
      <c r="I397" s="1">
        <v>7.3999999999999996E-2</v>
      </c>
      <c r="J397" s="1">
        <v>0.41820000000000002</v>
      </c>
      <c r="K397" s="1">
        <v>0.1923</v>
      </c>
      <c r="L397" s="1">
        <v>9.1899999999999996E-2</v>
      </c>
      <c r="M397" s="1">
        <v>6.9900000000000004E-2</v>
      </c>
      <c r="N397" s="1">
        <v>0.46910000000000002</v>
      </c>
      <c r="O397" s="1">
        <v>8.9999999999999993E-3</v>
      </c>
      <c r="Q397" s="1">
        <v>4.6699999999999998E-2</v>
      </c>
    </row>
    <row r="398" spans="1:17">
      <c r="A398" s="25" t="s">
        <v>283</v>
      </c>
      <c r="B398">
        <v>615</v>
      </c>
      <c r="C398" t="s">
        <v>189</v>
      </c>
      <c r="D398">
        <v>1779</v>
      </c>
      <c r="E398" s="1">
        <v>0.1181</v>
      </c>
      <c r="F398" s="1">
        <v>4.1000000000000003E-3</v>
      </c>
      <c r="G398" s="1">
        <v>2.1700000000000001E-2</v>
      </c>
      <c r="H398" s="1">
        <v>5.3499999999999999E-2</v>
      </c>
      <c r="I398" s="1">
        <v>3.4099999999999998E-2</v>
      </c>
      <c r="J398" s="1">
        <v>0.44479999999999997</v>
      </c>
      <c r="K398" s="1">
        <v>0.17860000000000001</v>
      </c>
      <c r="L398" s="1">
        <v>3.9399999999999998E-2</v>
      </c>
      <c r="M398" s="1">
        <v>5.1900000000000002E-2</v>
      </c>
      <c r="N398" s="1">
        <v>0.3574</v>
      </c>
      <c r="O398" s="1">
        <v>1.4E-3</v>
      </c>
      <c r="P398" s="1">
        <v>2.0999999999999999E-3</v>
      </c>
      <c r="Q398" s="1">
        <v>0.12089999999999999</v>
      </c>
    </row>
    <row r="399" spans="1:17">
      <c r="A399" s="25" t="s">
        <v>284</v>
      </c>
      <c r="B399">
        <v>186</v>
      </c>
      <c r="C399" t="s">
        <v>189</v>
      </c>
      <c r="D399">
        <v>1779</v>
      </c>
      <c r="E399" s="1">
        <v>0.22</v>
      </c>
      <c r="F399" s="1">
        <v>7.7000000000000002E-3</v>
      </c>
      <c r="G399" s="1">
        <v>1.52E-2</v>
      </c>
      <c r="H399" s="1">
        <v>5.1200000000000002E-2</v>
      </c>
      <c r="I399" s="1">
        <v>9.9000000000000008E-3</v>
      </c>
      <c r="J399" s="1">
        <v>0.36299999999999999</v>
      </c>
      <c r="K399" s="1">
        <v>0.18149999999999999</v>
      </c>
      <c r="L399" s="1">
        <v>5.7200000000000001E-2</v>
      </c>
      <c r="M399" s="1">
        <v>8.09E-2</v>
      </c>
      <c r="N399" s="1">
        <v>0.21609999999999999</v>
      </c>
      <c r="O399" s="1">
        <v>1.1999999999999999E-3</v>
      </c>
      <c r="Q399" s="1">
        <v>0.13739999999999999</v>
      </c>
    </row>
    <row r="400" spans="1:17">
      <c r="A400" s="25" t="s">
        <v>192</v>
      </c>
      <c r="B400">
        <v>1779</v>
      </c>
      <c r="C400" t="s">
        <v>192</v>
      </c>
      <c r="D400">
        <v>1779</v>
      </c>
      <c r="E400" s="1">
        <v>7.6399999999999996E-2</v>
      </c>
      <c r="F400" s="1">
        <v>7.6E-3</v>
      </c>
      <c r="G400" s="1">
        <v>1.83E-2</v>
      </c>
      <c r="H400" s="1">
        <v>5.5100000000000003E-2</v>
      </c>
      <c r="I400" s="1">
        <v>5.5800000000000002E-2</v>
      </c>
      <c r="J400" s="1">
        <v>0.37969999999999998</v>
      </c>
      <c r="K400" s="1">
        <v>0.23449999999999999</v>
      </c>
      <c r="L400" s="1">
        <v>6.5299999999999997E-2</v>
      </c>
      <c r="M400" s="1">
        <v>7.0000000000000007E-2</v>
      </c>
      <c r="N400" s="1">
        <v>0.41289999999999999</v>
      </c>
      <c r="O400" s="1">
        <v>7.4999999999999997E-3</v>
      </c>
      <c r="P400" s="1">
        <v>5.9999999999999995E-4</v>
      </c>
      <c r="Q400" s="1">
        <v>7.5300000000000006E-2</v>
      </c>
    </row>
    <row r="402" spans="1:18" ht="101.45">
      <c r="A402" s="25" t="s">
        <v>327</v>
      </c>
    </row>
    <row r="403" spans="1:18">
      <c r="A403" s="25" t="s">
        <v>182</v>
      </c>
      <c r="B403" t="s">
        <v>286</v>
      </c>
      <c r="C403" t="s">
        <v>219</v>
      </c>
      <c r="D403" t="s">
        <v>181</v>
      </c>
      <c r="E403" t="s">
        <v>188</v>
      </c>
      <c r="F403" t="s">
        <v>317</v>
      </c>
      <c r="G403" t="s">
        <v>241</v>
      </c>
      <c r="H403" t="s">
        <v>318</v>
      </c>
      <c r="I403" t="s">
        <v>319</v>
      </c>
      <c r="J403" t="s">
        <v>320</v>
      </c>
      <c r="K403" t="s">
        <v>321</v>
      </c>
      <c r="L403" t="s">
        <v>322</v>
      </c>
      <c r="M403" t="s">
        <v>323</v>
      </c>
      <c r="N403" t="s">
        <v>324</v>
      </c>
      <c r="O403" t="s">
        <v>325</v>
      </c>
      <c r="P403" t="s">
        <v>269</v>
      </c>
      <c r="Q403" t="s">
        <v>243</v>
      </c>
      <c r="R403" t="s">
        <v>326</v>
      </c>
    </row>
    <row r="404" spans="1:18">
      <c r="A404" s="25" t="s">
        <v>287</v>
      </c>
      <c r="B404" t="s">
        <v>281</v>
      </c>
      <c r="C404">
        <v>173</v>
      </c>
      <c r="D404" t="s">
        <v>189</v>
      </c>
      <c r="E404">
        <v>1779</v>
      </c>
      <c r="F404" s="1">
        <v>3.85E-2</v>
      </c>
      <c r="G404" s="1">
        <v>1.43E-2</v>
      </c>
      <c r="H404" s="1">
        <v>6.7000000000000002E-3</v>
      </c>
      <c r="I404" s="1">
        <v>2.8899999999999999E-2</v>
      </c>
      <c r="J404" s="1">
        <v>0.16739999999999999</v>
      </c>
      <c r="K404" s="1">
        <v>0.27729999999999999</v>
      </c>
      <c r="L404" s="1">
        <v>0.33950000000000002</v>
      </c>
      <c r="M404" s="1">
        <v>8.8000000000000005E-3</v>
      </c>
      <c r="N404" s="1">
        <v>8.2799999999999999E-2</v>
      </c>
      <c r="O404" s="1">
        <v>0.44500000000000001</v>
      </c>
      <c r="P404" s="1">
        <v>3.3599999999999998E-2</v>
      </c>
      <c r="R404" s="1">
        <v>5.3699999999999998E-2</v>
      </c>
    </row>
    <row r="405" spans="1:18">
      <c r="A405" s="25" t="s">
        <v>287</v>
      </c>
      <c r="B405" t="s">
        <v>282</v>
      </c>
      <c r="C405">
        <v>249</v>
      </c>
      <c r="D405" t="s">
        <v>189</v>
      </c>
      <c r="E405">
        <v>1779</v>
      </c>
      <c r="F405" s="1">
        <v>2.4199999999999999E-2</v>
      </c>
      <c r="G405" s="1">
        <v>1.83E-2</v>
      </c>
      <c r="H405" s="1">
        <v>4.4400000000000002E-2</v>
      </c>
      <c r="I405" s="1">
        <v>4.4499999999999998E-2</v>
      </c>
      <c r="J405" s="1">
        <v>0.185</v>
      </c>
      <c r="K405" s="1">
        <v>0.41739999999999999</v>
      </c>
      <c r="L405" s="1">
        <v>0.1399</v>
      </c>
      <c r="M405" s="1">
        <v>9.1000000000000004E-3</v>
      </c>
      <c r="N405" s="1">
        <v>5.9799999999999999E-2</v>
      </c>
      <c r="O405" s="1">
        <v>0.38929999999999998</v>
      </c>
      <c r="P405" s="1">
        <v>6.1000000000000004E-3</v>
      </c>
      <c r="R405" s="1">
        <v>0.1003</v>
      </c>
    </row>
    <row r="406" spans="1:18">
      <c r="A406" s="25" t="s">
        <v>287</v>
      </c>
      <c r="B406" t="s">
        <v>283</v>
      </c>
      <c r="C406">
        <v>262</v>
      </c>
      <c r="D406" t="s">
        <v>189</v>
      </c>
      <c r="E406">
        <v>1779</v>
      </c>
      <c r="F406" s="1">
        <v>0.10199999999999999</v>
      </c>
      <c r="G406" s="1">
        <v>8.3999999999999995E-3</v>
      </c>
      <c r="H406" s="1">
        <v>3.1300000000000001E-2</v>
      </c>
      <c r="I406" s="1">
        <v>3.6600000000000001E-2</v>
      </c>
      <c r="J406" s="1">
        <v>7.7200000000000005E-2</v>
      </c>
      <c r="K406" s="1">
        <v>0.40799999999999997</v>
      </c>
      <c r="L406" s="1">
        <v>0.22270000000000001</v>
      </c>
      <c r="M406" s="1">
        <v>1.1599999999999999E-2</v>
      </c>
      <c r="N406" s="1">
        <v>5.5399999999999998E-2</v>
      </c>
      <c r="O406" s="1">
        <v>0.35920000000000002</v>
      </c>
      <c r="R406" s="1">
        <v>0.15759999999999999</v>
      </c>
    </row>
    <row r="407" spans="1:18">
      <c r="A407" s="25" t="s">
        <v>287</v>
      </c>
      <c r="B407" t="s">
        <v>284</v>
      </c>
      <c r="C407">
        <v>102</v>
      </c>
      <c r="D407" t="s">
        <v>189</v>
      </c>
      <c r="E407">
        <v>1779</v>
      </c>
      <c r="F407" s="1">
        <v>0.23480000000000001</v>
      </c>
      <c r="G407" s="1">
        <v>2.3E-3</v>
      </c>
      <c r="I407" s="1">
        <v>7.0900000000000005E-2</v>
      </c>
      <c r="J407" s="1">
        <v>1.9599999999999999E-2</v>
      </c>
      <c r="K407" s="1">
        <v>0.45479999999999998</v>
      </c>
      <c r="L407" s="1">
        <v>0.16950000000000001</v>
      </c>
      <c r="M407" s="1">
        <v>4.41E-2</v>
      </c>
      <c r="N407" s="1">
        <v>4.24E-2</v>
      </c>
      <c r="O407" s="1">
        <v>0.31340000000000001</v>
      </c>
      <c r="P407" s="1">
        <v>2.3999999999999998E-3</v>
      </c>
      <c r="R407" s="1">
        <v>5.6899999999999999E-2</v>
      </c>
    </row>
    <row r="408" spans="1:18">
      <c r="A408" s="25" t="s">
        <v>288</v>
      </c>
      <c r="B408" t="s">
        <v>281</v>
      </c>
      <c r="C408">
        <v>177</v>
      </c>
      <c r="D408" t="s">
        <v>189</v>
      </c>
      <c r="E408">
        <v>1779</v>
      </c>
      <c r="F408" s="1">
        <v>2.69E-2</v>
      </c>
      <c r="G408" s="1">
        <v>3.5000000000000001E-3</v>
      </c>
      <c r="H408" s="1">
        <v>1.2500000000000001E-2</v>
      </c>
      <c r="I408" s="1">
        <v>6.9199999999999998E-2</v>
      </c>
      <c r="K408" s="1">
        <v>0.24660000000000001</v>
      </c>
      <c r="L408" s="1">
        <v>0.41170000000000001</v>
      </c>
      <c r="M408" s="1">
        <v>0.11559999999999999</v>
      </c>
      <c r="N408" s="1">
        <v>8.9800000000000005E-2</v>
      </c>
      <c r="O408" s="1">
        <v>0.5363</v>
      </c>
      <c r="R408" s="1">
        <v>1.04E-2</v>
      </c>
    </row>
    <row r="409" spans="1:18">
      <c r="A409" s="25" t="s">
        <v>288</v>
      </c>
      <c r="B409" t="s">
        <v>282</v>
      </c>
      <c r="C409">
        <v>379</v>
      </c>
      <c r="D409" t="s">
        <v>189</v>
      </c>
      <c r="E409">
        <v>1779</v>
      </c>
      <c r="F409" s="1">
        <v>2.1999999999999999E-2</v>
      </c>
      <c r="G409" s="1">
        <v>4.5999999999999999E-3</v>
      </c>
      <c r="H409" s="1">
        <v>8.8999999999999999E-3</v>
      </c>
      <c r="I409" s="1">
        <v>7.2499999999999995E-2</v>
      </c>
      <c r="J409" s="1">
        <v>2.8999999999999998E-3</v>
      </c>
      <c r="K409" s="1">
        <v>0.41870000000000002</v>
      </c>
      <c r="L409" s="1">
        <v>0.22589999999999999</v>
      </c>
      <c r="M409" s="1">
        <v>0.14499999999999999</v>
      </c>
      <c r="N409" s="1">
        <v>7.6399999999999996E-2</v>
      </c>
      <c r="O409" s="1">
        <v>0.5202</v>
      </c>
      <c r="P409" s="1">
        <v>1.0800000000000001E-2</v>
      </c>
      <c r="R409" s="1">
        <v>1.24E-2</v>
      </c>
    </row>
    <row r="410" spans="1:18">
      <c r="A410" s="25" t="s">
        <v>288</v>
      </c>
      <c r="B410" t="s">
        <v>283</v>
      </c>
      <c r="C410">
        <v>353</v>
      </c>
      <c r="D410" t="s">
        <v>189</v>
      </c>
      <c r="E410">
        <v>1779</v>
      </c>
      <c r="F410" s="1">
        <v>0.13039999999999999</v>
      </c>
      <c r="G410" s="1">
        <v>8.0000000000000004E-4</v>
      </c>
      <c r="H410" s="1">
        <v>1.4500000000000001E-2</v>
      </c>
      <c r="I410" s="1">
        <v>6.6400000000000001E-2</v>
      </c>
      <c r="J410" s="1">
        <v>1.4E-3</v>
      </c>
      <c r="K410" s="1">
        <v>0.47270000000000001</v>
      </c>
      <c r="L410" s="1">
        <v>0.1452</v>
      </c>
      <c r="M410" s="1">
        <v>6.0499999999999998E-2</v>
      </c>
      <c r="N410" s="1">
        <v>4.9299999999999997E-2</v>
      </c>
      <c r="O410" s="1">
        <v>0.35599999999999998</v>
      </c>
      <c r="P410" s="1">
        <v>2.3999999999999998E-3</v>
      </c>
      <c r="Q410" s="1">
        <v>3.7000000000000002E-3</v>
      </c>
      <c r="R410" s="1">
        <v>9.2999999999999999E-2</v>
      </c>
    </row>
    <row r="411" spans="1:18">
      <c r="A411" s="25" t="s">
        <v>288</v>
      </c>
      <c r="B411" t="s">
        <v>284</v>
      </c>
      <c r="C411">
        <v>84</v>
      </c>
      <c r="D411" t="s">
        <v>189</v>
      </c>
      <c r="E411">
        <v>1779</v>
      </c>
      <c r="F411" s="1">
        <v>0.20480000000000001</v>
      </c>
      <c r="G411" s="1">
        <v>1.3299999999999999E-2</v>
      </c>
      <c r="H411" s="1">
        <v>3.0800000000000001E-2</v>
      </c>
      <c r="I411" s="1">
        <v>3.1099999999999999E-2</v>
      </c>
      <c r="K411" s="1">
        <v>0.26910000000000001</v>
      </c>
      <c r="L411" s="1">
        <v>0.1938</v>
      </c>
      <c r="M411" s="1">
        <v>7.0599999999999996E-2</v>
      </c>
      <c r="N411" s="1">
        <v>0.1203</v>
      </c>
      <c r="O411" s="1">
        <v>0.11650000000000001</v>
      </c>
      <c r="R411" s="1">
        <v>0.21970000000000001</v>
      </c>
    </row>
    <row r="412" spans="1:18">
      <c r="A412" s="25" t="s">
        <v>192</v>
      </c>
      <c r="B412" t="s">
        <v>192</v>
      </c>
      <c r="C412">
        <v>1779</v>
      </c>
      <c r="D412" t="s">
        <v>192</v>
      </c>
      <c r="E412">
        <v>1779</v>
      </c>
      <c r="F412" s="1">
        <v>7.6399999999999996E-2</v>
      </c>
      <c r="G412" s="1">
        <v>7.6E-3</v>
      </c>
      <c r="H412" s="1">
        <v>1.83E-2</v>
      </c>
      <c r="I412" s="1">
        <v>5.5100000000000003E-2</v>
      </c>
      <c r="J412" s="1">
        <v>5.5800000000000002E-2</v>
      </c>
      <c r="K412" s="1">
        <v>0.37969999999999998</v>
      </c>
      <c r="L412" s="1">
        <v>0.23449999999999999</v>
      </c>
      <c r="M412" s="1">
        <v>6.5299999999999997E-2</v>
      </c>
      <c r="N412" s="1">
        <v>7.0000000000000007E-2</v>
      </c>
      <c r="O412" s="1">
        <v>0.41289999999999999</v>
      </c>
      <c r="P412" s="1">
        <v>7.4999999999999997E-3</v>
      </c>
      <c r="Q412" s="1">
        <v>5.9999999999999995E-4</v>
      </c>
      <c r="R412" s="1">
        <v>7.5300000000000006E-2</v>
      </c>
    </row>
    <row r="414" spans="1:18" ht="72.599999999999994">
      <c r="A414" s="25" t="s">
        <v>328</v>
      </c>
    </row>
    <row r="415" spans="1:18">
      <c r="A415" s="25" t="s">
        <v>182</v>
      </c>
      <c r="B415" t="s">
        <v>219</v>
      </c>
      <c r="C415" t="s">
        <v>181</v>
      </c>
      <c r="D415" t="s">
        <v>188</v>
      </c>
      <c r="E415" t="s">
        <v>317</v>
      </c>
      <c r="F415" t="s">
        <v>241</v>
      </c>
      <c r="G415" t="s">
        <v>318</v>
      </c>
      <c r="H415" t="s">
        <v>319</v>
      </c>
      <c r="I415" t="s">
        <v>320</v>
      </c>
      <c r="J415" t="s">
        <v>321</v>
      </c>
      <c r="K415" t="s">
        <v>322</v>
      </c>
      <c r="L415" t="s">
        <v>323</v>
      </c>
      <c r="M415" t="s">
        <v>324</v>
      </c>
      <c r="N415" t="s">
        <v>325</v>
      </c>
      <c r="O415" t="s">
        <v>269</v>
      </c>
      <c r="P415" t="s">
        <v>243</v>
      </c>
      <c r="Q415" t="s">
        <v>326</v>
      </c>
    </row>
    <row r="416" spans="1:18">
      <c r="A416" s="25" t="s">
        <v>190</v>
      </c>
      <c r="B416">
        <v>883</v>
      </c>
      <c r="C416" t="s">
        <v>189</v>
      </c>
      <c r="D416">
        <v>1779</v>
      </c>
      <c r="E416" s="1">
        <v>5.5899999999999998E-2</v>
      </c>
      <c r="F416" s="1">
        <v>1.03E-2</v>
      </c>
      <c r="G416" s="1">
        <v>6.4000000000000003E-3</v>
      </c>
      <c r="H416" s="1">
        <v>0.109</v>
      </c>
      <c r="I416" s="1">
        <v>3.2500000000000001E-2</v>
      </c>
      <c r="J416" s="1">
        <v>0.63529999999999998</v>
      </c>
      <c r="K416" s="1">
        <v>0.1489</v>
      </c>
      <c r="L416" s="1">
        <v>4.8300000000000003E-2</v>
      </c>
      <c r="M416" s="1">
        <v>6.3600000000000004E-2</v>
      </c>
      <c r="N416" s="1">
        <v>0.2752</v>
      </c>
      <c r="O416" s="1">
        <v>9.2999999999999992E-3</v>
      </c>
      <c r="P416" s="1">
        <v>1.6999999999999999E-3</v>
      </c>
      <c r="Q416" s="1">
        <v>5.1400000000000001E-2</v>
      </c>
    </row>
    <row r="417" spans="1:17">
      <c r="A417" s="25" t="s">
        <v>191</v>
      </c>
      <c r="B417">
        <v>883</v>
      </c>
      <c r="C417" t="s">
        <v>189</v>
      </c>
      <c r="D417">
        <v>1779</v>
      </c>
      <c r="E417" s="1">
        <v>8.9200000000000002E-2</v>
      </c>
      <c r="F417" s="1">
        <v>5.8999999999999999E-3</v>
      </c>
      <c r="G417" s="1">
        <v>2.5700000000000001E-2</v>
      </c>
      <c r="H417" s="1">
        <v>2.1399999999999999E-2</v>
      </c>
      <c r="I417" s="1">
        <v>7.0499999999999993E-2</v>
      </c>
      <c r="J417" s="1">
        <v>0.2218</v>
      </c>
      <c r="K417" s="1">
        <v>0.28739999999999999</v>
      </c>
      <c r="L417" s="1">
        <v>7.5200000000000003E-2</v>
      </c>
      <c r="M417" s="1">
        <v>7.4099999999999999E-2</v>
      </c>
      <c r="N417" s="1">
        <v>0.49890000000000001</v>
      </c>
      <c r="O417" s="1">
        <v>6.4999999999999997E-3</v>
      </c>
      <c r="Q417" s="1">
        <v>8.9899999999999994E-2</v>
      </c>
    </row>
    <row r="418" spans="1:17">
      <c r="A418" s="25" t="s">
        <v>192</v>
      </c>
      <c r="B418">
        <v>1779</v>
      </c>
      <c r="C418" t="s">
        <v>192</v>
      </c>
      <c r="D418">
        <v>1779</v>
      </c>
      <c r="E418" s="1">
        <v>7.6399999999999996E-2</v>
      </c>
      <c r="F418" s="1">
        <v>7.6E-3</v>
      </c>
      <c r="G418" s="1">
        <v>1.83E-2</v>
      </c>
      <c r="H418" s="1">
        <v>5.5100000000000003E-2</v>
      </c>
      <c r="I418" s="1">
        <v>5.5800000000000002E-2</v>
      </c>
      <c r="J418" s="1">
        <v>0.37969999999999998</v>
      </c>
      <c r="K418" s="1">
        <v>0.23449999999999999</v>
      </c>
      <c r="L418" s="1">
        <v>6.5299999999999997E-2</v>
      </c>
      <c r="M418" s="1">
        <v>7.0000000000000007E-2</v>
      </c>
      <c r="N418" s="1">
        <v>0.41289999999999999</v>
      </c>
      <c r="O418" s="1">
        <v>7.4999999999999997E-3</v>
      </c>
      <c r="P418" s="1">
        <v>5.9999999999999995E-4</v>
      </c>
      <c r="Q418" s="1">
        <v>7.5300000000000006E-2</v>
      </c>
    </row>
    <row r="420" spans="1:17" ht="87">
      <c r="A420" s="25" t="s">
        <v>329</v>
      </c>
    </row>
    <row r="421" spans="1:17">
      <c r="A421" s="25" t="s">
        <v>182</v>
      </c>
      <c r="B421" t="s">
        <v>219</v>
      </c>
      <c r="C421" t="s">
        <v>181</v>
      </c>
      <c r="D421" t="s">
        <v>188</v>
      </c>
      <c r="E421" t="s">
        <v>317</v>
      </c>
      <c r="F421" t="s">
        <v>241</v>
      </c>
      <c r="G421" t="s">
        <v>318</v>
      </c>
      <c r="H421" t="s">
        <v>319</v>
      </c>
      <c r="I421" t="s">
        <v>320</v>
      </c>
      <c r="J421" t="s">
        <v>321</v>
      </c>
      <c r="K421" t="s">
        <v>322</v>
      </c>
      <c r="L421" t="s">
        <v>323</v>
      </c>
      <c r="M421" t="s">
        <v>324</v>
      </c>
      <c r="N421" t="s">
        <v>325</v>
      </c>
      <c r="O421" t="s">
        <v>269</v>
      </c>
      <c r="P421" t="s">
        <v>243</v>
      </c>
      <c r="Q421" t="s">
        <v>326</v>
      </c>
    </row>
    <row r="422" spans="1:17" ht="43.5">
      <c r="A422" s="25" t="s">
        <v>194</v>
      </c>
      <c r="B422">
        <v>885</v>
      </c>
      <c r="C422" t="s">
        <v>189</v>
      </c>
      <c r="D422">
        <v>1779</v>
      </c>
      <c r="E422" s="1">
        <v>6.6799999999999998E-2</v>
      </c>
      <c r="F422" s="1">
        <v>5.1999999999999998E-3</v>
      </c>
      <c r="G422" s="1">
        <v>2.1000000000000001E-2</v>
      </c>
      <c r="H422" s="1">
        <v>5.5100000000000003E-2</v>
      </c>
      <c r="I422" s="1">
        <v>6.8000000000000005E-2</v>
      </c>
      <c r="J422" s="1">
        <v>0.40500000000000003</v>
      </c>
      <c r="K422" s="1">
        <v>0.21959999999999999</v>
      </c>
      <c r="L422" s="1">
        <v>6.0900000000000003E-2</v>
      </c>
      <c r="M422" s="1">
        <v>7.5600000000000001E-2</v>
      </c>
      <c r="N422" s="1">
        <v>0.40970000000000001</v>
      </c>
      <c r="O422" s="1">
        <v>4.4000000000000003E-3</v>
      </c>
      <c r="P422" s="1">
        <v>1E-3</v>
      </c>
      <c r="Q422" s="1">
        <v>7.85E-2</v>
      </c>
    </row>
    <row r="423" spans="1:17" ht="43.5">
      <c r="A423" s="25" t="s">
        <v>195</v>
      </c>
      <c r="B423">
        <v>458</v>
      </c>
      <c r="C423" t="s">
        <v>189</v>
      </c>
      <c r="D423">
        <v>1779</v>
      </c>
      <c r="E423" s="1">
        <v>0.1125</v>
      </c>
      <c r="F423" s="1">
        <v>1.6199999999999999E-2</v>
      </c>
      <c r="G423" s="1">
        <v>8.6999999999999994E-3</v>
      </c>
      <c r="H423" s="1">
        <v>5.5100000000000003E-2</v>
      </c>
      <c r="I423" s="1">
        <v>4.8399999999999999E-2</v>
      </c>
      <c r="J423" s="1">
        <v>0.30409999999999998</v>
      </c>
      <c r="K423" s="1">
        <v>0.28199999999999997</v>
      </c>
      <c r="L423" s="1">
        <v>6.4899999999999999E-2</v>
      </c>
      <c r="M423" s="1">
        <v>7.0400000000000004E-2</v>
      </c>
      <c r="N423" s="1">
        <v>0.40250000000000002</v>
      </c>
      <c r="O423" s="1">
        <v>1.2200000000000001E-2</v>
      </c>
      <c r="Q423" s="1">
        <v>6.8500000000000005E-2</v>
      </c>
    </row>
    <row r="424" spans="1:17" ht="43.5">
      <c r="A424" s="25" t="s">
        <v>196</v>
      </c>
      <c r="B424">
        <v>423</v>
      </c>
      <c r="C424" t="s">
        <v>189</v>
      </c>
      <c r="D424">
        <v>1779</v>
      </c>
      <c r="E424" s="1">
        <v>7.1599999999999997E-2</v>
      </c>
      <c r="F424" s="1">
        <v>6.7999999999999996E-3</v>
      </c>
      <c r="G424" s="1">
        <v>1.9199999999999998E-2</v>
      </c>
      <c r="H424" s="1">
        <v>5.3600000000000002E-2</v>
      </c>
      <c r="I424" s="1">
        <v>1.12E-2</v>
      </c>
      <c r="J424" s="1">
        <v>0.36820000000000003</v>
      </c>
      <c r="K424" s="1">
        <v>0.23810000000000001</v>
      </c>
      <c r="L424" s="1">
        <v>8.3500000000000005E-2</v>
      </c>
      <c r="M424" s="1">
        <v>4.4699999999999997E-2</v>
      </c>
      <c r="N424" s="1">
        <v>0.44479999999999997</v>
      </c>
      <c r="O424" s="1">
        <v>1.55E-2</v>
      </c>
      <c r="Q424" s="1">
        <v>6.93E-2</v>
      </c>
    </row>
    <row r="425" spans="1:17">
      <c r="A425" s="25" t="s">
        <v>192</v>
      </c>
      <c r="B425">
        <v>1779</v>
      </c>
      <c r="C425" t="s">
        <v>192</v>
      </c>
      <c r="D425">
        <v>1779</v>
      </c>
      <c r="E425" s="1">
        <v>7.6399999999999996E-2</v>
      </c>
      <c r="F425" s="1">
        <v>7.6E-3</v>
      </c>
      <c r="G425" s="1">
        <v>1.83E-2</v>
      </c>
      <c r="H425" s="1">
        <v>5.5100000000000003E-2</v>
      </c>
      <c r="I425" s="1">
        <v>5.5800000000000002E-2</v>
      </c>
      <c r="J425" s="1">
        <v>0.37969999999999998</v>
      </c>
      <c r="K425" s="1">
        <v>0.23449999999999999</v>
      </c>
      <c r="L425" s="1">
        <v>6.5299999999999997E-2</v>
      </c>
      <c r="M425" s="1">
        <v>7.0000000000000007E-2</v>
      </c>
      <c r="N425" s="1">
        <v>0.41289999999999999</v>
      </c>
      <c r="O425" s="1">
        <v>7.4999999999999997E-3</v>
      </c>
      <c r="P425" s="1">
        <v>5.9999999999999995E-4</v>
      </c>
      <c r="Q425" s="1">
        <v>7.5300000000000006E-2</v>
      </c>
    </row>
    <row r="427" spans="1:17" ht="72.599999999999994">
      <c r="A427" s="25" t="s">
        <v>330</v>
      </c>
    </row>
    <row r="428" spans="1:17">
      <c r="A428" s="25" t="s">
        <v>182</v>
      </c>
      <c r="B428" t="s">
        <v>219</v>
      </c>
      <c r="C428" t="s">
        <v>181</v>
      </c>
      <c r="D428" t="s">
        <v>188</v>
      </c>
      <c r="E428" t="s">
        <v>317</v>
      </c>
      <c r="F428" t="s">
        <v>241</v>
      </c>
      <c r="G428" t="s">
        <v>318</v>
      </c>
      <c r="H428" t="s">
        <v>319</v>
      </c>
      <c r="I428" t="s">
        <v>320</v>
      </c>
      <c r="J428" t="s">
        <v>321</v>
      </c>
      <c r="K428" t="s">
        <v>322</v>
      </c>
      <c r="L428" t="s">
        <v>323</v>
      </c>
      <c r="M428" t="s">
        <v>324</v>
      </c>
      <c r="N428" t="s">
        <v>325</v>
      </c>
      <c r="O428" t="s">
        <v>269</v>
      </c>
      <c r="P428" t="s">
        <v>243</v>
      </c>
      <c r="Q428" t="s">
        <v>326</v>
      </c>
    </row>
    <row r="429" spans="1:17" ht="29.1">
      <c r="A429" s="25" t="s">
        <v>198</v>
      </c>
      <c r="B429">
        <v>359</v>
      </c>
      <c r="C429" t="s">
        <v>189</v>
      </c>
      <c r="D429">
        <v>1779</v>
      </c>
      <c r="E429" s="1">
        <v>9.7299999999999998E-2</v>
      </c>
      <c r="F429" s="1">
        <v>8.9999999999999993E-3</v>
      </c>
      <c r="G429" s="1">
        <v>1.6199999999999999E-2</v>
      </c>
      <c r="H429" s="1">
        <v>8.3099999999999993E-2</v>
      </c>
      <c r="I429" s="1">
        <v>1.8800000000000001E-2</v>
      </c>
      <c r="J429" s="1">
        <v>0.40820000000000001</v>
      </c>
      <c r="K429" s="1">
        <v>0.1862</v>
      </c>
      <c r="L429" s="1">
        <v>7.1800000000000003E-2</v>
      </c>
      <c r="M429" s="1">
        <v>3.0599999999999999E-2</v>
      </c>
      <c r="N429" s="1">
        <v>0.37459999999999999</v>
      </c>
      <c r="O429" s="1">
        <v>6.0000000000000001E-3</v>
      </c>
      <c r="P429" s="1">
        <v>3.8E-3</v>
      </c>
      <c r="Q429" s="1">
        <v>0.21390000000000001</v>
      </c>
    </row>
    <row r="430" spans="1:17" ht="29.1">
      <c r="A430" s="25" t="s">
        <v>199</v>
      </c>
      <c r="B430">
        <v>1420</v>
      </c>
      <c r="C430" t="s">
        <v>189</v>
      </c>
      <c r="D430">
        <v>1779</v>
      </c>
      <c r="E430" s="1">
        <v>7.22E-2</v>
      </c>
      <c r="F430" s="1">
        <v>7.3000000000000001E-3</v>
      </c>
      <c r="G430" s="1">
        <v>1.8700000000000001E-2</v>
      </c>
      <c r="H430" s="1">
        <v>4.9399999999999999E-2</v>
      </c>
      <c r="I430" s="1">
        <v>6.3299999999999995E-2</v>
      </c>
      <c r="J430" s="1">
        <v>0.374</v>
      </c>
      <c r="K430" s="1">
        <v>0.2442</v>
      </c>
      <c r="L430" s="1">
        <v>6.4000000000000001E-2</v>
      </c>
      <c r="M430" s="1">
        <v>7.7899999999999997E-2</v>
      </c>
      <c r="N430" s="1">
        <v>0.42059999999999997</v>
      </c>
      <c r="O430" s="1">
        <v>7.9000000000000008E-3</v>
      </c>
      <c r="Q430" s="1">
        <v>4.7500000000000001E-2</v>
      </c>
    </row>
    <row r="431" spans="1:17">
      <c r="A431" s="25" t="s">
        <v>192</v>
      </c>
      <c r="B431">
        <v>1779</v>
      </c>
      <c r="C431" t="s">
        <v>192</v>
      </c>
      <c r="D431">
        <v>1779</v>
      </c>
      <c r="E431" s="1">
        <v>7.6399999999999996E-2</v>
      </c>
      <c r="F431" s="1">
        <v>7.6E-3</v>
      </c>
      <c r="G431" s="1">
        <v>1.83E-2</v>
      </c>
      <c r="H431" s="1">
        <v>5.5100000000000003E-2</v>
      </c>
      <c r="I431" s="1">
        <v>5.5800000000000002E-2</v>
      </c>
      <c r="J431" s="1">
        <v>0.37969999999999998</v>
      </c>
      <c r="K431" s="1">
        <v>0.23449999999999999</v>
      </c>
      <c r="L431" s="1">
        <v>6.5299999999999997E-2</v>
      </c>
      <c r="M431" s="1">
        <v>7.0000000000000007E-2</v>
      </c>
      <c r="N431" s="1">
        <v>0.41289999999999999</v>
      </c>
      <c r="O431" s="1">
        <v>7.4999999999999997E-3</v>
      </c>
      <c r="P431" s="1">
        <v>5.9999999999999995E-4</v>
      </c>
      <c r="Q431" s="1">
        <v>7.5300000000000006E-2</v>
      </c>
    </row>
    <row r="433" spans="1:17" ht="72.599999999999994">
      <c r="A433" s="25" t="s">
        <v>331</v>
      </c>
    </row>
    <row r="434" spans="1:17">
      <c r="A434" s="25" t="s">
        <v>182</v>
      </c>
      <c r="B434" t="s">
        <v>219</v>
      </c>
      <c r="C434" t="s">
        <v>181</v>
      </c>
      <c r="D434" t="s">
        <v>188</v>
      </c>
      <c r="E434" t="s">
        <v>317</v>
      </c>
      <c r="F434" t="s">
        <v>241</v>
      </c>
      <c r="G434" t="s">
        <v>318</v>
      </c>
      <c r="H434" t="s">
        <v>319</v>
      </c>
      <c r="I434" t="s">
        <v>320</v>
      </c>
      <c r="J434" t="s">
        <v>321</v>
      </c>
      <c r="K434" t="s">
        <v>322</v>
      </c>
      <c r="L434" t="s">
        <v>323</v>
      </c>
      <c r="M434" t="s">
        <v>324</v>
      </c>
      <c r="N434" t="s">
        <v>325</v>
      </c>
      <c r="O434" t="s">
        <v>269</v>
      </c>
      <c r="P434" t="s">
        <v>243</v>
      </c>
      <c r="Q434" t="s">
        <v>326</v>
      </c>
    </row>
    <row r="435" spans="1:17">
      <c r="A435" s="25" t="s">
        <v>201</v>
      </c>
      <c r="B435">
        <v>237</v>
      </c>
      <c r="C435" t="s">
        <v>189</v>
      </c>
      <c r="D435">
        <v>1779</v>
      </c>
      <c r="E435" s="1">
        <v>9.3299999999999994E-2</v>
      </c>
      <c r="F435" s="1">
        <v>2.8E-3</v>
      </c>
      <c r="H435" s="1">
        <v>3.8600000000000002E-2</v>
      </c>
      <c r="I435" s="1">
        <v>3.5900000000000001E-2</v>
      </c>
      <c r="J435" s="1">
        <v>0.2757</v>
      </c>
      <c r="K435" s="1">
        <v>0.19750000000000001</v>
      </c>
      <c r="L435" s="1">
        <v>0.14330000000000001</v>
      </c>
      <c r="M435" s="1">
        <v>0.10249999999999999</v>
      </c>
      <c r="N435" s="1">
        <v>0.40279999999999999</v>
      </c>
      <c r="O435" s="1">
        <v>3.0999999999999999E-3</v>
      </c>
      <c r="Q435" s="1">
        <v>6.4000000000000001E-2</v>
      </c>
    </row>
    <row r="436" spans="1:17">
      <c r="A436" s="25" t="s">
        <v>237</v>
      </c>
      <c r="B436">
        <v>32</v>
      </c>
      <c r="C436" t="s">
        <v>189</v>
      </c>
      <c r="D436">
        <v>1779</v>
      </c>
      <c r="E436" s="1">
        <v>2.9700000000000001E-2</v>
      </c>
      <c r="H436" s="1">
        <v>9.64E-2</v>
      </c>
      <c r="I436" s="1">
        <v>6.9500000000000006E-2</v>
      </c>
      <c r="J436" s="1">
        <v>0.37219999999999998</v>
      </c>
      <c r="K436" s="1">
        <v>0.1173</v>
      </c>
      <c r="L436" s="1">
        <v>0.106</v>
      </c>
      <c r="M436" s="1">
        <v>5.1299999999999998E-2</v>
      </c>
      <c r="N436" s="1">
        <v>0.24429999999999999</v>
      </c>
      <c r="O436" s="1">
        <v>1.6400000000000001E-2</v>
      </c>
      <c r="Q436" s="1">
        <v>3.1099999999999999E-2</v>
      </c>
    </row>
    <row r="437" spans="1:17">
      <c r="A437" s="25" t="s">
        <v>203</v>
      </c>
      <c r="B437">
        <v>1193</v>
      </c>
      <c r="C437" t="s">
        <v>189</v>
      </c>
      <c r="D437">
        <v>1779</v>
      </c>
      <c r="E437" s="1">
        <v>6.9699999999999998E-2</v>
      </c>
      <c r="F437" s="1">
        <v>1.0500000000000001E-2</v>
      </c>
      <c r="G437" s="1">
        <v>2.1399999999999999E-2</v>
      </c>
      <c r="H437" s="1">
        <v>6.0299999999999999E-2</v>
      </c>
      <c r="I437" s="1">
        <v>5.4600000000000003E-2</v>
      </c>
      <c r="J437" s="1">
        <v>0.43519999999999998</v>
      </c>
      <c r="K437" s="1">
        <v>0.22450000000000001</v>
      </c>
      <c r="L437" s="1">
        <v>4.3099999999999999E-2</v>
      </c>
      <c r="M437" s="1">
        <v>7.1800000000000003E-2</v>
      </c>
      <c r="N437" s="1">
        <v>0.3972</v>
      </c>
      <c r="O437" s="1">
        <v>8.6E-3</v>
      </c>
      <c r="P437" s="1">
        <v>8.9999999999999998E-4</v>
      </c>
      <c r="Q437" s="1">
        <v>8.5400000000000004E-2</v>
      </c>
    </row>
    <row r="438" spans="1:17">
      <c r="A438" s="25" t="s">
        <v>204</v>
      </c>
      <c r="B438">
        <v>1</v>
      </c>
      <c r="C438" t="s">
        <v>189</v>
      </c>
      <c r="D438">
        <v>1779</v>
      </c>
      <c r="J438" s="1">
        <v>1</v>
      </c>
      <c r="L438" s="1">
        <v>1</v>
      </c>
      <c r="N438" s="1">
        <v>1</v>
      </c>
    </row>
    <row r="439" spans="1:17">
      <c r="A439" s="25" t="s">
        <v>205</v>
      </c>
      <c r="B439">
        <v>316</v>
      </c>
      <c r="C439" t="s">
        <v>189</v>
      </c>
      <c r="D439">
        <v>1779</v>
      </c>
      <c r="E439" s="1">
        <v>9.2200000000000004E-2</v>
      </c>
      <c r="G439" s="1">
        <v>2.1700000000000001E-2</v>
      </c>
      <c r="H439" s="1">
        <v>4.5100000000000001E-2</v>
      </c>
      <c r="I439" s="1">
        <v>7.6799999999999993E-2</v>
      </c>
      <c r="J439" s="1">
        <v>0.24030000000000001</v>
      </c>
      <c r="K439" s="1">
        <v>0.31240000000000001</v>
      </c>
      <c r="L439" s="1">
        <v>8.8200000000000001E-2</v>
      </c>
      <c r="M439" s="1">
        <v>3.6600000000000001E-2</v>
      </c>
      <c r="N439" s="1">
        <v>0.49370000000000003</v>
      </c>
      <c r="O439" s="1">
        <v>6.7000000000000002E-3</v>
      </c>
      <c r="Q439" s="1">
        <v>4.6100000000000002E-2</v>
      </c>
    </row>
    <row r="440" spans="1:17">
      <c r="A440" s="25" t="s">
        <v>192</v>
      </c>
      <c r="B440">
        <v>1779</v>
      </c>
      <c r="C440" t="s">
        <v>192</v>
      </c>
      <c r="D440">
        <v>1779</v>
      </c>
      <c r="E440" s="1">
        <v>7.6399999999999996E-2</v>
      </c>
      <c r="F440" s="1">
        <v>7.6E-3</v>
      </c>
      <c r="G440" s="1">
        <v>1.83E-2</v>
      </c>
      <c r="H440" s="1">
        <v>5.5100000000000003E-2</v>
      </c>
      <c r="I440" s="1">
        <v>5.5800000000000002E-2</v>
      </c>
      <c r="J440" s="1">
        <v>0.37969999999999998</v>
      </c>
      <c r="K440" s="1">
        <v>0.23449999999999999</v>
      </c>
      <c r="L440" s="1">
        <v>6.5299999999999997E-2</v>
      </c>
      <c r="M440" s="1">
        <v>7.0000000000000007E-2</v>
      </c>
      <c r="N440" s="1">
        <v>0.41289999999999999</v>
      </c>
      <c r="O440" s="1">
        <v>7.4999999999999997E-3</v>
      </c>
      <c r="P440" s="1">
        <v>5.9999999999999995E-4</v>
      </c>
      <c r="Q440" s="1">
        <v>7.5300000000000006E-2</v>
      </c>
    </row>
    <row r="442" spans="1:17" ht="72.599999999999994">
      <c r="A442" s="25" t="s">
        <v>332</v>
      </c>
    </row>
    <row r="443" spans="1:17">
      <c r="A443" s="25" t="s">
        <v>182</v>
      </c>
      <c r="B443" t="s">
        <v>219</v>
      </c>
      <c r="C443" t="s">
        <v>181</v>
      </c>
      <c r="D443" t="s">
        <v>188</v>
      </c>
      <c r="E443" t="s">
        <v>317</v>
      </c>
      <c r="F443" t="s">
        <v>241</v>
      </c>
      <c r="G443" t="s">
        <v>318</v>
      </c>
      <c r="H443" t="s">
        <v>319</v>
      </c>
      <c r="I443" t="s">
        <v>320</v>
      </c>
      <c r="J443" t="s">
        <v>321</v>
      </c>
      <c r="K443" t="s">
        <v>322</v>
      </c>
      <c r="L443" t="s">
        <v>323</v>
      </c>
      <c r="M443" t="s">
        <v>324</v>
      </c>
      <c r="N443" t="s">
        <v>325</v>
      </c>
      <c r="O443" t="s">
        <v>269</v>
      </c>
      <c r="P443" t="s">
        <v>243</v>
      </c>
      <c r="Q443" t="s">
        <v>326</v>
      </c>
    </row>
    <row r="444" spans="1:17">
      <c r="A444" s="25" t="s">
        <v>207</v>
      </c>
      <c r="B444">
        <v>1279</v>
      </c>
      <c r="C444" t="s">
        <v>189</v>
      </c>
      <c r="D444">
        <v>1779</v>
      </c>
      <c r="E444" s="1">
        <v>5.6599999999999998E-2</v>
      </c>
      <c r="F444" s="1">
        <v>6.1000000000000004E-3</v>
      </c>
      <c r="G444" s="1">
        <v>2.0299999999999999E-2</v>
      </c>
      <c r="H444" s="1">
        <v>4.8399999999999999E-2</v>
      </c>
      <c r="I444" s="1">
        <v>4.4900000000000002E-2</v>
      </c>
      <c r="J444" s="1">
        <v>0.37380000000000002</v>
      </c>
      <c r="K444" s="1">
        <v>0.22869999999999999</v>
      </c>
      <c r="L444" s="1">
        <v>7.6300000000000007E-2</v>
      </c>
      <c r="M444" s="1">
        <v>8.0799999999999997E-2</v>
      </c>
      <c r="N444" s="1">
        <v>0.44359999999999999</v>
      </c>
      <c r="O444" s="1">
        <v>7.4999999999999997E-3</v>
      </c>
      <c r="P444" s="1">
        <v>8.9999999999999998E-4</v>
      </c>
      <c r="Q444" s="1">
        <v>8.5900000000000004E-2</v>
      </c>
    </row>
    <row r="445" spans="1:17">
      <c r="A445" s="25" t="s">
        <v>208</v>
      </c>
      <c r="B445">
        <v>179</v>
      </c>
      <c r="C445" t="s">
        <v>189</v>
      </c>
      <c r="D445">
        <v>1779</v>
      </c>
      <c r="E445" s="1">
        <v>0.21060000000000001</v>
      </c>
      <c r="F445" s="1">
        <v>1.49E-2</v>
      </c>
      <c r="G445" s="1">
        <v>1.11E-2</v>
      </c>
      <c r="H445" s="1">
        <v>6.0699999999999997E-2</v>
      </c>
      <c r="I445" s="1">
        <v>0.1179</v>
      </c>
      <c r="J445" s="1">
        <v>0.32440000000000002</v>
      </c>
      <c r="K445" s="1">
        <v>0.32279999999999998</v>
      </c>
      <c r="L445" s="1">
        <v>2.5999999999999999E-3</v>
      </c>
      <c r="M445" s="1">
        <v>1.2999999999999999E-2</v>
      </c>
      <c r="N445" s="1">
        <v>0.3397</v>
      </c>
      <c r="Q445" s="1">
        <v>3.6499999999999998E-2</v>
      </c>
    </row>
    <row r="446" spans="1:17">
      <c r="A446" s="25" t="s">
        <v>209</v>
      </c>
      <c r="B446">
        <v>321</v>
      </c>
      <c r="C446" t="s">
        <v>189</v>
      </c>
      <c r="D446">
        <v>1779</v>
      </c>
      <c r="E446" s="1">
        <v>6.93E-2</v>
      </c>
      <c r="F446" s="1">
        <v>8.9999999999999993E-3</v>
      </c>
      <c r="G446" s="1">
        <v>1.41E-2</v>
      </c>
      <c r="H446" s="1">
        <v>8.3299999999999999E-2</v>
      </c>
      <c r="I446" s="1">
        <v>6.0999999999999999E-2</v>
      </c>
      <c r="J446" s="1">
        <v>0.45200000000000001</v>
      </c>
      <c r="K446" s="1">
        <v>0.19409999999999999</v>
      </c>
      <c r="L446" s="1">
        <v>6.0299999999999999E-2</v>
      </c>
      <c r="M446" s="1">
        <v>6.0900000000000003E-2</v>
      </c>
      <c r="N446" s="1">
        <v>0.31850000000000001</v>
      </c>
      <c r="O446" s="1">
        <v>1.38E-2</v>
      </c>
      <c r="Q446" s="1">
        <v>5.3800000000000001E-2</v>
      </c>
    </row>
    <row r="447" spans="1:17">
      <c r="A447" s="25" t="s">
        <v>192</v>
      </c>
      <c r="B447">
        <v>1779</v>
      </c>
      <c r="C447" t="s">
        <v>192</v>
      </c>
      <c r="D447">
        <v>1779</v>
      </c>
      <c r="E447" s="1">
        <v>7.6399999999999996E-2</v>
      </c>
      <c r="F447" s="1">
        <v>7.6E-3</v>
      </c>
      <c r="G447" s="1">
        <v>1.83E-2</v>
      </c>
      <c r="H447" s="1">
        <v>5.5100000000000003E-2</v>
      </c>
      <c r="I447" s="1">
        <v>5.5800000000000002E-2</v>
      </c>
      <c r="J447" s="1">
        <v>0.37969999999999998</v>
      </c>
      <c r="K447" s="1">
        <v>0.23449999999999999</v>
      </c>
      <c r="L447" s="1">
        <v>6.5299999999999997E-2</v>
      </c>
      <c r="M447" s="1">
        <v>7.0000000000000007E-2</v>
      </c>
      <c r="N447" s="1">
        <v>0.41289999999999999</v>
      </c>
      <c r="O447" s="1">
        <v>7.4999999999999997E-3</v>
      </c>
      <c r="P447" s="1">
        <v>5.9999999999999995E-4</v>
      </c>
      <c r="Q447" s="1">
        <v>7.5300000000000006E-2</v>
      </c>
    </row>
    <row r="449" spans="1:17" ht="72.599999999999994">
      <c r="A449" s="25" t="s">
        <v>333</v>
      </c>
    </row>
    <row r="450" spans="1:17">
      <c r="A450" s="25" t="s">
        <v>182</v>
      </c>
      <c r="B450" t="s">
        <v>219</v>
      </c>
      <c r="C450" t="s">
        <v>181</v>
      </c>
      <c r="D450" t="s">
        <v>188</v>
      </c>
      <c r="E450" t="s">
        <v>317</v>
      </c>
      <c r="F450" t="s">
        <v>241</v>
      </c>
      <c r="G450" t="s">
        <v>318</v>
      </c>
      <c r="H450" t="s">
        <v>319</v>
      </c>
      <c r="I450" t="s">
        <v>320</v>
      </c>
      <c r="J450" t="s">
        <v>321</v>
      </c>
      <c r="K450" t="s">
        <v>322</v>
      </c>
      <c r="L450" t="s">
        <v>323</v>
      </c>
      <c r="M450" t="s">
        <v>324</v>
      </c>
      <c r="N450" t="s">
        <v>325</v>
      </c>
      <c r="O450" t="s">
        <v>269</v>
      </c>
      <c r="P450" t="s">
        <v>243</v>
      </c>
      <c r="Q450" t="s">
        <v>326</v>
      </c>
    </row>
    <row r="451" spans="1:17">
      <c r="A451" s="25" t="s">
        <v>211</v>
      </c>
      <c r="B451">
        <v>956</v>
      </c>
      <c r="C451" t="s">
        <v>189</v>
      </c>
      <c r="D451">
        <v>1779</v>
      </c>
      <c r="E451" s="1">
        <v>6.3700000000000007E-2</v>
      </c>
      <c r="F451" s="1">
        <v>3.8E-3</v>
      </c>
      <c r="G451" s="1">
        <v>1.9300000000000001E-2</v>
      </c>
      <c r="H451" s="1">
        <v>5.74E-2</v>
      </c>
      <c r="I451" s="1">
        <v>5.6099999999999997E-2</v>
      </c>
      <c r="J451" s="1">
        <v>0.39679999999999999</v>
      </c>
      <c r="K451" s="1">
        <v>0.20910000000000001</v>
      </c>
      <c r="L451" s="1">
        <v>5.3699999999999998E-2</v>
      </c>
      <c r="M451" s="1">
        <v>6.9599999999999995E-2</v>
      </c>
      <c r="N451" s="1">
        <v>0.43819999999999998</v>
      </c>
      <c r="O451" s="1">
        <v>8.0999999999999996E-3</v>
      </c>
      <c r="Q451" s="1">
        <v>8.72E-2</v>
      </c>
    </row>
    <row r="452" spans="1:17">
      <c r="A452" s="25" t="s">
        <v>212</v>
      </c>
      <c r="B452">
        <v>470</v>
      </c>
      <c r="C452" t="s">
        <v>189</v>
      </c>
      <c r="D452">
        <v>1779</v>
      </c>
      <c r="E452" s="1">
        <v>9.1399999999999995E-2</v>
      </c>
      <c r="F452" s="1">
        <v>1.2500000000000001E-2</v>
      </c>
      <c r="G452" s="1">
        <v>1.14E-2</v>
      </c>
      <c r="H452" s="1">
        <v>6.2100000000000002E-2</v>
      </c>
      <c r="I452" s="1">
        <v>2.35E-2</v>
      </c>
      <c r="J452" s="1">
        <v>0.34</v>
      </c>
      <c r="K452" s="1">
        <v>0.28179999999999999</v>
      </c>
      <c r="L452" s="1">
        <v>0.1022</v>
      </c>
      <c r="M452" s="1">
        <v>6.3200000000000006E-2</v>
      </c>
      <c r="N452" s="1">
        <v>0.36409999999999998</v>
      </c>
      <c r="O452" s="1">
        <v>1.32E-2</v>
      </c>
      <c r="P452" s="1">
        <v>2.5000000000000001E-3</v>
      </c>
      <c r="Q452" s="1">
        <v>9.2799999999999994E-2</v>
      </c>
    </row>
    <row r="453" spans="1:17">
      <c r="A453" s="25" t="s">
        <v>213</v>
      </c>
      <c r="B453">
        <v>353</v>
      </c>
      <c r="C453" t="s">
        <v>189</v>
      </c>
      <c r="D453">
        <v>1779</v>
      </c>
      <c r="E453" s="1">
        <v>8.7499999999999994E-2</v>
      </c>
      <c r="F453" s="1">
        <v>1.04E-2</v>
      </c>
      <c r="G453" s="1">
        <v>2.3199999999999998E-2</v>
      </c>
      <c r="H453" s="1">
        <v>4.3099999999999999E-2</v>
      </c>
      <c r="I453" s="1">
        <v>8.8300000000000003E-2</v>
      </c>
      <c r="J453" s="1">
        <v>0.38479999999999998</v>
      </c>
      <c r="K453" s="1">
        <v>0.23880000000000001</v>
      </c>
      <c r="L453" s="1">
        <v>5.1700000000000003E-2</v>
      </c>
      <c r="M453" s="1">
        <v>7.7600000000000002E-2</v>
      </c>
      <c r="N453" s="1">
        <v>0.41060000000000002</v>
      </c>
      <c r="O453" s="1">
        <v>6.9999999999999999E-4</v>
      </c>
      <c r="Q453" s="1">
        <v>3.3099999999999997E-2</v>
      </c>
    </row>
    <row r="454" spans="1:17">
      <c r="A454" s="25" t="s">
        <v>192</v>
      </c>
      <c r="B454">
        <v>1779</v>
      </c>
      <c r="C454" t="s">
        <v>192</v>
      </c>
      <c r="D454">
        <v>1779</v>
      </c>
      <c r="E454" s="1">
        <v>7.6399999999999996E-2</v>
      </c>
      <c r="F454" s="1">
        <v>7.6E-3</v>
      </c>
      <c r="G454" s="1">
        <v>1.83E-2</v>
      </c>
      <c r="H454" s="1">
        <v>5.5100000000000003E-2</v>
      </c>
      <c r="I454" s="1">
        <v>5.5800000000000002E-2</v>
      </c>
      <c r="J454" s="1">
        <v>0.37969999999999998</v>
      </c>
      <c r="K454" s="1">
        <v>0.23449999999999999</v>
      </c>
      <c r="L454" s="1">
        <v>6.5299999999999997E-2</v>
      </c>
      <c r="M454" s="1">
        <v>7.0000000000000007E-2</v>
      </c>
      <c r="N454" s="1">
        <v>0.41289999999999999</v>
      </c>
      <c r="O454" s="1">
        <v>7.4999999999999997E-3</v>
      </c>
      <c r="P454" s="1">
        <v>5.9999999999999995E-4</v>
      </c>
      <c r="Q454" s="1">
        <v>7.5300000000000006E-2</v>
      </c>
    </row>
    <row r="456" spans="1:17" ht="72.599999999999994">
      <c r="A456" s="25" t="s">
        <v>334</v>
      </c>
    </row>
    <row r="457" spans="1:17">
      <c r="A457" s="25" t="s">
        <v>182</v>
      </c>
      <c r="B457" t="s">
        <v>219</v>
      </c>
      <c r="C457" t="s">
        <v>181</v>
      </c>
      <c r="D457" t="s">
        <v>188</v>
      </c>
      <c r="E457" t="s">
        <v>317</v>
      </c>
      <c r="F457" t="s">
        <v>241</v>
      </c>
      <c r="G457" t="s">
        <v>318</v>
      </c>
      <c r="H457" t="s">
        <v>319</v>
      </c>
      <c r="I457" t="s">
        <v>320</v>
      </c>
      <c r="J457" t="s">
        <v>321</v>
      </c>
      <c r="K457" t="s">
        <v>322</v>
      </c>
      <c r="L457" t="s">
        <v>323</v>
      </c>
      <c r="M457" t="s">
        <v>324</v>
      </c>
      <c r="N457" t="s">
        <v>325</v>
      </c>
      <c r="O457" t="s">
        <v>269</v>
      </c>
      <c r="P457" t="s">
        <v>243</v>
      </c>
      <c r="Q457" t="s">
        <v>326</v>
      </c>
    </row>
    <row r="458" spans="1:17">
      <c r="A458" s="25" t="s">
        <v>296</v>
      </c>
      <c r="B458">
        <v>785</v>
      </c>
      <c r="C458" t="s">
        <v>189</v>
      </c>
      <c r="D458">
        <v>1779</v>
      </c>
      <c r="E458" s="1">
        <v>4.6800000000000001E-2</v>
      </c>
      <c r="F458" s="1">
        <v>1.0500000000000001E-2</v>
      </c>
      <c r="G458" s="1">
        <v>7.3000000000000001E-3</v>
      </c>
      <c r="H458" s="1">
        <v>6.7199999999999996E-2</v>
      </c>
      <c r="I458" s="1">
        <v>6.2300000000000001E-2</v>
      </c>
      <c r="J458" s="1">
        <v>0.39710000000000001</v>
      </c>
      <c r="K458" s="1">
        <v>0.1857</v>
      </c>
      <c r="L458" s="1">
        <v>0.13980000000000001</v>
      </c>
      <c r="M458" s="1">
        <v>5.7799999999999997E-2</v>
      </c>
      <c r="N458" s="1">
        <v>0.4163</v>
      </c>
      <c r="O458" s="1">
        <v>1.6500000000000001E-2</v>
      </c>
      <c r="Q458" s="1">
        <v>3.95E-2</v>
      </c>
    </row>
    <row r="459" spans="1:17">
      <c r="A459" s="25" t="s">
        <v>297</v>
      </c>
      <c r="B459">
        <v>994</v>
      </c>
      <c r="C459" t="s">
        <v>189</v>
      </c>
      <c r="D459">
        <v>1779</v>
      </c>
      <c r="E459" s="1">
        <v>9.4399999999999998E-2</v>
      </c>
      <c r="F459" s="1">
        <v>5.7999999999999996E-3</v>
      </c>
      <c r="G459" s="1">
        <v>2.5000000000000001E-2</v>
      </c>
      <c r="H459" s="1">
        <v>4.7699999999999999E-2</v>
      </c>
      <c r="I459" s="1">
        <v>5.1900000000000002E-2</v>
      </c>
      <c r="J459" s="1">
        <v>0.36909999999999998</v>
      </c>
      <c r="K459" s="1">
        <v>0.26419999999999999</v>
      </c>
      <c r="L459" s="1">
        <v>2.01E-2</v>
      </c>
      <c r="M459" s="1">
        <v>7.7399999999999997E-2</v>
      </c>
      <c r="N459" s="1">
        <v>0.41089999999999999</v>
      </c>
      <c r="O459" s="1">
        <v>2.0999999999999999E-3</v>
      </c>
      <c r="P459" s="1">
        <v>1E-3</v>
      </c>
      <c r="Q459" s="1">
        <v>9.7100000000000006E-2</v>
      </c>
    </row>
    <row r="460" spans="1:17">
      <c r="A460" s="25" t="s">
        <v>192</v>
      </c>
      <c r="B460">
        <v>1779</v>
      </c>
      <c r="C460" t="s">
        <v>192</v>
      </c>
      <c r="D460">
        <v>1779</v>
      </c>
      <c r="E460" s="1">
        <v>7.6399999999999996E-2</v>
      </c>
      <c r="F460" s="1">
        <v>7.6E-3</v>
      </c>
      <c r="G460" s="1">
        <v>1.83E-2</v>
      </c>
      <c r="H460" s="1">
        <v>5.5100000000000003E-2</v>
      </c>
      <c r="I460" s="1">
        <v>5.5800000000000002E-2</v>
      </c>
      <c r="J460" s="1">
        <v>0.37969999999999998</v>
      </c>
      <c r="K460" s="1">
        <v>0.23449999999999999</v>
      </c>
      <c r="L460" s="1">
        <v>6.5299999999999997E-2</v>
      </c>
      <c r="M460" s="1">
        <v>7.0000000000000007E-2</v>
      </c>
      <c r="N460" s="1">
        <v>0.41289999999999999</v>
      </c>
      <c r="O460" s="1">
        <v>7.4999999999999997E-3</v>
      </c>
      <c r="P460" s="1">
        <v>5.9999999999999995E-4</v>
      </c>
      <c r="Q460" s="1">
        <v>7.5300000000000006E-2</v>
      </c>
    </row>
    <row r="462" spans="1:17" ht="72.599999999999994">
      <c r="A462" s="25" t="s">
        <v>335</v>
      </c>
    </row>
    <row r="463" spans="1:17">
      <c r="A463" s="25" t="s">
        <v>182</v>
      </c>
      <c r="B463" t="s">
        <v>219</v>
      </c>
      <c r="C463" t="s">
        <v>181</v>
      </c>
      <c r="D463" t="s">
        <v>188</v>
      </c>
      <c r="E463" t="s">
        <v>317</v>
      </c>
      <c r="F463" t="s">
        <v>241</v>
      </c>
      <c r="G463" t="s">
        <v>318</v>
      </c>
      <c r="H463" t="s">
        <v>319</v>
      </c>
      <c r="I463" t="s">
        <v>320</v>
      </c>
      <c r="J463" t="s">
        <v>321</v>
      </c>
      <c r="K463" t="s">
        <v>322</v>
      </c>
      <c r="L463" t="s">
        <v>323</v>
      </c>
      <c r="M463" t="s">
        <v>324</v>
      </c>
      <c r="N463" t="s">
        <v>325</v>
      </c>
      <c r="O463" t="s">
        <v>269</v>
      </c>
      <c r="P463" t="s">
        <v>243</v>
      </c>
      <c r="Q463" t="s">
        <v>326</v>
      </c>
    </row>
    <row r="464" spans="1:17">
      <c r="A464" s="25" t="s">
        <v>299</v>
      </c>
      <c r="B464">
        <v>77</v>
      </c>
      <c r="C464" t="s">
        <v>189</v>
      </c>
      <c r="D464">
        <v>1779</v>
      </c>
      <c r="E464" s="1">
        <v>2.8E-3</v>
      </c>
      <c r="F464" s="1">
        <v>4.1999999999999997E-3</v>
      </c>
      <c r="H464" s="1">
        <v>0.12</v>
      </c>
      <c r="J464" s="1">
        <v>0.33739999999999998</v>
      </c>
      <c r="K464" s="1">
        <v>0.1105</v>
      </c>
      <c r="L464" s="1">
        <v>0.35470000000000002</v>
      </c>
      <c r="M464" s="1">
        <v>7.9799999999999996E-2</v>
      </c>
      <c r="N464" s="1">
        <v>0.41139999999999999</v>
      </c>
      <c r="O464" s="1">
        <v>3.49E-2</v>
      </c>
      <c r="Q464" s="1">
        <v>4.7500000000000001E-2</v>
      </c>
    </row>
    <row r="465" spans="1:17">
      <c r="A465" s="25" t="s">
        <v>300</v>
      </c>
      <c r="B465">
        <v>705</v>
      </c>
      <c r="C465" t="s">
        <v>189</v>
      </c>
      <c r="D465">
        <v>1779</v>
      </c>
      <c r="E465" s="1">
        <v>5.16E-2</v>
      </c>
      <c r="F465" s="1">
        <v>1.12E-2</v>
      </c>
      <c r="G465" s="1">
        <v>8.0999999999999996E-3</v>
      </c>
      <c r="H465" s="1">
        <v>6.2199999999999998E-2</v>
      </c>
      <c r="I465" s="1">
        <v>6.9000000000000006E-2</v>
      </c>
      <c r="J465" s="1">
        <v>0.40239999999999998</v>
      </c>
      <c r="K465" s="1">
        <v>0.1918</v>
      </c>
      <c r="L465" s="1">
        <v>0.11609999999999999</v>
      </c>
      <c r="M465" s="1">
        <v>5.5800000000000002E-2</v>
      </c>
      <c r="N465" s="1">
        <v>0.41649999999999998</v>
      </c>
      <c r="O465" s="1">
        <v>1.47E-2</v>
      </c>
      <c r="Q465" s="1">
        <v>3.8899999999999997E-2</v>
      </c>
    </row>
    <row r="466" spans="1:17">
      <c r="A466" s="25" t="s">
        <v>301</v>
      </c>
      <c r="B466">
        <v>3</v>
      </c>
      <c r="C466" t="s">
        <v>189</v>
      </c>
      <c r="D466">
        <v>1779</v>
      </c>
      <c r="J466" s="1">
        <v>0.54069999999999996</v>
      </c>
      <c r="K466" s="1">
        <v>0.46239999999999998</v>
      </c>
      <c r="L466" s="1">
        <v>0.45929999999999999</v>
      </c>
      <c r="N466" s="1">
        <v>0.46239999999999998</v>
      </c>
    </row>
    <row r="467" spans="1:17">
      <c r="A467" s="25" t="s">
        <v>302</v>
      </c>
      <c r="B467">
        <v>994</v>
      </c>
      <c r="C467" t="s">
        <v>189</v>
      </c>
      <c r="D467">
        <v>1779</v>
      </c>
      <c r="E467" s="1">
        <v>9.4399999999999998E-2</v>
      </c>
      <c r="F467" s="1">
        <v>5.7999999999999996E-3</v>
      </c>
      <c r="G467" s="1">
        <v>2.5000000000000001E-2</v>
      </c>
      <c r="H467" s="1">
        <v>4.7699999999999999E-2</v>
      </c>
      <c r="I467" s="1">
        <v>5.1900000000000002E-2</v>
      </c>
      <c r="J467" s="1">
        <v>0.36909999999999998</v>
      </c>
      <c r="K467" s="1">
        <v>0.26419999999999999</v>
      </c>
      <c r="L467" s="1">
        <v>2.01E-2</v>
      </c>
      <c r="M467" s="1">
        <v>7.7399999999999997E-2</v>
      </c>
      <c r="N467" s="1">
        <v>0.41089999999999999</v>
      </c>
      <c r="O467" s="1">
        <v>2.0999999999999999E-3</v>
      </c>
      <c r="P467" s="1">
        <v>1E-3</v>
      </c>
      <c r="Q467" s="1">
        <v>9.7100000000000006E-2</v>
      </c>
    </row>
    <row r="468" spans="1:17">
      <c r="A468" s="25" t="s">
        <v>192</v>
      </c>
      <c r="B468">
        <v>1779</v>
      </c>
      <c r="C468" t="s">
        <v>192</v>
      </c>
      <c r="D468">
        <v>1779</v>
      </c>
      <c r="E468" s="1">
        <v>7.6399999999999996E-2</v>
      </c>
      <c r="F468" s="1">
        <v>7.6E-3</v>
      </c>
      <c r="G468" s="1">
        <v>1.83E-2</v>
      </c>
      <c r="H468" s="1">
        <v>5.5100000000000003E-2</v>
      </c>
      <c r="I468" s="1">
        <v>5.5800000000000002E-2</v>
      </c>
      <c r="J468" s="1">
        <v>0.37969999999999998</v>
      </c>
      <c r="K468" s="1">
        <v>0.23449999999999999</v>
      </c>
      <c r="L468" s="1">
        <v>6.5299999999999997E-2</v>
      </c>
      <c r="M468" s="1">
        <v>7.0000000000000007E-2</v>
      </c>
      <c r="N468" s="1">
        <v>0.41289999999999999</v>
      </c>
      <c r="O468" s="1">
        <v>7.4999999999999997E-3</v>
      </c>
      <c r="P468" s="1">
        <v>5.9999999999999995E-4</v>
      </c>
      <c r="Q468" s="1">
        <v>7.5300000000000006E-2</v>
      </c>
    </row>
    <row r="470" spans="1:17" ht="29.1">
      <c r="A470" s="25" t="s">
        <v>336</v>
      </c>
    </row>
    <row r="471" spans="1:17">
      <c r="A471" s="25" t="s">
        <v>182</v>
      </c>
      <c r="B471" t="s">
        <v>219</v>
      </c>
      <c r="C471" t="s">
        <v>181</v>
      </c>
      <c r="D471" t="s">
        <v>188</v>
      </c>
      <c r="E471" t="s">
        <v>337</v>
      </c>
      <c r="F471" t="s">
        <v>241</v>
      </c>
      <c r="G471" t="s">
        <v>338</v>
      </c>
      <c r="H471" t="s">
        <v>339</v>
      </c>
      <c r="I471" t="s">
        <v>340</v>
      </c>
    </row>
    <row r="472" spans="1:17">
      <c r="A472" s="25" t="s">
        <v>190</v>
      </c>
      <c r="B472">
        <v>282</v>
      </c>
      <c r="C472" t="s">
        <v>189</v>
      </c>
      <c r="D472">
        <v>589</v>
      </c>
      <c r="E472" s="1">
        <v>1.8499999999999999E-2</v>
      </c>
      <c r="F472" s="1">
        <v>2.7000000000000001E-3</v>
      </c>
      <c r="G472" s="1">
        <v>6.4999999999999997E-3</v>
      </c>
      <c r="H472" s="1">
        <v>0.96260000000000001</v>
      </c>
      <c r="I472" s="1">
        <v>9.7000000000000003E-3</v>
      </c>
    </row>
    <row r="473" spans="1:17">
      <c r="A473" s="25" t="s">
        <v>191</v>
      </c>
      <c r="B473">
        <v>303</v>
      </c>
      <c r="C473" t="s">
        <v>189</v>
      </c>
      <c r="D473">
        <v>589</v>
      </c>
      <c r="H473" s="1">
        <v>0.94440000000000002</v>
      </c>
      <c r="I473" s="1">
        <v>5.5599999999999997E-2</v>
      </c>
    </row>
    <row r="474" spans="1:17">
      <c r="A474" s="25" t="s">
        <v>192</v>
      </c>
      <c r="B474">
        <v>589</v>
      </c>
      <c r="C474" t="s">
        <v>192</v>
      </c>
      <c r="D474">
        <v>589</v>
      </c>
      <c r="E474" s="1">
        <v>6.7000000000000002E-3</v>
      </c>
      <c r="F474" s="1">
        <v>1E-3</v>
      </c>
      <c r="G474" s="1">
        <v>2.3999999999999998E-3</v>
      </c>
      <c r="H474" s="1">
        <v>0.95099999999999996</v>
      </c>
      <c r="I474" s="1">
        <v>3.8899999999999997E-2</v>
      </c>
    </row>
    <row r="476" spans="1:17" ht="43.5">
      <c r="A476" s="25" t="s">
        <v>341</v>
      </c>
    </row>
    <row r="477" spans="1:17">
      <c r="A477" s="25" t="s">
        <v>182</v>
      </c>
      <c r="B477" t="s">
        <v>219</v>
      </c>
      <c r="C477" t="s">
        <v>181</v>
      </c>
      <c r="D477" t="s">
        <v>188</v>
      </c>
      <c r="E477" t="s">
        <v>337</v>
      </c>
      <c r="F477" t="s">
        <v>241</v>
      </c>
      <c r="G477" t="s">
        <v>338</v>
      </c>
      <c r="H477" t="s">
        <v>339</v>
      </c>
      <c r="I477" t="s">
        <v>340</v>
      </c>
    </row>
    <row r="478" spans="1:17" ht="29.1">
      <c r="A478" s="25" t="s">
        <v>194</v>
      </c>
      <c r="B478">
        <v>348</v>
      </c>
      <c r="C478" t="s">
        <v>189</v>
      </c>
      <c r="D478">
        <v>589</v>
      </c>
      <c r="E478" s="1">
        <v>8.3999999999999995E-3</v>
      </c>
      <c r="F478" s="1">
        <v>1.4E-3</v>
      </c>
      <c r="G478" s="1">
        <v>3.3E-3</v>
      </c>
      <c r="H478" s="1">
        <v>0.93969999999999998</v>
      </c>
      <c r="I478" s="1">
        <v>4.7199999999999999E-2</v>
      </c>
    </row>
    <row r="479" spans="1:17" ht="29.1">
      <c r="A479" s="25" t="s">
        <v>195</v>
      </c>
      <c r="B479">
        <v>163</v>
      </c>
      <c r="C479" t="s">
        <v>189</v>
      </c>
      <c r="D479">
        <v>589</v>
      </c>
      <c r="E479" s="1">
        <v>3.5999999999999999E-3</v>
      </c>
      <c r="H479" s="1">
        <v>0.97230000000000005</v>
      </c>
      <c r="I479" s="1">
        <v>2.41E-2</v>
      </c>
    </row>
    <row r="480" spans="1:17" ht="29.1">
      <c r="A480" s="25" t="s">
        <v>196</v>
      </c>
      <c r="B480">
        <v>74</v>
      </c>
      <c r="C480" t="s">
        <v>189</v>
      </c>
      <c r="D480">
        <v>589</v>
      </c>
      <c r="H480" s="1">
        <v>0.99419999999999997</v>
      </c>
      <c r="I480" s="1">
        <v>5.7999999999999996E-3</v>
      </c>
    </row>
    <row r="481" spans="1:9">
      <c r="A481" s="25" t="s">
        <v>192</v>
      </c>
      <c r="B481">
        <v>589</v>
      </c>
      <c r="C481" t="s">
        <v>192</v>
      </c>
      <c r="D481">
        <v>589</v>
      </c>
      <c r="E481" s="1">
        <v>6.7000000000000002E-3</v>
      </c>
      <c r="F481" s="1">
        <v>1E-3</v>
      </c>
      <c r="G481" s="1">
        <v>2.3999999999999998E-3</v>
      </c>
      <c r="H481" s="1">
        <v>0.95099999999999996</v>
      </c>
      <c r="I481" s="1">
        <v>3.8899999999999997E-2</v>
      </c>
    </row>
    <row r="483" spans="1:9" ht="43.5">
      <c r="A483" s="25" t="s">
        <v>342</v>
      </c>
    </row>
    <row r="484" spans="1:9">
      <c r="A484" s="25" t="s">
        <v>182</v>
      </c>
      <c r="B484" t="s">
        <v>219</v>
      </c>
      <c r="C484" t="s">
        <v>181</v>
      </c>
      <c r="D484" t="s">
        <v>188</v>
      </c>
      <c r="E484" t="s">
        <v>337</v>
      </c>
      <c r="F484" t="s">
        <v>241</v>
      </c>
      <c r="G484" t="s">
        <v>338</v>
      </c>
      <c r="H484" t="s">
        <v>339</v>
      </c>
      <c r="I484" t="s">
        <v>340</v>
      </c>
    </row>
    <row r="485" spans="1:9">
      <c r="A485" s="25" t="s">
        <v>198</v>
      </c>
      <c r="B485">
        <v>51</v>
      </c>
      <c r="C485" t="s">
        <v>189</v>
      </c>
      <c r="D485">
        <v>589</v>
      </c>
      <c r="H485" s="1">
        <v>0.97729999999999995</v>
      </c>
      <c r="I485" s="1">
        <v>2.2700000000000001E-2</v>
      </c>
    </row>
    <row r="486" spans="1:9">
      <c r="A486" s="25" t="s">
        <v>199</v>
      </c>
      <c r="B486">
        <v>538</v>
      </c>
      <c r="C486" t="s">
        <v>189</v>
      </c>
      <c r="D486">
        <v>589</v>
      </c>
      <c r="E486" s="1">
        <v>7.1999999999999998E-3</v>
      </c>
      <c r="F486" s="1">
        <v>1.1000000000000001E-3</v>
      </c>
      <c r="G486" s="1">
        <v>2.5000000000000001E-3</v>
      </c>
      <c r="H486" s="1">
        <v>0.94920000000000004</v>
      </c>
      <c r="I486" s="1">
        <v>0.04</v>
      </c>
    </row>
    <row r="487" spans="1:9">
      <c r="A487" s="25" t="s">
        <v>192</v>
      </c>
      <c r="B487">
        <v>589</v>
      </c>
      <c r="C487" t="s">
        <v>192</v>
      </c>
      <c r="D487">
        <v>589</v>
      </c>
      <c r="E487" s="1">
        <v>6.7000000000000002E-3</v>
      </c>
      <c r="F487" s="1">
        <v>1E-3</v>
      </c>
      <c r="G487" s="1">
        <v>2.3999999999999998E-3</v>
      </c>
      <c r="H487" s="1">
        <v>0.95099999999999996</v>
      </c>
      <c r="I487" s="1">
        <v>3.8899999999999997E-2</v>
      </c>
    </row>
    <row r="489" spans="1:9" ht="43.5">
      <c r="A489" s="25" t="s">
        <v>343</v>
      </c>
    </row>
    <row r="490" spans="1:9">
      <c r="A490" s="25" t="s">
        <v>182</v>
      </c>
      <c r="B490" t="s">
        <v>219</v>
      </c>
      <c r="C490" t="s">
        <v>181</v>
      </c>
      <c r="D490" t="s">
        <v>188</v>
      </c>
      <c r="E490" t="s">
        <v>337</v>
      </c>
      <c r="F490" t="s">
        <v>241</v>
      </c>
      <c r="G490" t="s">
        <v>338</v>
      </c>
      <c r="H490" t="s">
        <v>339</v>
      </c>
      <c r="I490" t="s">
        <v>340</v>
      </c>
    </row>
    <row r="491" spans="1:9">
      <c r="A491" s="25" t="s">
        <v>201</v>
      </c>
      <c r="B491">
        <v>76</v>
      </c>
      <c r="C491" t="s">
        <v>189</v>
      </c>
      <c r="D491">
        <v>589</v>
      </c>
      <c r="E491" s="1">
        <v>6.1999999999999998E-3</v>
      </c>
      <c r="H491" s="1">
        <v>0.99380000000000002</v>
      </c>
    </row>
    <row r="492" spans="1:9">
      <c r="A492" s="25" t="s">
        <v>237</v>
      </c>
      <c r="B492">
        <v>4</v>
      </c>
      <c r="C492" t="s">
        <v>189</v>
      </c>
      <c r="D492">
        <v>589</v>
      </c>
      <c r="H492" s="1">
        <v>1</v>
      </c>
    </row>
    <row r="493" spans="1:9">
      <c r="A493" s="25" t="s">
        <v>203</v>
      </c>
      <c r="B493">
        <v>397</v>
      </c>
      <c r="C493" t="s">
        <v>189</v>
      </c>
      <c r="D493">
        <v>589</v>
      </c>
      <c r="E493" s="1">
        <v>8.8999999999999999E-3</v>
      </c>
      <c r="F493" s="1">
        <v>1.5E-3</v>
      </c>
      <c r="G493" s="1">
        <v>3.5999999999999999E-3</v>
      </c>
      <c r="H493" s="1">
        <v>0.95569999999999999</v>
      </c>
      <c r="I493" s="1">
        <v>3.0300000000000001E-2</v>
      </c>
    </row>
    <row r="494" spans="1:9">
      <c r="A494" s="25" t="s">
        <v>204</v>
      </c>
      <c r="B494">
        <v>2</v>
      </c>
      <c r="C494" t="s">
        <v>189</v>
      </c>
      <c r="D494">
        <v>589</v>
      </c>
      <c r="H494" s="1">
        <v>1</v>
      </c>
    </row>
    <row r="495" spans="1:9">
      <c r="A495" s="25" t="s">
        <v>205</v>
      </c>
      <c r="B495">
        <v>110</v>
      </c>
      <c r="C495" t="s">
        <v>189</v>
      </c>
      <c r="D495">
        <v>589</v>
      </c>
      <c r="H495" s="1">
        <v>0.90810000000000002</v>
      </c>
      <c r="I495" s="1">
        <v>9.1899999999999996E-2</v>
      </c>
    </row>
    <row r="496" spans="1:9">
      <c r="A496" s="25" t="s">
        <v>192</v>
      </c>
      <c r="B496">
        <v>589</v>
      </c>
      <c r="C496" t="s">
        <v>192</v>
      </c>
      <c r="D496">
        <v>589</v>
      </c>
      <c r="E496" s="1">
        <v>6.7000000000000002E-3</v>
      </c>
      <c r="F496" s="1">
        <v>1E-3</v>
      </c>
      <c r="G496" s="1">
        <v>2.3999999999999998E-3</v>
      </c>
      <c r="H496" s="1">
        <v>0.95099999999999996</v>
      </c>
      <c r="I496" s="1">
        <v>3.8899999999999997E-2</v>
      </c>
    </row>
    <row r="498" spans="1:9" ht="43.5">
      <c r="A498" s="25" t="s">
        <v>344</v>
      </c>
    </row>
    <row r="499" spans="1:9">
      <c r="A499" s="25" t="s">
        <v>182</v>
      </c>
      <c r="B499" t="s">
        <v>219</v>
      </c>
      <c r="C499" t="s">
        <v>181</v>
      </c>
      <c r="D499" t="s">
        <v>188</v>
      </c>
      <c r="E499" t="s">
        <v>337</v>
      </c>
      <c r="F499" t="s">
        <v>241</v>
      </c>
      <c r="G499" t="s">
        <v>338</v>
      </c>
      <c r="H499" t="s">
        <v>339</v>
      </c>
      <c r="I499" t="s">
        <v>340</v>
      </c>
    </row>
    <row r="500" spans="1:9">
      <c r="A500" s="25" t="s">
        <v>207</v>
      </c>
      <c r="B500">
        <v>357</v>
      </c>
      <c r="C500" t="s">
        <v>189</v>
      </c>
      <c r="D500">
        <v>589</v>
      </c>
      <c r="H500" s="1">
        <v>0.96589999999999998</v>
      </c>
      <c r="I500" s="1">
        <v>3.4099999999999998E-2</v>
      </c>
    </row>
    <row r="501" spans="1:9">
      <c r="A501" s="25" t="s">
        <v>209</v>
      </c>
      <c r="B501">
        <v>232</v>
      </c>
      <c r="C501" t="s">
        <v>189</v>
      </c>
      <c r="D501">
        <v>589</v>
      </c>
      <c r="E501" s="1">
        <v>2.07E-2</v>
      </c>
      <c r="F501" s="1">
        <v>3.0000000000000001E-3</v>
      </c>
      <c r="G501" s="1">
        <v>7.3000000000000001E-3</v>
      </c>
      <c r="H501" s="1">
        <v>0.92</v>
      </c>
      <c r="I501" s="1">
        <v>4.9000000000000002E-2</v>
      </c>
    </row>
    <row r="502" spans="1:9">
      <c r="A502" s="25" t="s">
        <v>192</v>
      </c>
      <c r="B502">
        <v>589</v>
      </c>
      <c r="C502" t="s">
        <v>192</v>
      </c>
      <c r="D502">
        <v>589</v>
      </c>
      <c r="E502" s="1">
        <v>6.7000000000000002E-3</v>
      </c>
      <c r="F502" s="1">
        <v>1E-3</v>
      </c>
      <c r="G502" s="1">
        <v>2.3999999999999998E-3</v>
      </c>
      <c r="H502" s="1">
        <v>0.95099999999999996</v>
      </c>
      <c r="I502" s="1">
        <v>3.8899999999999997E-2</v>
      </c>
    </row>
    <row r="504" spans="1:9" ht="43.5">
      <c r="A504" s="25" t="s">
        <v>345</v>
      </c>
    </row>
    <row r="505" spans="1:9">
      <c r="A505" s="25" t="s">
        <v>182</v>
      </c>
      <c r="B505" t="s">
        <v>219</v>
      </c>
      <c r="C505" t="s">
        <v>181</v>
      </c>
      <c r="D505" t="s">
        <v>188</v>
      </c>
      <c r="E505" t="s">
        <v>337</v>
      </c>
      <c r="F505" t="s">
        <v>241</v>
      </c>
      <c r="G505" t="s">
        <v>338</v>
      </c>
      <c r="H505" t="s">
        <v>339</v>
      </c>
      <c r="I505" t="s">
        <v>340</v>
      </c>
    </row>
    <row r="506" spans="1:9">
      <c r="A506" s="25" t="s">
        <v>211</v>
      </c>
      <c r="B506">
        <v>377</v>
      </c>
      <c r="C506" t="s">
        <v>189</v>
      </c>
      <c r="D506">
        <v>589</v>
      </c>
      <c r="E506" s="1">
        <v>7.4999999999999997E-3</v>
      </c>
      <c r="F506" s="1">
        <v>1.6000000000000001E-3</v>
      </c>
      <c r="G506" s="1">
        <v>3.8E-3</v>
      </c>
      <c r="H506" s="1">
        <v>0.93189999999999995</v>
      </c>
      <c r="I506" s="1">
        <v>5.5199999999999999E-2</v>
      </c>
    </row>
    <row r="507" spans="1:9">
      <c r="A507" s="25" t="s">
        <v>212</v>
      </c>
      <c r="B507">
        <v>120</v>
      </c>
      <c r="C507" t="s">
        <v>189</v>
      </c>
      <c r="D507">
        <v>589</v>
      </c>
      <c r="H507" s="1">
        <v>0.98919999999999997</v>
      </c>
      <c r="I507" s="1">
        <v>1.0800000000000001E-2</v>
      </c>
    </row>
    <row r="508" spans="1:9">
      <c r="A508" s="25" t="s">
        <v>213</v>
      </c>
      <c r="B508">
        <v>92</v>
      </c>
      <c r="C508" t="s">
        <v>189</v>
      </c>
      <c r="D508">
        <v>589</v>
      </c>
      <c r="E508" s="1">
        <v>1.0200000000000001E-2</v>
      </c>
      <c r="H508" s="1">
        <v>0.97760000000000002</v>
      </c>
      <c r="I508" s="1">
        <v>1.23E-2</v>
      </c>
    </row>
    <row r="509" spans="1:9">
      <c r="A509" s="25" t="s">
        <v>192</v>
      </c>
      <c r="B509">
        <v>589</v>
      </c>
      <c r="C509" t="s">
        <v>192</v>
      </c>
      <c r="D509">
        <v>589</v>
      </c>
      <c r="E509" s="1">
        <v>6.7000000000000002E-3</v>
      </c>
      <c r="F509" s="1">
        <v>1E-3</v>
      </c>
      <c r="G509" s="1">
        <v>2.3999999999999998E-3</v>
      </c>
      <c r="H509" s="1">
        <v>0.95099999999999996</v>
      </c>
      <c r="I509" s="1">
        <v>3.8899999999999997E-2</v>
      </c>
    </row>
    <row r="511" spans="1:9" ht="43.5">
      <c r="A511" s="25" t="s">
        <v>346</v>
      </c>
    </row>
    <row r="512" spans="1:9">
      <c r="A512" s="25" t="s">
        <v>182</v>
      </c>
      <c r="B512" t="s">
        <v>219</v>
      </c>
      <c r="C512" t="s">
        <v>181</v>
      </c>
      <c r="D512" t="s">
        <v>188</v>
      </c>
      <c r="E512" t="s">
        <v>337</v>
      </c>
      <c r="F512" t="s">
        <v>241</v>
      </c>
      <c r="G512" t="s">
        <v>338</v>
      </c>
      <c r="H512" t="s">
        <v>339</v>
      </c>
      <c r="I512" t="s">
        <v>340</v>
      </c>
    </row>
    <row r="513" spans="1:9">
      <c r="A513" s="25" t="s">
        <v>347</v>
      </c>
      <c r="B513">
        <v>221</v>
      </c>
      <c r="C513" t="s">
        <v>189</v>
      </c>
      <c r="D513">
        <v>589</v>
      </c>
      <c r="E513" s="1">
        <v>2.1999999999999999E-2</v>
      </c>
      <c r="H513" s="1">
        <v>0.97170000000000001</v>
      </c>
      <c r="I513" s="1">
        <v>6.3E-3</v>
      </c>
    </row>
    <row r="514" spans="1:9">
      <c r="A514" s="25" t="s">
        <v>348</v>
      </c>
      <c r="B514">
        <v>100</v>
      </c>
      <c r="C514" t="s">
        <v>189</v>
      </c>
      <c r="D514">
        <v>589</v>
      </c>
      <c r="H514" s="1">
        <v>0.9839</v>
      </c>
      <c r="I514" s="1">
        <v>1.61E-2</v>
      </c>
    </row>
    <row r="515" spans="1:9">
      <c r="A515" s="25" t="s">
        <v>349</v>
      </c>
      <c r="B515">
        <v>148</v>
      </c>
      <c r="C515" t="s">
        <v>189</v>
      </c>
      <c r="D515">
        <v>589</v>
      </c>
      <c r="F515" s="1">
        <v>3.3E-3</v>
      </c>
      <c r="H515" s="1">
        <v>0.95320000000000005</v>
      </c>
      <c r="I515" s="1">
        <v>4.3499999999999997E-2</v>
      </c>
    </row>
    <row r="516" spans="1:9">
      <c r="A516" s="25" t="s">
        <v>350</v>
      </c>
      <c r="B516">
        <v>89</v>
      </c>
      <c r="C516" t="s">
        <v>189</v>
      </c>
      <c r="D516">
        <v>589</v>
      </c>
      <c r="H516" s="1">
        <v>0.91049999999999998</v>
      </c>
      <c r="I516" s="1">
        <v>8.9499999999999996E-2</v>
      </c>
    </row>
    <row r="517" spans="1:9">
      <c r="A517" s="25" t="s">
        <v>192</v>
      </c>
      <c r="B517">
        <v>589</v>
      </c>
      <c r="C517" t="s">
        <v>192</v>
      </c>
      <c r="D517">
        <v>589</v>
      </c>
      <c r="E517" s="1">
        <v>6.7000000000000002E-3</v>
      </c>
      <c r="F517" s="1">
        <v>1E-3</v>
      </c>
      <c r="G517" s="1">
        <v>2.3999999999999998E-3</v>
      </c>
      <c r="H517" s="1">
        <v>0.95099999999999996</v>
      </c>
      <c r="I517" s="1">
        <v>3.8899999999999997E-2</v>
      </c>
    </row>
    <row r="519" spans="1:9" ht="57.95">
      <c r="A519" s="25" t="s">
        <v>351</v>
      </c>
    </row>
    <row r="520" spans="1:9">
      <c r="A520" s="25" t="s">
        <v>182</v>
      </c>
      <c r="B520" t="s">
        <v>219</v>
      </c>
      <c r="C520" t="s">
        <v>181</v>
      </c>
      <c r="D520" t="s">
        <v>188</v>
      </c>
      <c r="E520" t="s">
        <v>241</v>
      </c>
      <c r="F520" t="s">
        <v>220</v>
      </c>
      <c r="G520" t="s">
        <v>243</v>
      </c>
      <c r="H520" t="s">
        <v>221</v>
      </c>
    </row>
    <row r="521" spans="1:9">
      <c r="A521" s="25" t="s">
        <v>352</v>
      </c>
      <c r="B521">
        <v>1113</v>
      </c>
      <c r="C521" t="s">
        <v>189</v>
      </c>
      <c r="D521">
        <v>26419</v>
      </c>
      <c r="E521" s="1">
        <v>2.0999999999999999E-3</v>
      </c>
      <c r="F521" s="1">
        <v>0.54110000000000003</v>
      </c>
      <c r="H521" s="1">
        <v>0.45679999999999998</v>
      </c>
    </row>
    <row r="522" spans="1:9">
      <c r="A522" s="25" t="s">
        <v>353</v>
      </c>
      <c r="B522">
        <v>1930</v>
      </c>
      <c r="C522" t="s">
        <v>189</v>
      </c>
      <c r="D522">
        <v>26419</v>
      </c>
      <c r="E522" s="1">
        <v>5.0000000000000001E-4</v>
      </c>
      <c r="F522" s="1">
        <v>0.63119999999999998</v>
      </c>
      <c r="H522" s="1">
        <v>0.36830000000000002</v>
      </c>
    </row>
    <row r="523" spans="1:9">
      <c r="A523" s="25" t="s">
        <v>280</v>
      </c>
      <c r="B523">
        <v>934</v>
      </c>
      <c r="C523" t="s">
        <v>189</v>
      </c>
      <c r="D523">
        <v>26419</v>
      </c>
      <c r="E523" s="1">
        <v>2.0000000000000001E-4</v>
      </c>
      <c r="F523" s="1">
        <v>0.71599999999999997</v>
      </c>
      <c r="H523" s="1">
        <v>0.2838</v>
      </c>
    </row>
    <row r="524" spans="1:9">
      <c r="A524" s="25" t="s">
        <v>354</v>
      </c>
      <c r="B524">
        <v>1394</v>
      </c>
      <c r="C524" t="s">
        <v>189</v>
      </c>
      <c r="D524">
        <v>26419</v>
      </c>
      <c r="E524" s="1">
        <v>4.0000000000000002E-4</v>
      </c>
      <c r="F524" s="1">
        <v>0.78039999999999998</v>
      </c>
      <c r="G524" s="1">
        <v>1E-3</v>
      </c>
      <c r="H524" s="1">
        <v>0.21820000000000001</v>
      </c>
    </row>
    <row r="525" spans="1:9">
      <c r="A525" s="25" t="s">
        <v>355</v>
      </c>
      <c r="B525">
        <v>1099</v>
      </c>
      <c r="C525" t="s">
        <v>189</v>
      </c>
      <c r="D525">
        <v>26419</v>
      </c>
      <c r="E525" s="1">
        <v>5.5999999999999999E-3</v>
      </c>
      <c r="F525" s="1">
        <v>0.76370000000000005</v>
      </c>
      <c r="G525" s="1">
        <v>8.9999999999999998E-4</v>
      </c>
      <c r="H525" s="1">
        <v>0.2298</v>
      </c>
    </row>
    <row r="526" spans="1:9">
      <c r="A526" s="25" t="s">
        <v>356</v>
      </c>
      <c r="B526">
        <v>1528</v>
      </c>
      <c r="C526" t="s">
        <v>189</v>
      </c>
      <c r="D526">
        <v>26419</v>
      </c>
      <c r="E526" s="1">
        <v>3.7000000000000002E-3</v>
      </c>
      <c r="F526" s="1">
        <v>0.7379</v>
      </c>
      <c r="H526" s="1">
        <v>0.25840000000000002</v>
      </c>
    </row>
    <row r="527" spans="1:9">
      <c r="A527" s="25" t="s">
        <v>357</v>
      </c>
      <c r="B527">
        <v>2072</v>
      </c>
      <c r="C527" t="s">
        <v>189</v>
      </c>
      <c r="D527">
        <v>26419</v>
      </c>
      <c r="E527" s="1">
        <v>4.1999999999999997E-3</v>
      </c>
      <c r="F527" s="1">
        <v>0.71199999999999997</v>
      </c>
      <c r="G527" s="1">
        <v>4.0000000000000002E-4</v>
      </c>
      <c r="H527" s="1">
        <v>0.28339999999999999</v>
      </c>
    </row>
    <row r="528" spans="1:9">
      <c r="A528" s="25" t="s">
        <v>358</v>
      </c>
      <c r="B528">
        <v>1958</v>
      </c>
      <c r="C528" t="s">
        <v>189</v>
      </c>
      <c r="D528">
        <v>26419</v>
      </c>
      <c r="E528" s="1">
        <v>2.8E-3</v>
      </c>
      <c r="F528" s="1">
        <v>0.68030000000000002</v>
      </c>
      <c r="G528" s="1">
        <v>1.5E-3</v>
      </c>
      <c r="H528" s="1">
        <v>0.31540000000000001</v>
      </c>
    </row>
    <row r="529" spans="1:9">
      <c r="A529" s="25" t="s">
        <v>359</v>
      </c>
      <c r="B529">
        <v>1889</v>
      </c>
      <c r="C529" t="s">
        <v>189</v>
      </c>
      <c r="D529">
        <v>26419</v>
      </c>
      <c r="E529" s="1">
        <v>5.1999999999999998E-3</v>
      </c>
      <c r="F529" s="1">
        <v>0.63390000000000002</v>
      </c>
      <c r="G529" s="1">
        <v>2E-3</v>
      </c>
      <c r="H529" s="1">
        <v>0.3589</v>
      </c>
    </row>
    <row r="530" spans="1:9">
      <c r="A530" s="25" t="s">
        <v>360</v>
      </c>
      <c r="B530">
        <v>1556</v>
      </c>
      <c r="C530" t="s">
        <v>189</v>
      </c>
      <c r="D530">
        <v>26419</v>
      </c>
      <c r="E530" s="1">
        <v>2.8E-3</v>
      </c>
      <c r="F530" s="1">
        <v>0.52180000000000004</v>
      </c>
      <c r="H530" s="1">
        <v>0.47539999999999999</v>
      </c>
    </row>
    <row r="531" spans="1:9">
      <c r="A531" s="25" t="s">
        <v>361</v>
      </c>
      <c r="B531">
        <v>1792</v>
      </c>
      <c r="C531" t="s">
        <v>189</v>
      </c>
      <c r="D531">
        <v>26419</v>
      </c>
      <c r="E531" s="1">
        <v>4.4000000000000003E-3</v>
      </c>
      <c r="F531" s="1">
        <v>0.58550000000000002</v>
      </c>
      <c r="G531" s="1">
        <v>1E-4</v>
      </c>
      <c r="H531" s="1">
        <v>0.41</v>
      </c>
    </row>
    <row r="532" spans="1:9">
      <c r="A532" s="25" t="s">
        <v>362</v>
      </c>
      <c r="B532">
        <v>1700</v>
      </c>
      <c r="C532" t="s">
        <v>189</v>
      </c>
      <c r="D532">
        <v>26419</v>
      </c>
      <c r="E532" s="1">
        <v>1.9E-3</v>
      </c>
      <c r="F532" s="1">
        <v>0.51859999999999995</v>
      </c>
      <c r="G532" s="1">
        <v>6.9999999999999999E-4</v>
      </c>
      <c r="H532" s="1">
        <v>0.47870000000000001</v>
      </c>
    </row>
    <row r="533" spans="1:9">
      <c r="A533" s="25" t="s">
        <v>284</v>
      </c>
      <c r="B533">
        <v>7454</v>
      </c>
      <c r="C533" t="s">
        <v>189</v>
      </c>
      <c r="D533">
        <v>26419</v>
      </c>
      <c r="E533" s="1">
        <v>8.0000000000000004E-4</v>
      </c>
      <c r="F533" s="1">
        <v>0.36570000000000003</v>
      </c>
      <c r="G533" s="1">
        <v>4.0000000000000002E-4</v>
      </c>
      <c r="H533" s="1">
        <v>0.6331</v>
      </c>
    </row>
    <row r="534" spans="1:9">
      <c r="A534" s="25" t="s">
        <v>192</v>
      </c>
      <c r="B534">
        <v>26419</v>
      </c>
      <c r="C534" t="s">
        <v>192</v>
      </c>
      <c r="D534">
        <v>26419</v>
      </c>
      <c r="E534" s="1">
        <v>2.3999999999999998E-3</v>
      </c>
      <c r="F534" s="1">
        <v>0.57269999999999999</v>
      </c>
      <c r="G534" s="1">
        <v>5.9999999999999995E-4</v>
      </c>
      <c r="H534" s="1">
        <v>0.42430000000000001</v>
      </c>
    </row>
    <row r="536" spans="1:9" ht="57.95">
      <c r="A536" s="25" t="s">
        <v>363</v>
      </c>
    </row>
    <row r="537" spans="1:9">
      <c r="A537" s="25" t="s">
        <v>182</v>
      </c>
      <c r="B537" t="s">
        <v>286</v>
      </c>
      <c r="C537" t="s">
        <v>219</v>
      </c>
      <c r="D537" t="s">
        <v>181</v>
      </c>
      <c r="E537" t="s">
        <v>188</v>
      </c>
      <c r="F537" t="s">
        <v>241</v>
      </c>
      <c r="G537" t="s">
        <v>220</v>
      </c>
      <c r="H537" t="s">
        <v>243</v>
      </c>
      <c r="I537" t="s">
        <v>221</v>
      </c>
    </row>
    <row r="538" spans="1:9">
      <c r="A538" s="25" t="s">
        <v>287</v>
      </c>
      <c r="B538" t="s">
        <v>352</v>
      </c>
      <c r="C538">
        <v>531</v>
      </c>
      <c r="D538" t="s">
        <v>189</v>
      </c>
      <c r="E538">
        <v>26419</v>
      </c>
      <c r="F538" s="1">
        <v>2.2000000000000001E-3</v>
      </c>
      <c r="G538" s="1">
        <v>0.52590000000000003</v>
      </c>
      <c r="I538" s="1">
        <v>0.4718</v>
      </c>
    </row>
    <row r="539" spans="1:9">
      <c r="A539" s="25" t="s">
        <v>288</v>
      </c>
      <c r="B539" t="s">
        <v>361</v>
      </c>
      <c r="C539">
        <v>991</v>
      </c>
      <c r="D539" t="s">
        <v>189</v>
      </c>
      <c r="E539">
        <v>26419</v>
      </c>
      <c r="F539" s="1">
        <v>2.7000000000000001E-3</v>
      </c>
      <c r="G539" s="1">
        <v>0.58069999999999999</v>
      </c>
      <c r="I539" s="1">
        <v>0.41660000000000003</v>
      </c>
    </row>
    <row r="540" spans="1:9">
      <c r="A540" s="25" t="s">
        <v>288</v>
      </c>
      <c r="B540" t="s">
        <v>360</v>
      </c>
      <c r="C540">
        <v>786</v>
      </c>
      <c r="D540" t="s">
        <v>189</v>
      </c>
      <c r="E540">
        <v>26419</v>
      </c>
      <c r="F540" s="1">
        <v>2.7000000000000001E-3</v>
      </c>
      <c r="G540" s="1">
        <v>0.51190000000000002</v>
      </c>
      <c r="I540" s="1">
        <v>0.48530000000000001</v>
      </c>
    </row>
    <row r="541" spans="1:9">
      <c r="A541" s="25" t="s">
        <v>288</v>
      </c>
      <c r="B541" t="s">
        <v>359</v>
      </c>
      <c r="C541">
        <v>1058</v>
      </c>
      <c r="D541" t="s">
        <v>189</v>
      </c>
      <c r="E541">
        <v>26419</v>
      </c>
      <c r="F541" s="1">
        <v>5.7000000000000002E-3</v>
      </c>
      <c r="G541" s="1">
        <v>0.61950000000000005</v>
      </c>
      <c r="H541" s="1">
        <v>4.0000000000000002E-4</v>
      </c>
      <c r="I541" s="1">
        <v>0.37440000000000001</v>
      </c>
    </row>
    <row r="542" spans="1:9">
      <c r="A542" s="25" t="s">
        <v>288</v>
      </c>
      <c r="B542" t="s">
        <v>358</v>
      </c>
      <c r="C542">
        <v>1102</v>
      </c>
      <c r="D542" t="s">
        <v>189</v>
      </c>
      <c r="E542">
        <v>26419</v>
      </c>
      <c r="F542" s="1">
        <v>2E-3</v>
      </c>
      <c r="G542" s="1">
        <v>0.67959999999999998</v>
      </c>
      <c r="H542" s="1">
        <v>2.5000000000000001E-3</v>
      </c>
      <c r="I542" s="1">
        <v>0.31590000000000001</v>
      </c>
    </row>
    <row r="543" spans="1:9">
      <c r="A543" s="25" t="s">
        <v>288</v>
      </c>
      <c r="B543" t="s">
        <v>357</v>
      </c>
      <c r="C543">
        <v>1199</v>
      </c>
      <c r="D543" t="s">
        <v>189</v>
      </c>
      <c r="E543">
        <v>26419</v>
      </c>
      <c r="F543" s="1">
        <v>8.0000000000000004E-4</v>
      </c>
      <c r="G543" s="1">
        <v>0.69979999999999998</v>
      </c>
      <c r="I543" s="1">
        <v>0.2994</v>
      </c>
    </row>
    <row r="544" spans="1:9">
      <c r="A544" s="25" t="s">
        <v>288</v>
      </c>
      <c r="B544" t="s">
        <v>356</v>
      </c>
      <c r="C544">
        <v>906</v>
      </c>
      <c r="D544" t="s">
        <v>189</v>
      </c>
      <c r="E544">
        <v>26419</v>
      </c>
      <c r="F544" s="1">
        <v>3.5000000000000001E-3</v>
      </c>
      <c r="G544" s="1">
        <v>0.72960000000000003</v>
      </c>
      <c r="I544" s="1">
        <v>0.26679999999999998</v>
      </c>
    </row>
    <row r="545" spans="1:9">
      <c r="A545" s="25" t="s">
        <v>288</v>
      </c>
      <c r="B545" t="s">
        <v>355</v>
      </c>
      <c r="C545">
        <v>694</v>
      </c>
      <c r="D545" t="s">
        <v>189</v>
      </c>
      <c r="E545">
        <v>26419</v>
      </c>
      <c r="F545" s="1">
        <v>2.2000000000000001E-3</v>
      </c>
      <c r="G545" s="1">
        <v>0.74950000000000006</v>
      </c>
      <c r="I545" s="1">
        <v>0.2482</v>
      </c>
    </row>
    <row r="546" spans="1:9">
      <c r="A546" s="25" t="s">
        <v>288</v>
      </c>
      <c r="B546" t="s">
        <v>354</v>
      </c>
      <c r="C546">
        <v>721</v>
      </c>
      <c r="D546" t="s">
        <v>189</v>
      </c>
      <c r="E546">
        <v>26419</v>
      </c>
      <c r="F546" s="1">
        <v>2.0000000000000001E-4</v>
      </c>
      <c r="G546" s="1">
        <v>0.76949999999999996</v>
      </c>
      <c r="I546" s="1">
        <v>0.2303</v>
      </c>
    </row>
    <row r="547" spans="1:9">
      <c r="A547" s="25" t="s">
        <v>288</v>
      </c>
      <c r="B547" t="s">
        <v>280</v>
      </c>
      <c r="C547">
        <v>430</v>
      </c>
      <c r="D547" t="s">
        <v>189</v>
      </c>
      <c r="E547">
        <v>26419</v>
      </c>
      <c r="G547" s="1">
        <v>0.67369999999999997</v>
      </c>
      <c r="I547" s="1">
        <v>0.32629999999999998</v>
      </c>
    </row>
    <row r="548" spans="1:9">
      <c r="A548" s="25" t="s">
        <v>288</v>
      </c>
      <c r="B548" t="s">
        <v>353</v>
      </c>
      <c r="C548">
        <v>898</v>
      </c>
      <c r="D548" t="s">
        <v>189</v>
      </c>
      <c r="E548">
        <v>26419</v>
      </c>
      <c r="F548" s="1">
        <v>1.1000000000000001E-3</v>
      </c>
      <c r="G548" s="1">
        <v>0.61599999999999999</v>
      </c>
      <c r="I548" s="1">
        <v>0.38300000000000001</v>
      </c>
    </row>
    <row r="549" spans="1:9">
      <c r="A549" s="25" t="s">
        <v>288</v>
      </c>
      <c r="B549" t="s">
        <v>352</v>
      </c>
      <c r="C549">
        <v>580</v>
      </c>
      <c r="D549" t="s">
        <v>189</v>
      </c>
      <c r="E549">
        <v>26419</v>
      </c>
      <c r="F549" s="1">
        <v>1.9E-3</v>
      </c>
      <c r="G549" s="1">
        <v>0.55459999999999998</v>
      </c>
      <c r="I549" s="1">
        <v>0.44340000000000002</v>
      </c>
    </row>
    <row r="550" spans="1:9">
      <c r="A550" s="25" t="s">
        <v>243</v>
      </c>
      <c r="B550" t="s">
        <v>284</v>
      </c>
      <c r="C550">
        <v>1</v>
      </c>
      <c r="D550" t="s">
        <v>189</v>
      </c>
      <c r="E550">
        <v>26419</v>
      </c>
      <c r="I550" s="1">
        <v>1</v>
      </c>
    </row>
    <row r="551" spans="1:9">
      <c r="A551" s="25" t="s">
        <v>288</v>
      </c>
      <c r="B551" t="s">
        <v>362</v>
      </c>
      <c r="C551">
        <v>934</v>
      </c>
      <c r="D551" t="s">
        <v>189</v>
      </c>
      <c r="E551">
        <v>26419</v>
      </c>
      <c r="F551" s="1">
        <v>1.6000000000000001E-3</v>
      </c>
      <c r="G551" s="1">
        <v>0.48359999999999997</v>
      </c>
      <c r="H551" s="1">
        <v>1.2999999999999999E-3</v>
      </c>
      <c r="I551" s="1">
        <v>0.51339999999999997</v>
      </c>
    </row>
    <row r="552" spans="1:9">
      <c r="A552" s="25" t="s">
        <v>243</v>
      </c>
      <c r="B552" t="s">
        <v>359</v>
      </c>
      <c r="C552">
        <v>1</v>
      </c>
      <c r="D552" t="s">
        <v>189</v>
      </c>
      <c r="E552">
        <v>26419</v>
      </c>
      <c r="I552" s="1">
        <v>1</v>
      </c>
    </row>
    <row r="553" spans="1:9">
      <c r="A553" s="25" t="s">
        <v>243</v>
      </c>
      <c r="B553" t="s">
        <v>352</v>
      </c>
      <c r="C553">
        <v>2</v>
      </c>
      <c r="D553" t="s">
        <v>189</v>
      </c>
      <c r="E553">
        <v>26419</v>
      </c>
      <c r="G553" s="1">
        <v>1</v>
      </c>
    </row>
    <row r="554" spans="1:9">
      <c r="A554" s="25" t="s">
        <v>287</v>
      </c>
      <c r="B554" t="s">
        <v>284</v>
      </c>
      <c r="C554">
        <v>2950</v>
      </c>
      <c r="D554" t="s">
        <v>189</v>
      </c>
      <c r="E554">
        <v>26419</v>
      </c>
      <c r="F554" s="1">
        <v>2.9999999999999997E-4</v>
      </c>
      <c r="G554" s="1">
        <v>0.42880000000000001</v>
      </c>
      <c r="H554" s="1">
        <v>5.9999999999999995E-4</v>
      </c>
      <c r="I554" s="1">
        <v>0.57030000000000003</v>
      </c>
    </row>
    <row r="555" spans="1:9">
      <c r="A555" s="25" t="s">
        <v>287</v>
      </c>
      <c r="B555" t="s">
        <v>362</v>
      </c>
      <c r="C555">
        <v>766</v>
      </c>
      <c r="D555" t="s">
        <v>189</v>
      </c>
      <c r="E555">
        <v>26419</v>
      </c>
      <c r="F555" s="1">
        <v>2.2000000000000001E-3</v>
      </c>
      <c r="G555" s="1">
        <v>0.56169999999999998</v>
      </c>
      <c r="I555" s="1">
        <v>0.43609999999999999</v>
      </c>
    </row>
    <row r="556" spans="1:9">
      <c r="A556" s="25" t="s">
        <v>287</v>
      </c>
      <c r="B556" t="s">
        <v>361</v>
      </c>
      <c r="C556">
        <v>801</v>
      </c>
      <c r="D556" t="s">
        <v>189</v>
      </c>
      <c r="E556">
        <v>26419</v>
      </c>
      <c r="F556" s="1">
        <v>6.4000000000000003E-3</v>
      </c>
      <c r="G556" s="1">
        <v>0.59130000000000005</v>
      </c>
      <c r="H556" s="1">
        <v>2.9999999999999997E-4</v>
      </c>
      <c r="I556" s="1">
        <v>0.40210000000000001</v>
      </c>
    </row>
    <row r="557" spans="1:9">
      <c r="A557" s="25" t="s">
        <v>287</v>
      </c>
      <c r="B557" t="s">
        <v>360</v>
      </c>
      <c r="C557">
        <v>770</v>
      </c>
      <c r="D557" t="s">
        <v>189</v>
      </c>
      <c r="E557">
        <v>26419</v>
      </c>
      <c r="F557" s="1">
        <v>2.8E-3</v>
      </c>
      <c r="G557" s="1">
        <v>0.53149999999999997</v>
      </c>
      <c r="I557" s="1">
        <v>0.4657</v>
      </c>
    </row>
    <row r="558" spans="1:9">
      <c r="A558" s="25" t="s">
        <v>287</v>
      </c>
      <c r="B558" t="s">
        <v>359</v>
      </c>
      <c r="C558">
        <v>830</v>
      </c>
      <c r="D558" t="s">
        <v>189</v>
      </c>
      <c r="E558">
        <v>26419</v>
      </c>
      <c r="F558" s="1">
        <v>4.5999999999999999E-3</v>
      </c>
      <c r="G558" s="1">
        <v>0.65139999999999998</v>
      </c>
      <c r="H558" s="1">
        <v>3.8999999999999998E-3</v>
      </c>
      <c r="I558" s="1">
        <v>0.34010000000000001</v>
      </c>
    </row>
    <row r="559" spans="1:9">
      <c r="A559" s="25" t="s">
        <v>287</v>
      </c>
      <c r="B559" t="s">
        <v>358</v>
      </c>
      <c r="C559">
        <v>855</v>
      </c>
      <c r="D559" t="s">
        <v>189</v>
      </c>
      <c r="E559">
        <v>26419</v>
      </c>
      <c r="F559" s="1">
        <v>3.8E-3</v>
      </c>
      <c r="G559" s="1">
        <v>0.68149999999999999</v>
      </c>
      <c r="H559" s="1">
        <v>2.9999999999999997E-4</v>
      </c>
      <c r="I559" s="1">
        <v>0.31440000000000001</v>
      </c>
    </row>
    <row r="560" spans="1:9">
      <c r="A560" s="25" t="s">
        <v>287</v>
      </c>
      <c r="B560" t="s">
        <v>357</v>
      </c>
      <c r="C560">
        <v>873</v>
      </c>
      <c r="D560" t="s">
        <v>189</v>
      </c>
      <c r="E560">
        <v>26419</v>
      </c>
      <c r="F560" s="1">
        <v>8.5000000000000006E-3</v>
      </c>
      <c r="G560" s="1">
        <v>0.72760000000000002</v>
      </c>
      <c r="H560" s="1">
        <v>8.0000000000000004E-4</v>
      </c>
      <c r="I560" s="1">
        <v>0.2631</v>
      </c>
    </row>
    <row r="561" spans="1:9">
      <c r="A561" s="25" t="s">
        <v>287</v>
      </c>
      <c r="B561" t="s">
        <v>356</v>
      </c>
      <c r="C561">
        <v>622</v>
      </c>
      <c r="D561" t="s">
        <v>189</v>
      </c>
      <c r="E561">
        <v>26419</v>
      </c>
      <c r="F561" s="1">
        <v>3.8999999999999998E-3</v>
      </c>
      <c r="G561" s="1">
        <v>0.74980000000000002</v>
      </c>
      <c r="I561" s="1">
        <v>0.24629999999999999</v>
      </c>
    </row>
    <row r="562" spans="1:9">
      <c r="A562" s="25" t="s">
        <v>287</v>
      </c>
      <c r="B562" t="s">
        <v>355</v>
      </c>
      <c r="C562">
        <v>405</v>
      </c>
      <c r="D562" t="s">
        <v>189</v>
      </c>
      <c r="E562">
        <v>26419</v>
      </c>
      <c r="F562" s="1">
        <v>1.06E-2</v>
      </c>
      <c r="G562" s="1">
        <v>0.78500000000000003</v>
      </c>
      <c r="H562" s="1">
        <v>2.2000000000000001E-3</v>
      </c>
      <c r="I562" s="1">
        <v>0.20219999999999999</v>
      </c>
    </row>
    <row r="563" spans="1:9">
      <c r="A563" s="25" t="s">
        <v>287</v>
      </c>
      <c r="B563" t="s">
        <v>354</v>
      </c>
      <c r="C563">
        <v>673</v>
      </c>
      <c r="D563" t="s">
        <v>189</v>
      </c>
      <c r="E563">
        <v>26419</v>
      </c>
      <c r="F563" s="1">
        <v>6.9999999999999999E-4</v>
      </c>
      <c r="G563" s="1">
        <v>0.79400000000000004</v>
      </c>
      <c r="H563" s="1">
        <v>2.0999999999999999E-3</v>
      </c>
      <c r="I563" s="1">
        <v>0.20319999999999999</v>
      </c>
    </row>
    <row r="564" spans="1:9">
      <c r="A564" s="25" t="s">
        <v>287</v>
      </c>
      <c r="B564" t="s">
        <v>280</v>
      </c>
      <c r="C564">
        <v>504</v>
      </c>
      <c r="D564" t="s">
        <v>189</v>
      </c>
      <c r="E564">
        <v>26419</v>
      </c>
      <c r="F564" s="1">
        <v>4.0000000000000002E-4</v>
      </c>
      <c r="G564" s="1">
        <v>0.74909999999999999</v>
      </c>
      <c r="I564" s="1">
        <v>0.25059999999999999</v>
      </c>
    </row>
    <row r="565" spans="1:9">
      <c r="A565" s="25" t="s">
        <v>287</v>
      </c>
      <c r="B565" t="s">
        <v>353</v>
      </c>
      <c r="C565">
        <v>1032</v>
      </c>
      <c r="D565" t="s">
        <v>189</v>
      </c>
      <c r="E565">
        <v>26419</v>
      </c>
      <c r="G565" s="1">
        <v>0.64339999999999997</v>
      </c>
      <c r="I565" s="1">
        <v>0.35659999999999997</v>
      </c>
    </row>
    <row r="566" spans="1:9">
      <c r="A566" s="25" t="s">
        <v>243</v>
      </c>
      <c r="B566" t="s">
        <v>358</v>
      </c>
      <c r="C566">
        <v>1</v>
      </c>
      <c r="D566" t="s">
        <v>189</v>
      </c>
      <c r="E566">
        <v>26419</v>
      </c>
      <c r="I566" s="1">
        <v>1</v>
      </c>
    </row>
    <row r="567" spans="1:9">
      <c r="A567" s="25" t="s">
        <v>288</v>
      </c>
      <c r="B567" t="s">
        <v>284</v>
      </c>
      <c r="C567">
        <v>4503</v>
      </c>
      <c r="D567" t="s">
        <v>189</v>
      </c>
      <c r="E567">
        <v>26419</v>
      </c>
      <c r="F567" s="1">
        <v>1.1999999999999999E-3</v>
      </c>
      <c r="G567" s="1">
        <v>0.3246</v>
      </c>
      <c r="H567" s="1">
        <v>4.0000000000000002E-4</v>
      </c>
      <c r="I567" s="1">
        <v>0.67390000000000005</v>
      </c>
    </row>
    <row r="568" spans="1:9">
      <c r="A568" s="25" t="s">
        <v>192</v>
      </c>
      <c r="B568" t="s">
        <v>192</v>
      </c>
      <c r="C568">
        <v>26419</v>
      </c>
      <c r="D568" t="s">
        <v>192</v>
      </c>
      <c r="E568">
        <v>26419</v>
      </c>
      <c r="F568" s="1">
        <v>2.3999999999999998E-3</v>
      </c>
      <c r="G568" s="1">
        <v>0.57269999999999999</v>
      </c>
      <c r="H568" s="1">
        <v>5.9999999999999995E-4</v>
      </c>
      <c r="I568" s="1">
        <v>0.42430000000000001</v>
      </c>
    </row>
    <row r="570" spans="1:9" ht="43.5">
      <c r="A570" s="25" t="s">
        <v>364</v>
      </c>
    </row>
    <row r="571" spans="1:9">
      <c r="A571" s="25" t="s">
        <v>182</v>
      </c>
      <c r="B571" t="s">
        <v>219</v>
      </c>
      <c r="C571" t="s">
        <v>181</v>
      </c>
      <c r="D571" t="s">
        <v>188</v>
      </c>
      <c r="E571" t="s">
        <v>241</v>
      </c>
      <c r="F571" t="s">
        <v>220</v>
      </c>
      <c r="G571" t="s">
        <v>243</v>
      </c>
      <c r="H571" t="s">
        <v>221</v>
      </c>
    </row>
    <row r="572" spans="1:9">
      <c r="A572" s="25" t="s">
        <v>190</v>
      </c>
      <c r="B572">
        <v>13001</v>
      </c>
      <c r="C572" t="s">
        <v>189</v>
      </c>
      <c r="D572">
        <v>26419</v>
      </c>
      <c r="E572" s="1">
        <v>3.3E-3</v>
      </c>
      <c r="F572" s="1">
        <v>0.56989999999999996</v>
      </c>
      <c r="G572" s="1">
        <v>5.9999999999999995E-4</v>
      </c>
      <c r="H572" s="1">
        <v>0.42620000000000002</v>
      </c>
    </row>
    <row r="573" spans="1:9">
      <c r="A573" s="25" t="s">
        <v>191</v>
      </c>
      <c r="B573">
        <v>13249</v>
      </c>
      <c r="C573" t="s">
        <v>189</v>
      </c>
      <c r="D573">
        <v>26419</v>
      </c>
      <c r="E573" s="1">
        <v>1.6999999999999999E-3</v>
      </c>
      <c r="F573" s="1">
        <v>0.57469999999999999</v>
      </c>
      <c r="G573" s="1">
        <v>5.0000000000000001E-4</v>
      </c>
      <c r="H573" s="1">
        <v>0.42309999999999998</v>
      </c>
    </row>
    <row r="574" spans="1:9">
      <c r="A574" s="25" t="s">
        <v>192</v>
      </c>
      <c r="B574">
        <v>26419</v>
      </c>
      <c r="C574" t="s">
        <v>192</v>
      </c>
      <c r="D574">
        <v>26419</v>
      </c>
      <c r="E574" s="1">
        <v>2.3999999999999998E-3</v>
      </c>
      <c r="F574" s="1">
        <v>0.57269999999999999</v>
      </c>
      <c r="G574" s="1">
        <v>5.9999999999999995E-4</v>
      </c>
      <c r="H574" s="1">
        <v>0.42430000000000001</v>
      </c>
    </row>
    <row r="576" spans="1:9" ht="57.95">
      <c r="A576" s="25" t="s">
        <v>365</v>
      </c>
    </row>
    <row r="577" spans="1:8">
      <c r="A577" s="25" t="s">
        <v>182</v>
      </c>
      <c r="B577" t="s">
        <v>219</v>
      </c>
      <c r="C577" t="s">
        <v>181</v>
      </c>
      <c r="D577" t="s">
        <v>188</v>
      </c>
      <c r="E577" t="s">
        <v>241</v>
      </c>
      <c r="F577" t="s">
        <v>220</v>
      </c>
      <c r="G577" t="s">
        <v>243</v>
      </c>
      <c r="H577" t="s">
        <v>221</v>
      </c>
    </row>
    <row r="578" spans="1:8" ht="29.1">
      <c r="A578" s="25" t="s">
        <v>194</v>
      </c>
      <c r="B578">
        <v>15043</v>
      </c>
      <c r="C578" t="s">
        <v>189</v>
      </c>
      <c r="D578">
        <v>26419</v>
      </c>
      <c r="E578" s="1">
        <v>2.7000000000000001E-3</v>
      </c>
      <c r="F578" s="1">
        <v>0.5605</v>
      </c>
      <c r="G578" s="1">
        <v>5.9999999999999995E-4</v>
      </c>
      <c r="H578" s="1">
        <v>0.43630000000000002</v>
      </c>
    </row>
    <row r="579" spans="1:8" ht="29.1">
      <c r="A579" s="25" t="s">
        <v>195</v>
      </c>
      <c r="B579">
        <v>6687</v>
      </c>
      <c r="C579" t="s">
        <v>189</v>
      </c>
      <c r="D579">
        <v>26419</v>
      </c>
      <c r="E579" s="1">
        <v>1.1999999999999999E-3</v>
      </c>
      <c r="F579" s="1">
        <v>0.61240000000000006</v>
      </c>
      <c r="G579" s="1">
        <v>5.0000000000000001E-4</v>
      </c>
      <c r="H579" s="1">
        <v>0.38590000000000002</v>
      </c>
    </row>
    <row r="580" spans="1:8" ht="29.1">
      <c r="A580" s="25" t="s">
        <v>196</v>
      </c>
      <c r="B580">
        <v>4520</v>
      </c>
      <c r="C580" t="s">
        <v>189</v>
      </c>
      <c r="D580">
        <v>26419</v>
      </c>
      <c r="E580" s="1">
        <v>2.3E-3</v>
      </c>
      <c r="F580" s="1">
        <v>0.58660000000000001</v>
      </c>
      <c r="G580" s="1">
        <v>5.9999999999999995E-4</v>
      </c>
      <c r="H580" s="1">
        <v>0.41049999999999998</v>
      </c>
    </row>
    <row r="581" spans="1:8">
      <c r="A581" s="25" t="s">
        <v>192</v>
      </c>
      <c r="B581">
        <v>26419</v>
      </c>
      <c r="C581" t="s">
        <v>192</v>
      </c>
      <c r="D581">
        <v>26419</v>
      </c>
      <c r="E581" s="1">
        <v>2.3999999999999998E-3</v>
      </c>
      <c r="F581" s="1">
        <v>0.57269999999999999</v>
      </c>
      <c r="G581" s="1">
        <v>5.9999999999999995E-4</v>
      </c>
      <c r="H581" s="1">
        <v>0.42430000000000001</v>
      </c>
    </row>
    <row r="583" spans="1:8" ht="57.95">
      <c r="A583" s="25" t="s">
        <v>366</v>
      </c>
    </row>
    <row r="584" spans="1:8">
      <c r="A584" s="25" t="s">
        <v>182</v>
      </c>
      <c r="B584" t="s">
        <v>219</v>
      </c>
      <c r="C584" t="s">
        <v>181</v>
      </c>
      <c r="D584" t="s">
        <v>188</v>
      </c>
      <c r="E584" t="s">
        <v>241</v>
      </c>
      <c r="F584" t="s">
        <v>220</v>
      </c>
      <c r="G584" t="s">
        <v>243</v>
      </c>
      <c r="H584" t="s">
        <v>221</v>
      </c>
    </row>
    <row r="585" spans="1:8">
      <c r="A585" s="25" t="s">
        <v>198</v>
      </c>
      <c r="B585">
        <v>5529</v>
      </c>
      <c r="C585" t="s">
        <v>189</v>
      </c>
      <c r="D585">
        <v>26419</v>
      </c>
      <c r="E585" s="1">
        <v>2.8E-3</v>
      </c>
      <c r="F585" s="1">
        <v>0.38150000000000001</v>
      </c>
      <c r="G585" s="1">
        <v>5.0000000000000001E-4</v>
      </c>
      <c r="H585" s="1">
        <v>0.61519999999999997</v>
      </c>
    </row>
    <row r="586" spans="1:8">
      <c r="A586" s="25" t="s">
        <v>199</v>
      </c>
      <c r="B586">
        <v>20890</v>
      </c>
      <c r="C586" t="s">
        <v>189</v>
      </c>
      <c r="D586">
        <v>26419</v>
      </c>
      <c r="E586" s="1">
        <v>2.3E-3</v>
      </c>
      <c r="F586" s="1">
        <v>0.61350000000000005</v>
      </c>
      <c r="G586" s="1">
        <v>5.9999999999999995E-4</v>
      </c>
      <c r="H586" s="1">
        <v>0.38369999999999999</v>
      </c>
    </row>
    <row r="587" spans="1:8">
      <c r="A587" s="25" t="s">
        <v>192</v>
      </c>
      <c r="B587">
        <v>26419</v>
      </c>
      <c r="C587" t="s">
        <v>192</v>
      </c>
      <c r="D587">
        <v>26419</v>
      </c>
      <c r="E587" s="1">
        <v>2.3999999999999998E-3</v>
      </c>
      <c r="F587" s="1">
        <v>0.57269999999999999</v>
      </c>
      <c r="G587" s="1">
        <v>5.9999999999999995E-4</v>
      </c>
      <c r="H587" s="1">
        <v>0.42430000000000001</v>
      </c>
    </row>
    <row r="589" spans="1:8" ht="57.95">
      <c r="A589" s="25" t="s">
        <v>367</v>
      </c>
    </row>
    <row r="590" spans="1:8">
      <c r="A590" s="25" t="s">
        <v>182</v>
      </c>
      <c r="B590" t="s">
        <v>219</v>
      </c>
      <c r="C590" t="s">
        <v>181</v>
      </c>
      <c r="D590" t="s">
        <v>188</v>
      </c>
      <c r="E590" t="s">
        <v>241</v>
      </c>
      <c r="F590" t="s">
        <v>220</v>
      </c>
      <c r="G590" t="s">
        <v>243</v>
      </c>
      <c r="H590" t="s">
        <v>221</v>
      </c>
    </row>
    <row r="591" spans="1:8">
      <c r="A591" s="25" t="s">
        <v>201</v>
      </c>
      <c r="B591">
        <v>2153</v>
      </c>
      <c r="C591" t="s">
        <v>189</v>
      </c>
      <c r="D591">
        <v>26419</v>
      </c>
      <c r="E591" s="1">
        <v>8.9999999999999998E-4</v>
      </c>
      <c r="F591" s="1">
        <v>0.59360000000000002</v>
      </c>
      <c r="H591" s="1">
        <v>0.40550000000000003</v>
      </c>
    </row>
    <row r="592" spans="1:8">
      <c r="A592" s="25" t="s">
        <v>237</v>
      </c>
      <c r="B592">
        <v>306</v>
      </c>
      <c r="C592" t="s">
        <v>189</v>
      </c>
      <c r="D592">
        <v>26419</v>
      </c>
      <c r="E592" s="1">
        <v>1.2999999999999999E-3</v>
      </c>
      <c r="F592" s="1">
        <v>0.61799999999999999</v>
      </c>
      <c r="H592" s="1">
        <v>0.38069999999999998</v>
      </c>
    </row>
    <row r="593" spans="1:8">
      <c r="A593" s="25" t="s">
        <v>203</v>
      </c>
      <c r="B593">
        <v>19688</v>
      </c>
      <c r="C593" t="s">
        <v>189</v>
      </c>
      <c r="D593">
        <v>26419</v>
      </c>
      <c r="E593" s="1">
        <v>2.3E-3</v>
      </c>
      <c r="F593" s="1">
        <v>0.57179999999999997</v>
      </c>
      <c r="G593" s="1">
        <v>4.0000000000000002E-4</v>
      </c>
      <c r="H593" s="1">
        <v>0.42549999999999999</v>
      </c>
    </row>
    <row r="594" spans="1:8">
      <c r="A594" s="25" t="s">
        <v>204</v>
      </c>
      <c r="B594">
        <v>69</v>
      </c>
      <c r="C594" t="s">
        <v>189</v>
      </c>
      <c r="D594">
        <v>26419</v>
      </c>
      <c r="E594" s="1">
        <v>1.55E-2</v>
      </c>
      <c r="F594" s="1">
        <v>0.58130000000000004</v>
      </c>
      <c r="H594" s="1">
        <v>0.40310000000000001</v>
      </c>
    </row>
    <row r="595" spans="1:8">
      <c r="A595" s="25" t="s">
        <v>205</v>
      </c>
      <c r="B595">
        <v>4203</v>
      </c>
      <c r="C595" t="s">
        <v>189</v>
      </c>
      <c r="D595">
        <v>26419</v>
      </c>
      <c r="E595" s="1">
        <v>3.2000000000000002E-3</v>
      </c>
      <c r="F595" s="1">
        <v>0.56459999999999999</v>
      </c>
      <c r="G595" s="1">
        <v>1.6000000000000001E-3</v>
      </c>
      <c r="H595" s="1">
        <v>0.43059999999999998</v>
      </c>
    </row>
    <row r="596" spans="1:8">
      <c r="A596" s="25" t="s">
        <v>192</v>
      </c>
      <c r="B596">
        <v>26419</v>
      </c>
      <c r="C596" t="s">
        <v>192</v>
      </c>
      <c r="D596">
        <v>26419</v>
      </c>
      <c r="E596" s="1">
        <v>2.3999999999999998E-3</v>
      </c>
      <c r="F596" s="1">
        <v>0.57269999999999999</v>
      </c>
      <c r="G596" s="1">
        <v>5.9999999999999995E-4</v>
      </c>
      <c r="H596" s="1">
        <v>0.42430000000000001</v>
      </c>
    </row>
    <row r="598" spans="1:8" ht="57.95">
      <c r="A598" s="25" t="s">
        <v>368</v>
      </c>
    </row>
    <row r="599" spans="1:8">
      <c r="A599" s="25" t="s">
        <v>182</v>
      </c>
      <c r="B599" t="s">
        <v>219</v>
      </c>
      <c r="C599" t="s">
        <v>181</v>
      </c>
      <c r="D599" t="s">
        <v>188</v>
      </c>
      <c r="E599" t="s">
        <v>241</v>
      </c>
      <c r="F599" t="s">
        <v>220</v>
      </c>
      <c r="G599" t="s">
        <v>243</v>
      </c>
      <c r="H599" t="s">
        <v>221</v>
      </c>
    </row>
    <row r="600" spans="1:8">
      <c r="A600" s="25" t="s">
        <v>207</v>
      </c>
      <c r="B600">
        <v>18994</v>
      </c>
      <c r="C600" t="s">
        <v>189</v>
      </c>
      <c r="D600">
        <v>26419</v>
      </c>
      <c r="E600" s="1">
        <v>2.3E-3</v>
      </c>
      <c r="F600" s="1">
        <v>0.57499999999999996</v>
      </c>
      <c r="G600" s="1">
        <v>5.9999999999999995E-4</v>
      </c>
      <c r="H600" s="1">
        <v>0.42209999999999998</v>
      </c>
    </row>
    <row r="601" spans="1:8">
      <c r="A601" s="25" t="s">
        <v>208</v>
      </c>
      <c r="B601">
        <v>2241</v>
      </c>
      <c r="C601" t="s">
        <v>189</v>
      </c>
      <c r="D601">
        <v>26419</v>
      </c>
      <c r="E601" s="1">
        <v>2.0000000000000001E-4</v>
      </c>
      <c r="F601" s="1">
        <v>0.43940000000000001</v>
      </c>
      <c r="G601" s="1">
        <v>1.2999999999999999E-3</v>
      </c>
      <c r="H601" s="1">
        <v>0.55910000000000004</v>
      </c>
    </row>
    <row r="602" spans="1:8">
      <c r="A602" s="25" t="s">
        <v>209</v>
      </c>
      <c r="B602">
        <v>5184</v>
      </c>
      <c r="C602" t="s">
        <v>189</v>
      </c>
      <c r="D602">
        <v>26419</v>
      </c>
      <c r="E602" s="1">
        <v>3.5000000000000001E-3</v>
      </c>
      <c r="F602" s="1">
        <v>0.63280000000000003</v>
      </c>
      <c r="G602" s="1">
        <v>1E-4</v>
      </c>
      <c r="H602" s="1">
        <v>0.36359999999999998</v>
      </c>
    </row>
    <row r="603" spans="1:8">
      <c r="A603" s="25" t="s">
        <v>192</v>
      </c>
      <c r="B603">
        <v>26419</v>
      </c>
      <c r="C603" t="s">
        <v>192</v>
      </c>
      <c r="D603">
        <v>26419</v>
      </c>
      <c r="E603" s="1">
        <v>2.3999999999999998E-3</v>
      </c>
      <c r="F603" s="1">
        <v>0.57269999999999999</v>
      </c>
      <c r="G603" s="1">
        <v>5.9999999999999995E-4</v>
      </c>
      <c r="H603" s="1">
        <v>0.42430000000000001</v>
      </c>
    </row>
    <row r="605" spans="1:8" ht="57.95">
      <c r="A605" s="25" t="s">
        <v>369</v>
      </c>
    </row>
    <row r="606" spans="1:8">
      <c r="A606" s="25" t="s">
        <v>182</v>
      </c>
      <c r="B606" t="s">
        <v>219</v>
      </c>
      <c r="C606" t="s">
        <v>181</v>
      </c>
      <c r="D606" t="s">
        <v>188</v>
      </c>
      <c r="E606" t="s">
        <v>241</v>
      </c>
      <c r="F606" t="s">
        <v>220</v>
      </c>
      <c r="G606" t="s">
        <v>243</v>
      </c>
      <c r="H606" t="s">
        <v>221</v>
      </c>
    </row>
    <row r="607" spans="1:8">
      <c r="A607" s="25" t="s">
        <v>211</v>
      </c>
      <c r="B607">
        <v>14974</v>
      </c>
      <c r="C607" t="s">
        <v>189</v>
      </c>
      <c r="D607">
        <v>26419</v>
      </c>
      <c r="E607" s="1">
        <v>2.3E-3</v>
      </c>
      <c r="F607" s="1">
        <v>0.58779999999999999</v>
      </c>
      <c r="G607" s="1">
        <v>2.0000000000000001E-4</v>
      </c>
      <c r="H607" s="1">
        <v>0.40970000000000001</v>
      </c>
    </row>
    <row r="608" spans="1:8">
      <c r="A608" s="25" t="s">
        <v>212</v>
      </c>
      <c r="B608">
        <v>6682</v>
      </c>
      <c r="C608" t="s">
        <v>189</v>
      </c>
      <c r="D608">
        <v>26419</v>
      </c>
      <c r="E608" s="1">
        <v>1.4E-3</v>
      </c>
      <c r="F608" s="1">
        <v>0.52510000000000001</v>
      </c>
      <c r="G608" s="1">
        <v>8.0000000000000004E-4</v>
      </c>
      <c r="H608" s="1">
        <v>0.47270000000000001</v>
      </c>
    </row>
    <row r="609" spans="1:8">
      <c r="A609" s="25" t="s">
        <v>213</v>
      </c>
      <c r="B609">
        <v>4763</v>
      </c>
      <c r="C609" t="s">
        <v>189</v>
      </c>
      <c r="D609">
        <v>26419</v>
      </c>
      <c r="E609" s="1">
        <v>3.5000000000000001E-3</v>
      </c>
      <c r="F609" s="1">
        <v>0.58750000000000002</v>
      </c>
      <c r="G609" s="1">
        <v>1.2999999999999999E-3</v>
      </c>
      <c r="H609" s="1">
        <v>0.40760000000000002</v>
      </c>
    </row>
    <row r="610" spans="1:8">
      <c r="A610" s="25" t="s">
        <v>192</v>
      </c>
      <c r="B610">
        <v>26419</v>
      </c>
      <c r="C610" t="s">
        <v>192</v>
      </c>
      <c r="D610">
        <v>26419</v>
      </c>
      <c r="E610" s="1">
        <v>2.3999999999999998E-3</v>
      </c>
      <c r="F610" s="1">
        <v>0.57269999999999999</v>
      </c>
      <c r="G610" s="1">
        <v>5.9999999999999995E-4</v>
      </c>
      <c r="H610" s="1">
        <v>0.42430000000000001</v>
      </c>
    </row>
    <row r="612" spans="1:8" ht="57.95">
      <c r="A612" s="25" t="s">
        <v>370</v>
      </c>
    </row>
    <row r="613" spans="1:8">
      <c r="A613" s="25" t="s">
        <v>182</v>
      </c>
      <c r="B613" t="s">
        <v>219</v>
      </c>
      <c r="C613" t="s">
        <v>181</v>
      </c>
      <c r="D613" t="s">
        <v>188</v>
      </c>
      <c r="E613" t="s">
        <v>241</v>
      </c>
      <c r="F613" t="s">
        <v>220</v>
      </c>
      <c r="G613" t="s">
        <v>243</v>
      </c>
      <c r="H613" t="s">
        <v>221</v>
      </c>
    </row>
    <row r="614" spans="1:8">
      <c r="A614" s="25" t="s">
        <v>347</v>
      </c>
      <c r="B614">
        <v>6995</v>
      </c>
      <c r="C614" t="s">
        <v>189</v>
      </c>
      <c r="D614">
        <v>26419</v>
      </c>
      <c r="E614" s="1">
        <v>4.4999999999999997E-3</v>
      </c>
      <c r="F614" s="1">
        <v>0.54200000000000004</v>
      </c>
      <c r="G614" s="1">
        <v>5.9999999999999995E-4</v>
      </c>
      <c r="H614" s="1">
        <v>0.45290000000000002</v>
      </c>
    </row>
    <row r="615" spans="1:8">
      <c r="A615" s="25" t="s">
        <v>348</v>
      </c>
      <c r="B615">
        <v>5731</v>
      </c>
      <c r="C615" t="s">
        <v>189</v>
      </c>
      <c r="D615">
        <v>26419</v>
      </c>
      <c r="E615" s="1">
        <v>1.8E-3</v>
      </c>
      <c r="F615" s="1">
        <v>0.49590000000000001</v>
      </c>
      <c r="G615" s="1">
        <v>5.0000000000000001E-4</v>
      </c>
      <c r="H615" s="1">
        <v>0.50180000000000002</v>
      </c>
    </row>
    <row r="616" spans="1:8">
      <c r="A616" s="25" t="s">
        <v>349</v>
      </c>
      <c r="B616">
        <v>6084</v>
      </c>
      <c r="C616" t="s">
        <v>189</v>
      </c>
      <c r="D616">
        <v>26419</v>
      </c>
      <c r="E616" s="1">
        <v>1E-3</v>
      </c>
      <c r="F616" s="1">
        <v>0.55330000000000001</v>
      </c>
      <c r="G616" s="1">
        <v>1E-4</v>
      </c>
      <c r="H616" s="1">
        <v>0.4456</v>
      </c>
    </row>
    <row r="617" spans="1:8">
      <c r="A617" s="25" t="s">
        <v>350</v>
      </c>
      <c r="B617">
        <v>5251</v>
      </c>
      <c r="C617" t="s">
        <v>189</v>
      </c>
      <c r="D617">
        <v>26419</v>
      </c>
      <c r="E617" s="1">
        <v>2.3E-3</v>
      </c>
      <c r="F617" s="1">
        <v>0.62980000000000003</v>
      </c>
      <c r="G617" s="1">
        <v>6.9999999999999999E-4</v>
      </c>
      <c r="H617" s="1">
        <v>0.36730000000000002</v>
      </c>
    </row>
    <row r="618" spans="1:8">
      <c r="A618" s="25" t="s">
        <v>192</v>
      </c>
      <c r="B618">
        <v>26419</v>
      </c>
      <c r="C618" t="s">
        <v>192</v>
      </c>
      <c r="D618">
        <v>26419</v>
      </c>
      <c r="E618" s="1">
        <v>2.3999999999999998E-3</v>
      </c>
      <c r="F618" s="1">
        <v>0.57269999999999999</v>
      </c>
      <c r="G618" s="1">
        <v>5.9999999999999995E-4</v>
      </c>
      <c r="H618" s="1">
        <v>0.42430000000000001</v>
      </c>
    </row>
    <row r="620" spans="1:8" ht="43.5">
      <c r="A620" s="25" t="s">
        <v>371</v>
      </c>
    </row>
    <row r="621" spans="1:8">
      <c r="A621" s="25" t="s">
        <v>182</v>
      </c>
      <c r="B621" t="s">
        <v>219</v>
      </c>
      <c r="C621" t="s">
        <v>181</v>
      </c>
      <c r="D621" t="s">
        <v>188</v>
      </c>
      <c r="E621" t="s">
        <v>241</v>
      </c>
      <c r="F621" t="s">
        <v>220</v>
      </c>
      <c r="G621" t="s">
        <v>243</v>
      </c>
      <c r="H621" t="s">
        <v>221</v>
      </c>
    </row>
    <row r="622" spans="1:8">
      <c r="A622" s="25" t="s">
        <v>352</v>
      </c>
      <c r="B622">
        <v>436</v>
      </c>
      <c r="C622" t="s">
        <v>189</v>
      </c>
      <c r="D622">
        <v>10740</v>
      </c>
      <c r="F622" s="1">
        <v>9.4000000000000004E-3</v>
      </c>
      <c r="G622" s="1">
        <v>2.9999999999999997E-4</v>
      </c>
      <c r="H622" s="1">
        <v>0.99029999999999996</v>
      </c>
    </row>
    <row r="623" spans="1:8">
      <c r="A623" s="25" t="s">
        <v>353</v>
      </c>
      <c r="B623">
        <v>597</v>
      </c>
      <c r="C623" t="s">
        <v>189</v>
      </c>
      <c r="D623">
        <v>10740</v>
      </c>
      <c r="F623" s="1">
        <v>2.4899999999999999E-2</v>
      </c>
      <c r="H623" s="1">
        <v>0.97509999999999997</v>
      </c>
    </row>
    <row r="624" spans="1:8">
      <c r="A624" s="25" t="s">
        <v>280</v>
      </c>
      <c r="B624">
        <v>223</v>
      </c>
      <c r="C624" t="s">
        <v>189</v>
      </c>
      <c r="D624">
        <v>10740</v>
      </c>
      <c r="F624" s="1">
        <v>2.0199999999999999E-2</v>
      </c>
      <c r="H624" s="1">
        <v>0.9798</v>
      </c>
    </row>
    <row r="625" spans="1:9">
      <c r="A625" s="25" t="s">
        <v>354</v>
      </c>
      <c r="B625">
        <v>273</v>
      </c>
      <c r="C625" t="s">
        <v>189</v>
      </c>
      <c r="D625">
        <v>10740</v>
      </c>
      <c r="F625" s="1">
        <v>4.48E-2</v>
      </c>
      <c r="H625" s="1">
        <v>0.95520000000000005</v>
      </c>
    </row>
    <row r="626" spans="1:9">
      <c r="A626" s="25" t="s">
        <v>355</v>
      </c>
      <c r="B626">
        <v>261</v>
      </c>
      <c r="C626" t="s">
        <v>189</v>
      </c>
      <c r="D626">
        <v>10740</v>
      </c>
      <c r="E626" s="1">
        <v>1.2999999999999999E-3</v>
      </c>
      <c r="F626" s="1">
        <v>7.5700000000000003E-2</v>
      </c>
      <c r="H626" s="1">
        <v>0.92300000000000004</v>
      </c>
    </row>
    <row r="627" spans="1:9">
      <c r="A627" s="25" t="s">
        <v>356</v>
      </c>
      <c r="B627">
        <v>375</v>
      </c>
      <c r="C627" t="s">
        <v>189</v>
      </c>
      <c r="D627">
        <v>10740</v>
      </c>
      <c r="E627" s="1">
        <v>2.3999999999999998E-3</v>
      </c>
      <c r="F627" s="1">
        <v>8.0699999999999994E-2</v>
      </c>
      <c r="G627" s="1">
        <v>1E-4</v>
      </c>
      <c r="H627" s="1">
        <v>0.91679999999999995</v>
      </c>
    </row>
    <row r="628" spans="1:9">
      <c r="A628" s="25" t="s">
        <v>357</v>
      </c>
      <c r="B628">
        <v>552</v>
      </c>
      <c r="C628" t="s">
        <v>189</v>
      </c>
      <c r="D628">
        <v>10740</v>
      </c>
      <c r="E628" s="1">
        <v>4.0000000000000002E-4</v>
      </c>
      <c r="F628" s="1">
        <v>7.8200000000000006E-2</v>
      </c>
      <c r="G628" s="1">
        <v>1.5E-3</v>
      </c>
      <c r="H628" s="1">
        <v>0.91990000000000005</v>
      </c>
    </row>
    <row r="629" spans="1:9">
      <c r="A629" s="25" t="s">
        <v>358</v>
      </c>
      <c r="B629">
        <v>608</v>
      </c>
      <c r="C629" t="s">
        <v>189</v>
      </c>
      <c r="D629">
        <v>10740</v>
      </c>
      <c r="E629" s="1">
        <v>1.6000000000000001E-3</v>
      </c>
      <c r="F629" s="1">
        <v>0.12130000000000001</v>
      </c>
      <c r="G629" s="1">
        <v>4.0000000000000002E-4</v>
      </c>
      <c r="H629" s="1">
        <v>0.87670000000000003</v>
      </c>
    </row>
    <row r="630" spans="1:9">
      <c r="A630" s="25" t="s">
        <v>359</v>
      </c>
      <c r="B630">
        <v>676</v>
      </c>
      <c r="C630" t="s">
        <v>189</v>
      </c>
      <c r="D630">
        <v>10740</v>
      </c>
      <c r="E630" s="1">
        <v>2.2000000000000001E-3</v>
      </c>
      <c r="F630" s="1">
        <v>0.1467</v>
      </c>
      <c r="G630" s="1">
        <v>1E-3</v>
      </c>
      <c r="H630" s="1">
        <v>0.85009999999999997</v>
      </c>
    </row>
    <row r="631" spans="1:9">
      <c r="A631" s="25" t="s">
        <v>360</v>
      </c>
      <c r="B631">
        <v>624</v>
      </c>
      <c r="C631" t="s">
        <v>189</v>
      </c>
      <c r="D631">
        <v>10740</v>
      </c>
      <c r="F631" s="1">
        <v>1.78E-2</v>
      </c>
      <c r="G631" s="1">
        <v>2.0000000000000001E-4</v>
      </c>
      <c r="H631" s="1">
        <v>0.98199999999999998</v>
      </c>
    </row>
    <row r="632" spans="1:9">
      <c r="A632" s="25" t="s">
        <v>361</v>
      </c>
      <c r="B632">
        <v>737</v>
      </c>
      <c r="C632" t="s">
        <v>189</v>
      </c>
      <c r="D632">
        <v>10740</v>
      </c>
      <c r="E632" s="1">
        <v>3.3E-3</v>
      </c>
      <c r="F632" s="1">
        <v>0.13189999999999999</v>
      </c>
      <c r="G632" s="1">
        <v>2.3E-3</v>
      </c>
      <c r="H632" s="1">
        <v>0.86250000000000004</v>
      </c>
    </row>
    <row r="633" spans="1:9">
      <c r="A633" s="25" t="s">
        <v>362</v>
      </c>
      <c r="B633">
        <v>805</v>
      </c>
      <c r="C633" t="s">
        <v>189</v>
      </c>
      <c r="D633">
        <v>10740</v>
      </c>
      <c r="E633" s="1">
        <v>1.6000000000000001E-3</v>
      </c>
      <c r="F633" s="1">
        <v>0.1308</v>
      </c>
      <c r="G633" s="1">
        <v>2.0999999999999999E-3</v>
      </c>
      <c r="H633" s="1">
        <v>0.86550000000000005</v>
      </c>
    </row>
    <row r="634" spans="1:9">
      <c r="A634" s="25" t="s">
        <v>284</v>
      </c>
      <c r="B634">
        <v>4573</v>
      </c>
      <c r="C634" t="s">
        <v>189</v>
      </c>
      <c r="D634">
        <v>10740</v>
      </c>
      <c r="E634" s="1">
        <v>6.9999999999999999E-4</v>
      </c>
      <c r="F634" s="1">
        <v>0.107</v>
      </c>
      <c r="G634" s="1">
        <v>6.9999999999999999E-4</v>
      </c>
      <c r="H634" s="1">
        <v>0.89159999999999995</v>
      </c>
    </row>
    <row r="635" spans="1:9">
      <c r="A635" s="25" t="s">
        <v>192</v>
      </c>
      <c r="B635">
        <v>10740</v>
      </c>
      <c r="C635" t="s">
        <v>192</v>
      </c>
      <c r="D635">
        <v>10740</v>
      </c>
      <c r="E635" s="1">
        <v>1E-3</v>
      </c>
      <c r="F635" s="1">
        <v>9.0999999999999998E-2</v>
      </c>
      <c r="G635" s="1">
        <v>8.0000000000000004E-4</v>
      </c>
      <c r="H635" s="1">
        <v>0.90720000000000001</v>
      </c>
    </row>
    <row r="637" spans="1:9" ht="57.95">
      <c r="A637" s="25" t="s">
        <v>372</v>
      </c>
    </row>
    <row r="638" spans="1:9">
      <c r="A638" s="25" t="s">
        <v>182</v>
      </c>
      <c r="B638" t="s">
        <v>286</v>
      </c>
      <c r="C638" t="s">
        <v>219</v>
      </c>
      <c r="D638" t="s">
        <v>181</v>
      </c>
      <c r="E638" t="s">
        <v>188</v>
      </c>
      <c r="F638" t="s">
        <v>241</v>
      </c>
      <c r="G638" t="s">
        <v>220</v>
      </c>
      <c r="H638" t="s">
        <v>243</v>
      </c>
      <c r="I638" t="s">
        <v>221</v>
      </c>
    </row>
    <row r="639" spans="1:9">
      <c r="A639" s="25" t="s">
        <v>287</v>
      </c>
      <c r="B639" t="s">
        <v>352</v>
      </c>
      <c r="C639">
        <v>215</v>
      </c>
      <c r="D639" t="s">
        <v>189</v>
      </c>
      <c r="E639">
        <v>10740</v>
      </c>
      <c r="G639" s="1">
        <v>1.29E-2</v>
      </c>
      <c r="I639" s="1">
        <v>0.98709999999999998</v>
      </c>
    </row>
    <row r="640" spans="1:9">
      <c r="A640" s="25" t="s">
        <v>288</v>
      </c>
      <c r="B640" t="s">
        <v>361</v>
      </c>
      <c r="C640">
        <v>425</v>
      </c>
      <c r="D640" t="s">
        <v>189</v>
      </c>
      <c r="E640">
        <v>10740</v>
      </c>
      <c r="F640" s="1">
        <v>6.0000000000000001E-3</v>
      </c>
      <c r="G640" s="1">
        <v>0.1036</v>
      </c>
      <c r="I640" s="1">
        <v>0.89039999999999997</v>
      </c>
    </row>
    <row r="641" spans="1:9">
      <c r="A641" s="25" t="s">
        <v>288</v>
      </c>
      <c r="B641" t="s">
        <v>360</v>
      </c>
      <c r="C641">
        <v>329</v>
      </c>
      <c r="D641" t="s">
        <v>189</v>
      </c>
      <c r="E641">
        <v>10740</v>
      </c>
      <c r="G641" s="1">
        <v>1.6799999999999999E-2</v>
      </c>
      <c r="H641" s="1">
        <v>4.0000000000000002E-4</v>
      </c>
      <c r="I641" s="1">
        <v>0.98280000000000001</v>
      </c>
    </row>
    <row r="642" spans="1:9">
      <c r="A642" s="25" t="s">
        <v>288</v>
      </c>
      <c r="B642" t="s">
        <v>359</v>
      </c>
      <c r="C642">
        <v>396</v>
      </c>
      <c r="D642" t="s">
        <v>189</v>
      </c>
      <c r="E642">
        <v>10740</v>
      </c>
      <c r="F642" s="1">
        <v>3.3999999999999998E-3</v>
      </c>
      <c r="G642" s="1">
        <v>0.14319999999999999</v>
      </c>
      <c r="I642" s="1">
        <v>0.85340000000000005</v>
      </c>
    </row>
    <row r="643" spans="1:9">
      <c r="A643" s="25" t="s">
        <v>288</v>
      </c>
      <c r="B643" t="s">
        <v>358</v>
      </c>
      <c r="C643">
        <v>334</v>
      </c>
      <c r="D643" t="s">
        <v>189</v>
      </c>
      <c r="E643">
        <v>10740</v>
      </c>
      <c r="F643" s="1">
        <v>2.8999999999999998E-3</v>
      </c>
      <c r="G643" s="1">
        <v>0.10150000000000001</v>
      </c>
      <c r="I643" s="1">
        <v>0.89559999999999995</v>
      </c>
    </row>
    <row r="644" spans="1:9">
      <c r="A644" s="25" t="s">
        <v>288</v>
      </c>
      <c r="B644" t="s">
        <v>357</v>
      </c>
      <c r="C644">
        <v>331</v>
      </c>
      <c r="D644" t="s">
        <v>189</v>
      </c>
      <c r="E644">
        <v>10740</v>
      </c>
      <c r="G644" s="1">
        <v>6.6600000000000006E-2</v>
      </c>
      <c r="H644" s="1">
        <v>2.3E-3</v>
      </c>
      <c r="I644" s="1">
        <v>0.93110000000000004</v>
      </c>
    </row>
    <row r="645" spans="1:9">
      <c r="A645" s="25" t="s">
        <v>288</v>
      </c>
      <c r="B645" t="s">
        <v>356</v>
      </c>
      <c r="C645">
        <v>230</v>
      </c>
      <c r="D645" t="s">
        <v>189</v>
      </c>
      <c r="E645">
        <v>10740</v>
      </c>
      <c r="F645" s="1">
        <v>3.8999999999999998E-3</v>
      </c>
      <c r="G645" s="1">
        <v>5.3100000000000001E-2</v>
      </c>
      <c r="H645" s="1">
        <v>1E-4</v>
      </c>
      <c r="I645" s="1">
        <v>0.94289999999999996</v>
      </c>
    </row>
    <row r="646" spans="1:9">
      <c r="A646" s="25" t="s">
        <v>288</v>
      </c>
      <c r="B646" t="s">
        <v>355</v>
      </c>
      <c r="C646">
        <v>179</v>
      </c>
      <c r="D646" t="s">
        <v>189</v>
      </c>
      <c r="E646">
        <v>10740</v>
      </c>
      <c r="F646" s="1">
        <v>2E-3</v>
      </c>
      <c r="G646" s="1">
        <v>5.7200000000000001E-2</v>
      </c>
      <c r="I646" s="1">
        <v>0.94079999999999997</v>
      </c>
    </row>
    <row r="647" spans="1:9">
      <c r="A647" s="25" t="s">
        <v>288</v>
      </c>
      <c r="B647" t="s">
        <v>354</v>
      </c>
      <c r="C647">
        <v>146</v>
      </c>
      <c r="D647" t="s">
        <v>189</v>
      </c>
      <c r="E647">
        <v>10740</v>
      </c>
      <c r="G647" s="1">
        <v>3.6200000000000003E-2</v>
      </c>
      <c r="I647" s="1">
        <v>0.96379999999999999</v>
      </c>
    </row>
    <row r="648" spans="1:9">
      <c r="A648" s="25" t="s">
        <v>288</v>
      </c>
      <c r="B648" t="s">
        <v>280</v>
      </c>
      <c r="C648">
        <v>122</v>
      </c>
      <c r="D648" t="s">
        <v>189</v>
      </c>
      <c r="E648">
        <v>10740</v>
      </c>
      <c r="G648" s="1">
        <v>2.5899999999999999E-2</v>
      </c>
      <c r="I648" s="1">
        <v>0.97409999999999997</v>
      </c>
    </row>
    <row r="649" spans="1:9">
      <c r="A649" s="25" t="s">
        <v>288</v>
      </c>
      <c r="B649" t="s">
        <v>353</v>
      </c>
      <c r="C649">
        <v>288</v>
      </c>
      <c r="D649" t="s">
        <v>189</v>
      </c>
      <c r="E649">
        <v>10740</v>
      </c>
      <c r="G649" s="1">
        <v>2.1399999999999999E-2</v>
      </c>
      <c r="I649" s="1">
        <v>0.97860000000000003</v>
      </c>
    </row>
    <row r="650" spans="1:9">
      <c r="A650" s="25" t="s">
        <v>288</v>
      </c>
      <c r="B650" t="s">
        <v>352</v>
      </c>
      <c r="C650">
        <v>221</v>
      </c>
      <c r="D650" t="s">
        <v>189</v>
      </c>
      <c r="E650">
        <v>10740</v>
      </c>
      <c r="G650" s="1">
        <v>6.1000000000000004E-3</v>
      </c>
      <c r="H650" s="1">
        <v>5.9999999999999995E-4</v>
      </c>
      <c r="I650" s="1">
        <v>0.99329999999999996</v>
      </c>
    </row>
    <row r="651" spans="1:9">
      <c r="A651" s="25" t="s">
        <v>243</v>
      </c>
      <c r="B651" t="s">
        <v>284</v>
      </c>
      <c r="C651">
        <v>1</v>
      </c>
      <c r="D651" t="s">
        <v>189</v>
      </c>
      <c r="E651">
        <v>10740</v>
      </c>
      <c r="I651" s="1">
        <v>1</v>
      </c>
    </row>
    <row r="652" spans="1:9">
      <c r="A652" s="25" t="s">
        <v>288</v>
      </c>
      <c r="B652" t="s">
        <v>362</v>
      </c>
      <c r="C652">
        <v>465</v>
      </c>
      <c r="D652" t="s">
        <v>189</v>
      </c>
      <c r="E652">
        <v>10740</v>
      </c>
      <c r="G652" s="1">
        <v>0.12529999999999999</v>
      </c>
      <c r="H652" s="1">
        <v>3.5999999999999999E-3</v>
      </c>
      <c r="I652" s="1">
        <v>0.87109999999999999</v>
      </c>
    </row>
    <row r="653" spans="1:9">
      <c r="A653" s="25" t="s">
        <v>243</v>
      </c>
      <c r="B653" t="s">
        <v>359</v>
      </c>
      <c r="C653">
        <v>1</v>
      </c>
      <c r="D653" t="s">
        <v>189</v>
      </c>
      <c r="E653">
        <v>10740</v>
      </c>
      <c r="I653" s="1">
        <v>1</v>
      </c>
    </row>
    <row r="654" spans="1:9">
      <c r="A654" s="25" t="s">
        <v>287</v>
      </c>
      <c r="B654" t="s">
        <v>284</v>
      </c>
      <c r="C654">
        <v>1635</v>
      </c>
      <c r="D654" t="s">
        <v>189</v>
      </c>
      <c r="E654">
        <v>10740</v>
      </c>
      <c r="G654" s="1">
        <v>0.106</v>
      </c>
      <c r="I654" s="1">
        <v>0.89400000000000002</v>
      </c>
    </row>
    <row r="655" spans="1:9">
      <c r="A655" s="25" t="s">
        <v>287</v>
      </c>
      <c r="B655" t="s">
        <v>362</v>
      </c>
      <c r="C655">
        <v>340</v>
      </c>
      <c r="D655" t="s">
        <v>189</v>
      </c>
      <c r="E655">
        <v>10740</v>
      </c>
      <c r="F655" s="1">
        <v>3.8E-3</v>
      </c>
      <c r="G655" s="1">
        <v>0.1389</v>
      </c>
      <c r="I655" s="1">
        <v>0.85729999999999995</v>
      </c>
    </row>
    <row r="656" spans="1:9">
      <c r="A656" s="25" t="s">
        <v>287</v>
      </c>
      <c r="B656" t="s">
        <v>361</v>
      </c>
      <c r="C656">
        <v>312</v>
      </c>
      <c r="D656" t="s">
        <v>189</v>
      </c>
      <c r="E656">
        <v>10740</v>
      </c>
      <c r="G656" s="1">
        <v>0.1668</v>
      </c>
      <c r="H656" s="1">
        <v>5.1999999999999998E-3</v>
      </c>
      <c r="I656" s="1">
        <v>0.82809999999999995</v>
      </c>
    </row>
    <row r="657" spans="1:9">
      <c r="A657" s="25" t="s">
        <v>287</v>
      </c>
      <c r="B657" t="s">
        <v>360</v>
      </c>
      <c r="C657">
        <v>295</v>
      </c>
      <c r="D657" t="s">
        <v>189</v>
      </c>
      <c r="E657">
        <v>10740</v>
      </c>
      <c r="G657" s="1">
        <v>1.8800000000000001E-2</v>
      </c>
      <c r="I657" s="1">
        <v>0.98119999999999996</v>
      </c>
    </row>
    <row r="658" spans="1:9">
      <c r="A658" s="25" t="s">
        <v>287</v>
      </c>
      <c r="B658" t="s">
        <v>359</v>
      </c>
      <c r="C658">
        <v>279</v>
      </c>
      <c r="D658" t="s">
        <v>189</v>
      </c>
      <c r="E658">
        <v>10740</v>
      </c>
      <c r="F658" s="1">
        <v>5.0000000000000001E-4</v>
      </c>
      <c r="G658" s="1">
        <v>0.15160000000000001</v>
      </c>
      <c r="H658" s="1">
        <v>2.3E-3</v>
      </c>
      <c r="I658" s="1">
        <v>0.84550000000000003</v>
      </c>
    </row>
    <row r="659" spans="1:9">
      <c r="A659" s="25" t="s">
        <v>287</v>
      </c>
      <c r="B659" t="s">
        <v>358</v>
      </c>
      <c r="C659">
        <v>273</v>
      </c>
      <c r="D659" t="s">
        <v>189</v>
      </c>
      <c r="E659">
        <v>10740</v>
      </c>
      <c r="G659" s="1">
        <v>0.14530000000000001</v>
      </c>
      <c r="H659" s="1">
        <v>8.9999999999999998E-4</v>
      </c>
      <c r="I659" s="1">
        <v>0.85389999999999999</v>
      </c>
    </row>
    <row r="660" spans="1:9">
      <c r="A660" s="25" t="s">
        <v>287</v>
      </c>
      <c r="B660" t="s">
        <v>357</v>
      </c>
      <c r="C660">
        <v>221</v>
      </c>
      <c r="D660" t="s">
        <v>189</v>
      </c>
      <c r="E660">
        <v>10740</v>
      </c>
      <c r="F660" s="1">
        <v>1E-3</v>
      </c>
      <c r="G660" s="1">
        <v>9.5100000000000004E-2</v>
      </c>
      <c r="H660" s="1">
        <v>2.0000000000000001E-4</v>
      </c>
      <c r="I660" s="1">
        <v>0.90369999999999995</v>
      </c>
    </row>
    <row r="661" spans="1:9">
      <c r="A661" s="25" t="s">
        <v>287</v>
      </c>
      <c r="B661" t="s">
        <v>356</v>
      </c>
      <c r="C661">
        <v>145</v>
      </c>
      <c r="D661" t="s">
        <v>189</v>
      </c>
      <c r="E661">
        <v>10740</v>
      </c>
      <c r="G661" s="1">
        <v>0.1239</v>
      </c>
      <c r="I661" s="1">
        <v>0.87609999999999999</v>
      </c>
    </row>
    <row r="662" spans="1:9">
      <c r="A662" s="25" t="s">
        <v>287</v>
      </c>
      <c r="B662" t="s">
        <v>355</v>
      </c>
      <c r="C662">
        <v>82</v>
      </c>
      <c r="D662" t="s">
        <v>189</v>
      </c>
      <c r="E662">
        <v>10740</v>
      </c>
      <c r="G662" s="1">
        <v>0.10970000000000001</v>
      </c>
      <c r="I662" s="1">
        <v>0.89029999999999998</v>
      </c>
    </row>
    <row r="663" spans="1:9">
      <c r="A663" s="25" t="s">
        <v>287</v>
      </c>
      <c r="B663" t="s">
        <v>354</v>
      </c>
      <c r="C663">
        <v>127</v>
      </c>
      <c r="D663" t="s">
        <v>189</v>
      </c>
      <c r="E663">
        <v>10740</v>
      </c>
      <c r="G663" s="1">
        <v>5.7000000000000002E-2</v>
      </c>
      <c r="I663" s="1">
        <v>0.94299999999999995</v>
      </c>
    </row>
    <row r="664" spans="1:9">
      <c r="A664" s="25" t="s">
        <v>287</v>
      </c>
      <c r="B664" t="s">
        <v>280</v>
      </c>
      <c r="C664">
        <v>101</v>
      </c>
      <c r="D664" t="s">
        <v>189</v>
      </c>
      <c r="E664">
        <v>10740</v>
      </c>
      <c r="G664" s="1">
        <v>1.4500000000000001E-2</v>
      </c>
      <c r="I664" s="1">
        <v>0.98550000000000004</v>
      </c>
    </row>
    <row r="665" spans="1:9">
      <c r="A665" s="25" t="s">
        <v>287</v>
      </c>
      <c r="B665" t="s">
        <v>353</v>
      </c>
      <c r="C665">
        <v>309</v>
      </c>
      <c r="D665" t="s">
        <v>189</v>
      </c>
      <c r="E665">
        <v>10740</v>
      </c>
      <c r="G665" s="1">
        <v>2.7799999999999998E-2</v>
      </c>
      <c r="I665" s="1">
        <v>0.97219999999999995</v>
      </c>
    </row>
    <row r="666" spans="1:9">
      <c r="A666" s="25" t="s">
        <v>243</v>
      </c>
      <c r="B666" t="s">
        <v>358</v>
      </c>
      <c r="C666">
        <v>1</v>
      </c>
      <c r="D666" t="s">
        <v>189</v>
      </c>
      <c r="E666">
        <v>10740</v>
      </c>
      <c r="I666" s="1">
        <v>1</v>
      </c>
    </row>
    <row r="667" spans="1:9">
      <c r="A667" s="25" t="s">
        <v>288</v>
      </c>
      <c r="B667" t="s">
        <v>284</v>
      </c>
      <c r="C667">
        <v>2937</v>
      </c>
      <c r="D667" t="s">
        <v>189</v>
      </c>
      <c r="E667">
        <v>10740</v>
      </c>
      <c r="F667" s="1">
        <v>1E-3</v>
      </c>
      <c r="G667" s="1">
        <v>0.1076</v>
      </c>
      <c r="H667" s="1">
        <v>1.1000000000000001E-3</v>
      </c>
      <c r="I667" s="1">
        <v>0.89019999999999999</v>
      </c>
    </row>
    <row r="668" spans="1:9">
      <c r="A668" s="25" t="s">
        <v>192</v>
      </c>
      <c r="B668" t="s">
        <v>192</v>
      </c>
      <c r="C668">
        <v>10740</v>
      </c>
      <c r="D668" t="s">
        <v>192</v>
      </c>
      <c r="E668">
        <v>10740</v>
      </c>
      <c r="F668" s="1">
        <v>1E-3</v>
      </c>
      <c r="G668" s="1">
        <v>9.0999999999999998E-2</v>
      </c>
      <c r="H668" s="1">
        <v>8.0000000000000004E-4</v>
      </c>
      <c r="I668" s="1">
        <v>0.90720000000000001</v>
      </c>
    </row>
    <row r="670" spans="1:9" ht="43.5">
      <c r="A670" s="25" t="s">
        <v>373</v>
      </c>
    </row>
    <row r="671" spans="1:9">
      <c r="A671" s="25" t="s">
        <v>182</v>
      </c>
      <c r="B671" t="s">
        <v>219</v>
      </c>
      <c r="C671" t="s">
        <v>181</v>
      </c>
      <c r="D671" t="s">
        <v>188</v>
      </c>
      <c r="E671" t="s">
        <v>241</v>
      </c>
      <c r="F671" t="s">
        <v>220</v>
      </c>
      <c r="G671" t="s">
        <v>243</v>
      </c>
      <c r="H671" t="s">
        <v>221</v>
      </c>
    </row>
    <row r="672" spans="1:9">
      <c r="A672" s="25" t="s">
        <v>190</v>
      </c>
      <c r="B672">
        <v>5150</v>
      </c>
      <c r="C672" t="s">
        <v>189</v>
      </c>
      <c r="D672">
        <v>10740</v>
      </c>
      <c r="E672" s="1">
        <v>4.0000000000000002E-4</v>
      </c>
      <c r="F672" s="1">
        <v>0.106</v>
      </c>
      <c r="G672" s="1">
        <v>1E-3</v>
      </c>
      <c r="H672" s="1">
        <v>0.89249999999999996</v>
      </c>
    </row>
    <row r="673" spans="1:8">
      <c r="A673" s="25" t="s">
        <v>191</v>
      </c>
      <c r="B673">
        <v>5519</v>
      </c>
      <c r="C673" t="s">
        <v>189</v>
      </c>
      <c r="D673">
        <v>10740</v>
      </c>
      <c r="E673" s="1">
        <v>1.2999999999999999E-3</v>
      </c>
      <c r="F673" s="1">
        <v>8.0500000000000002E-2</v>
      </c>
      <c r="G673" s="1">
        <v>5.9999999999999995E-4</v>
      </c>
      <c r="H673" s="1">
        <v>0.91749999999999998</v>
      </c>
    </row>
    <row r="674" spans="1:8">
      <c r="A674" s="25" t="s">
        <v>192</v>
      </c>
      <c r="B674">
        <v>10740</v>
      </c>
      <c r="C674" t="s">
        <v>192</v>
      </c>
      <c r="D674">
        <v>10740</v>
      </c>
      <c r="E674" s="1">
        <v>1E-3</v>
      </c>
      <c r="F674" s="1">
        <v>9.0999999999999998E-2</v>
      </c>
      <c r="G674" s="1">
        <v>8.0000000000000004E-4</v>
      </c>
      <c r="H674" s="1">
        <v>0.90720000000000001</v>
      </c>
    </row>
    <row r="676" spans="1:8" ht="57.95">
      <c r="A676" s="25" t="s">
        <v>374</v>
      </c>
    </row>
    <row r="677" spans="1:8">
      <c r="A677" s="25" t="s">
        <v>182</v>
      </c>
      <c r="B677" t="s">
        <v>219</v>
      </c>
      <c r="C677" t="s">
        <v>181</v>
      </c>
      <c r="D677" t="s">
        <v>188</v>
      </c>
      <c r="E677" t="s">
        <v>241</v>
      </c>
      <c r="F677" t="s">
        <v>220</v>
      </c>
      <c r="G677" t="s">
        <v>243</v>
      </c>
      <c r="H677" t="s">
        <v>221</v>
      </c>
    </row>
    <row r="678" spans="1:8" ht="29.1">
      <c r="A678" s="25" t="s">
        <v>194</v>
      </c>
      <c r="B678">
        <v>6241</v>
      </c>
      <c r="C678" t="s">
        <v>189</v>
      </c>
      <c r="D678">
        <v>10740</v>
      </c>
      <c r="E678" s="1">
        <v>1.1000000000000001E-3</v>
      </c>
      <c r="F678" s="1">
        <v>7.5600000000000001E-2</v>
      </c>
      <c r="G678" s="1">
        <v>8.0000000000000004E-4</v>
      </c>
      <c r="H678" s="1">
        <v>0.92259999999999998</v>
      </c>
    </row>
    <row r="679" spans="1:8" ht="29.1">
      <c r="A679" s="25" t="s">
        <v>195</v>
      </c>
      <c r="B679">
        <v>2649</v>
      </c>
      <c r="C679" t="s">
        <v>189</v>
      </c>
      <c r="D679">
        <v>10740</v>
      </c>
      <c r="E679" s="1">
        <v>2.0000000000000001E-4</v>
      </c>
      <c r="F679" s="1">
        <v>0.1239</v>
      </c>
      <c r="G679" s="1">
        <v>2.9999999999999997E-4</v>
      </c>
      <c r="H679" s="1">
        <v>0.87560000000000004</v>
      </c>
    </row>
    <row r="680" spans="1:8" ht="29.1">
      <c r="A680" s="25" t="s">
        <v>196</v>
      </c>
      <c r="B680">
        <v>1779</v>
      </c>
      <c r="C680" t="s">
        <v>189</v>
      </c>
      <c r="D680">
        <v>10740</v>
      </c>
      <c r="E680" s="1">
        <v>1.4E-3</v>
      </c>
      <c r="F680" s="1">
        <v>0.15429999999999999</v>
      </c>
      <c r="G680" s="1">
        <v>1.6999999999999999E-3</v>
      </c>
      <c r="H680" s="1">
        <v>0.84260000000000002</v>
      </c>
    </row>
    <row r="681" spans="1:8">
      <c r="A681" s="25" t="s">
        <v>192</v>
      </c>
      <c r="B681">
        <v>10740</v>
      </c>
      <c r="C681" t="s">
        <v>192</v>
      </c>
      <c r="D681">
        <v>10740</v>
      </c>
      <c r="E681" s="1">
        <v>1E-3</v>
      </c>
      <c r="F681" s="1">
        <v>9.0999999999999998E-2</v>
      </c>
      <c r="G681" s="1">
        <v>8.0000000000000004E-4</v>
      </c>
      <c r="H681" s="1">
        <v>0.90720000000000001</v>
      </c>
    </row>
    <row r="683" spans="1:8" ht="43.5">
      <c r="A683" s="25" t="s">
        <v>375</v>
      </c>
    </row>
    <row r="684" spans="1:8">
      <c r="A684" s="25" t="s">
        <v>182</v>
      </c>
      <c r="B684" t="s">
        <v>219</v>
      </c>
      <c r="C684" t="s">
        <v>181</v>
      </c>
      <c r="D684" t="s">
        <v>188</v>
      </c>
      <c r="E684" t="s">
        <v>241</v>
      </c>
      <c r="F684" t="s">
        <v>220</v>
      </c>
      <c r="G684" t="s">
        <v>243</v>
      </c>
      <c r="H684" t="s">
        <v>221</v>
      </c>
    </row>
    <row r="685" spans="1:8">
      <c r="A685" s="25" t="s">
        <v>198</v>
      </c>
      <c r="B685">
        <v>3172</v>
      </c>
      <c r="C685" t="s">
        <v>189</v>
      </c>
      <c r="D685">
        <v>10740</v>
      </c>
      <c r="E685" s="1">
        <v>1.6000000000000001E-3</v>
      </c>
      <c r="F685" s="1">
        <v>0.1459</v>
      </c>
      <c r="G685" s="1">
        <v>6.9999999999999999E-4</v>
      </c>
      <c r="H685" s="1">
        <v>0.8518</v>
      </c>
    </row>
    <row r="686" spans="1:8">
      <c r="A686" s="25" t="s">
        <v>199</v>
      </c>
      <c r="B686">
        <v>7568</v>
      </c>
      <c r="C686" t="s">
        <v>189</v>
      </c>
      <c r="D686">
        <v>10740</v>
      </c>
      <c r="E686" s="1">
        <v>6.9999999999999999E-4</v>
      </c>
      <c r="F686" s="1">
        <v>7.2300000000000003E-2</v>
      </c>
      <c r="G686" s="1">
        <v>8.0000000000000004E-4</v>
      </c>
      <c r="H686" s="1">
        <v>0.92620000000000002</v>
      </c>
    </row>
    <row r="687" spans="1:8">
      <c r="A687" s="25" t="s">
        <v>192</v>
      </c>
      <c r="B687">
        <v>10740</v>
      </c>
      <c r="C687" t="s">
        <v>192</v>
      </c>
      <c r="D687">
        <v>10740</v>
      </c>
      <c r="E687" s="1">
        <v>1E-3</v>
      </c>
      <c r="F687" s="1">
        <v>9.0999999999999998E-2</v>
      </c>
      <c r="G687" s="1">
        <v>8.0000000000000004E-4</v>
      </c>
      <c r="H687" s="1">
        <v>0.90720000000000001</v>
      </c>
    </row>
    <row r="689" spans="1:8" ht="43.5">
      <c r="A689" s="25" t="s">
        <v>376</v>
      </c>
    </row>
    <row r="690" spans="1:8">
      <c r="A690" s="25" t="s">
        <v>182</v>
      </c>
      <c r="B690" t="s">
        <v>219</v>
      </c>
      <c r="C690" t="s">
        <v>181</v>
      </c>
      <c r="D690" t="s">
        <v>188</v>
      </c>
      <c r="E690" t="s">
        <v>241</v>
      </c>
      <c r="F690" t="s">
        <v>220</v>
      </c>
      <c r="G690" t="s">
        <v>243</v>
      </c>
      <c r="H690" t="s">
        <v>221</v>
      </c>
    </row>
    <row r="691" spans="1:8">
      <c r="A691" s="25" t="s">
        <v>201</v>
      </c>
      <c r="B691">
        <v>817</v>
      </c>
      <c r="C691" t="s">
        <v>189</v>
      </c>
      <c r="D691">
        <v>10740</v>
      </c>
      <c r="E691" s="1">
        <v>2.8999999999999998E-3</v>
      </c>
      <c r="F691" s="1">
        <v>9.1600000000000001E-2</v>
      </c>
      <c r="G691" s="1">
        <v>5.0000000000000001E-4</v>
      </c>
      <c r="H691" s="1">
        <v>0.90510000000000002</v>
      </c>
    </row>
    <row r="692" spans="1:8">
      <c r="A692" s="25" t="s">
        <v>237</v>
      </c>
      <c r="B692">
        <v>114</v>
      </c>
      <c r="C692" t="s">
        <v>189</v>
      </c>
      <c r="D692">
        <v>10740</v>
      </c>
      <c r="E692" s="1">
        <v>2.3E-3</v>
      </c>
      <c r="F692" s="1">
        <v>0.25600000000000001</v>
      </c>
      <c r="H692" s="1">
        <v>0.74170000000000003</v>
      </c>
    </row>
    <row r="693" spans="1:8">
      <c r="A693" s="25" t="s">
        <v>203</v>
      </c>
      <c r="B693">
        <v>8081</v>
      </c>
      <c r="C693" t="s">
        <v>189</v>
      </c>
      <c r="D693">
        <v>10740</v>
      </c>
      <c r="E693" s="1">
        <v>6.9999999999999999E-4</v>
      </c>
      <c r="F693" s="1">
        <v>9.5399999999999999E-2</v>
      </c>
      <c r="G693" s="1">
        <v>5.9999999999999995E-4</v>
      </c>
      <c r="H693" s="1">
        <v>0.9032</v>
      </c>
    </row>
    <row r="694" spans="1:8">
      <c r="A694" s="25" t="s">
        <v>204</v>
      </c>
      <c r="B694">
        <v>28</v>
      </c>
      <c r="C694" t="s">
        <v>189</v>
      </c>
      <c r="D694">
        <v>10740</v>
      </c>
      <c r="F694" s="1">
        <v>1.4200000000000001E-2</v>
      </c>
      <c r="G694" s="1">
        <v>8.3900000000000002E-2</v>
      </c>
      <c r="H694" s="1">
        <v>0.90190000000000003</v>
      </c>
    </row>
    <row r="695" spans="1:8">
      <c r="A695" s="25" t="s">
        <v>205</v>
      </c>
      <c r="B695">
        <v>1700</v>
      </c>
      <c r="C695" t="s">
        <v>189</v>
      </c>
      <c r="D695">
        <v>10740</v>
      </c>
      <c r="E695" s="1">
        <v>1.1000000000000001E-3</v>
      </c>
      <c r="F695" s="1">
        <v>6.3E-2</v>
      </c>
      <c r="G695" s="1">
        <v>8.0000000000000004E-4</v>
      </c>
      <c r="H695" s="1">
        <v>0.93510000000000004</v>
      </c>
    </row>
    <row r="696" spans="1:8">
      <c r="A696" s="25" t="s">
        <v>192</v>
      </c>
      <c r="B696">
        <v>10740</v>
      </c>
      <c r="C696" t="s">
        <v>192</v>
      </c>
      <c r="D696">
        <v>10740</v>
      </c>
      <c r="E696" s="1">
        <v>1E-3</v>
      </c>
      <c r="F696" s="1">
        <v>9.0999999999999998E-2</v>
      </c>
      <c r="G696" s="1">
        <v>8.0000000000000004E-4</v>
      </c>
      <c r="H696" s="1">
        <v>0.90720000000000001</v>
      </c>
    </row>
    <row r="698" spans="1:8" ht="43.5">
      <c r="A698" s="25" t="s">
        <v>377</v>
      </c>
    </row>
    <row r="699" spans="1:8">
      <c r="A699" s="25" t="s">
        <v>182</v>
      </c>
      <c r="B699" t="s">
        <v>219</v>
      </c>
      <c r="C699" t="s">
        <v>181</v>
      </c>
      <c r="D699" t="s">
        <v>188</v>
      </c>
      <c r="E699" t="s">
        <v>241</v>
      </c>
      <c r="F699" t="s">
        <v>220</v>
      </c>
      <c r="G699" t="s">
        <v>243</v>
      </c>
      <c r="H699" t="s">
        <v>221</v>
      </c>
    </row>
    <row r="700" spans="1:8">
      <c r="A700" s="25" t="s">
        <v>207</v>
      </c>
      <c r="B700">
        <v>7734</v>
      </c>
      <c r="C700" t="s">
        <v>189</v>
      </c>
      <c r="D700">
        <v>10740</v>
      </c>
      <c r="E700" s="1">
        <v>1.1999999999999999E-3</v>
      </c>
      <c r="F700" s="1">
        <v>8.72E-2</v>
      </c>
      <c r="G700" s="1">
        <v>8.0000000000000004E-4</v>
      </c>
      <c r="H700" s="1">
        <v>0.91080000000000005</v>
      </c>
    </row>
    <row r="701" spans="1:8">
      <c r="A701" s="25" t="s">
        <v>208</v>
      </c>
      <c r="B701">
        <v>1298</v>
      </c>
      <c r="C701" t="s">
        <v>189</v>
      </c>
      <c r="D701">
        <v>10740</v>
      </c>
      <c r="F701" s="1">
        <v>0.15939999999999999</v>
      </c>
      <c r="G701" s="1">
        <v>2.0000000000000001E-4</v>
      </c>
      <c r="H701" s="1">
        <v>0.84050000000000002</v>
      </c>
    </row>
    <row r="702" spans="1:8">
      <c r="A702" s="25" t="s">
        <v>209</v>
      </c>
      <c r="B702">
        <v>1708</v>
      </c>
      <c r="C702" t="s">
        <v>189</v>
      </c>
      <c r="D702">
        <v>10740</v>
      </c>
      <c r="E702" s="1">
        <v>5.9999999999999995E-4</v>
      </c>
      <c r="F702" s="1">
        <v>5.5199999999999999E-2</v>
      </c>
      <c r="G702" s="1">
        <v>1.1000000000000001E-3</v>
      </c>
      <c r="H702" s="1">
        <v>0.94310000000000005</v>
      </c>
    </row>
    <row r="703" spans="1:8">
      <c r="A703" s="25" t="s">
        <v>192</v>
      </c>
      <c r="B703">
        <v>10740</v>
      </c>
      <c r="C703" t="s">
        <v>192</v>
      </c>
      <c r="D703">
        <v>10740</v>
      </c>
      <c r="E703" s="1">
        <v>1E-3</v>
      </c>
      <c r="F703" s="1">
        <v>9.0999999999999998E-2</v>
      </c>
      <c r="G703" s="1">
        <v>8.0000000000000004E-4</v>
      </c>
      <c r="H703" s="1">
        <v>0.90720000000000001</v>
      </c>
    </row>
    <row r="705" spans="1:8" ht="43.5">
      <c r="A705" s="25" t="s">
        <v>378</v>
      </c>
    </row>
    <row r="706" spans="1:8">
      <c r="A706" s="25" t="s">
        <v>182</v>
      </c>
      <c r="B706" t="s">
        <v>219</v>
      </c>
      <c r="C706" t="s">
        <v>181</v>
      </c>
      <c r="D706" t="s">
        <v>188</v>
      </c>
      <c r="E706" t="s">
        <v>241</v>
      </c>
      <c r="F706" t="s">
        <v>220</v>
      </c>
      <c r="G706" t="s">
        <v>243</v>
      </c>
      <c r="H706" t="s">
        <v>221</v>
      </c>
    </row>
    <row r="707" spans="1:8">
      <c r="A707" s="25" t="s">
        <v>211</v>
      </c>
      <c r="B707">
        <v>5796</v>
      </c>
      <c r="C707" t="s">
        <v>189</v>
      </c>
      <c r="D707">
        <v>10740</v>
      </c>
      <c r="E707" s="1">
        <v>1E-3</v>
      </c>
      <c r="F707" s="1">
        <v>7.1300000000000002E-2</v>
      </c>
      <c r="G707" s="1">
        <v>5.0000000000000001E-4</v>
      </c>
      <c r="H707" s="1">
        <v>0.92730000000000001</v>
      </c>
    </row>
    <row r="708" spans="1:8">
      <c r="A708" s="25" t="s">
        <v>212</v>
      </c>
      <c r="B708">
        <v>3027</v>
      </c>
      <c r="C708" t="s">
        <v>189</v>
      </c>
      <c r="D708">
        <v>10740</v>
      </c>
      <c r="E708" s="1">
        <v>1.1999999999999999E-3</v>
      </c>
      <c r="F708" s="1">
        <v>0.12230000000000001</v>
      </c>
      <c r="G708" s="1">
        <v>4.0000000000000002E-4</v>
      </c>
      <c r="H708" s="1">
        <v>0.87619999999999998</v>
      </c>
    </row>
    <row r="709" spans="1:8">
      <c r="A709" s="25" t="s">
        <v>213</v>
      </c>
      <c r="B709">
        <v>1917</v>
      </c>
      <c r="C709" t="s">
        <v>189</v>
      </c>
      <c r="D709">
        <v>10740</v>
      </c>
      <c r="E709" s="1">
        <v>5.9999999999999995E-4</v>
      </c>
      <c r="F709" s="1">
        <v>0.1027</v>
      </c>
      <c r="G709" s="1">
        <v>2.3E-3</v>
      </c>
      <c r="H709" s="1">
        <v>0.89449999999999996</v>
      </c>
    </row>
    <row r="710" spans="1:8">
      <c r="A710" s="25" t="s">
        <v>192</v>
      </c>
      <c r="B710">
        <v>10740</v>
      </c>
      <c r="C710" t="s">
        <v>192</v>
      </c>
      <c r="D710">
        <v>10740</v>
      </c>
      <c r="E710" s="1">
        <v>1E-3</v>
      </c>
      <c r="F710" s="1">
        <v>9.0999999999999998E-2</v>
      </c>
      <c r="G710" s="1">
        <v>8.0000000000000004E-4</v>
      </c>
      <c r="H710" s="1">
        <v>0.90720000000000001</v>
      </c>
    </row>
    <row r="712" spans="1:8" ht="57.95">
      <c r="A712" s="25" t="s">
        <v>379</v>
      </c>
    </row>
    <row r="713" spans="1:8">
      <c r="A713" s="25" t="s">
        <v>182</v>
      </c>
      <c r="B713" t="s">
        <v>219</v>
      </c>
      <c r="C713" t="s">
        <v>181</v>
      </c>
      <c r="D713" t="s">
        <v>188</v>
      </c>
      <c r="E713" t="s">
        <v>241</v>
      </c>
      <c r="F713" t="s">
        <v>220</v>
      </c>
      <c r="G713" t="s">
        <v>243</v>
      </c>
      <c r="H713" t="s">
        <v>221</v>
      </c>
    </row>
    <row r="714" spans="1:8">
      <c r="A714" s="25" t="s">
        <v>347</v>
      </c>
      <c r="B714">
        <v>2839</v>
      </c>
      <c r="C714" t="s">
        <v>189</v>
      </c>
      <c r="D714">
        <v>10740</v>
      </c>
      <c r="E714" s="1">
        <v>1.9E-3</v>
      </c>
      <c r="F714" s="1">
        <v>0.13780000000000001</v>
      </c>
      <c r="G714" s="1">
        <v>1.6000000000000001E-3</v>
      </c>
      <c r="H714" s="1">
        <v>0.85880000000000001</v>
      </c>
    </row>
    <row r="715" spans="1:8">
      <c r="A715" s="25" t="s">
        <v>348</v>
      </c>
      <c r="B715">
        <v>2699</v>
      </c>
      <c r="C715" t="s">
        <v>189</v>
      </c>
      <c r="D715">
        <v>10740</v>
      </c>
      <c r="E715" s="1">
        <v>1E-4</v>
      </c>
      <c r="F715" s="1">
        <v>0.1081</v>
      </c>
      <c r="G715" s="1">
        <v>2.0000000000000001E-4</v>
      </c>
      <c r="H715" s="1">
        <v>0.89159999999999995</v>
      </c>
    </row>
    <row r="716" spans="1:8">
      <c r="A716" s="25" t="s">
        <v>349</v>
      </c>
      <c r="B716">
        <v>2568</v>
      </c>
      <c r="C716" t="s">
        <v>189</v>
      </c>
      <c r="D716">
        <v>10740</v>
      </c>
      <c r="E716" s="1">
        <v>1.6000000000000001E-3</v>
      </c>
      <c r="F716" s="1">
        <v>7.0300000000000001E-2</v>
      </c>
      <c r="G716" s="1">
        <v>8.0000000000000004E-4</v>
      </c>
      <c r="H716" s="1">
        <v>0.92730000000000001</v>
      </c>
    </row>
    <row r="717" spans="1:8">
      <c r="A717" s="25" t="s">
        <v>350</v>
      </c>
      <c r="B717">
        <v>1884</v>
      </c>
      <c r="C717" t="s">
        <v>189</v>
      </c>
      <c r="D717">
        <v>10740</v>
      </c>
      <c r="E717" s="1">
        <v>5.9999999999999995E-4</v>
      </c>
      <c r="F717" s="1">
        <v>5.21E-2</v>
      </c>
      <c r="H717" s="1">
        <v>0.94730000000000003</v>
      </c>
    </row>
    <row r="718" spans="1:8">
      <c r="A718" s="25" t="s">
        <v>192</v>
      </c>
      <c r="B718">
        <v>10740</v>
      </c>
      <c r="C718" t="s">
        <v>192</v>
      </c>
      <c r="D718">
        <v>10740</v>
      </c>
      <c r="E718" s="1">
        <v>1E-3</v>
      </c>
      <c r="F718" s="1">
        <v>9.0999999999999998E-2</v>
      </c>
      <c r="G718" s="1">
        <v>8.0000000000000004E-4</v>
      </c>
      <c r="H718" s="1">
        <v>0.90720000000000001</v>
      </c>
    </row>
    <row r="720" spans="1:8" ht="43.5">
      <c r="A720" s="25" t="s">
        <v>380</v>
      </c>
    </row>
    <row r="721" spans="1:15">
      <c r="A721" s="25" t="s">
        <v>182</v>
      </c>
      <c r="B721" t="s">
        <v>219</v>
      </c>
      <c r="C721" t="s">
        <v>181</v>
      </c>
      <c r="D721" t="s">
        <v>188</v>
      </c>
      <c r="E721" t="s">
        <v>381</v>
      </c>
      <c r="F721" t="s">
        <v>382</v>
      </c>
      <c r="G721" t="s">
        <v>383</v>
      </c>
      <c r="H721" t="s">
        <v>384</v>
      </c>
      <c r="I721" t="s">
        <v>241</v>
      </c>
      <c r="J721" t="s">
        <v>385</v>
      </c>
      <c r="K721" t="s">
        <v>386</v>
      </c>
      <c r="L721" t="s">
        <v>243</v>
      </c>
      <c r="M721" t="s">
        <v>387</v>
      </c>
      <c r="N721" t="s">
        <v>388</v>
      </c>
      <c r="O721" t="s">
        <v>389</v>
      </c>
    </row>
    <row r="722" spans="1:15">
      <c r="A722" s="25" t="s">
        <v>352</v>
      </c>
      <c r="B722">
        <v>436</v>
      </c>
      <c r="C722" t="s">
        <v>189</v>
      </c>
      <c r="D722">
        <v>10723</v>
      </c>
      <c r="E722" s="1">
        <v>2.7000000000000001E-3</v>
      </c>
      <c r="F722" s="1">
        <v>0.61209999999999998</v>
      </c>
      <c r="G722" s="1">
        <v>1.84E-2</v>
      </c>
      <c r="H722" s="1">
        <v>9.2899999999999996E-2</v>
      </c>
      <c r="J722" s="1">
        <v>2.01E-2</v>
      </c>
      <c r="K722" s="1">
        <v>1.38E-2</v>
      </c>
      <c r="L722" s="1">
        <v>5.9999999999999995E-4</v>
      </c>
      <c r="M722" s="1">
        <v>0.42709999999999998</v>
      </c>
      <c r="N722" s="1">
        <v>2.9999999999999997E-4</v>
      </c>
      <c r="O722" s="1">
        <v>2.4E-2</v>
      </c>
    </row>
    <row r="723" spans="1:15">
      <c r="A723" s="25" t="s">
        <v>353</v>
      </c>
      <c r="B723">
        <v>597</v>
      </c>
      <c r="C723" t="s">
        <v>189</v>
      </c>
      <c r="D723">
        <v>10723</v>
      </c>
      <c r="F723" s="1">
        <v>0.59699999999999998</v>
      </c>
      <c r="G723" s="1">
        <v>8.6499999999999994E-2</v>
      </c>
      <c r="H723" s="1">
        <v>0.12189999999999999</v>
      </c>
      <c r="J723" s="1">
        <v>1.18E-2</v>
      </c>
      <c r="K723" s="1">
        <v>1.1000000000000001E-3</v>
      </c>
      <c r="M723" s="1">
        <v>0.23499999999999999</v>
      </c>
      <c r="O723" s="1">
        <v>7.3499999999999996E-2</v>
      </c>
    </row>
    <row r="724" spans="1:15">
      <c r="A724" s="25" t="s">
        <v>280</v>
      </c>
      <c r="B724">
        <v>223</v>
      </c>
      <c r="C724" t="s">
        <v>189</v>
      </c>
      <c r="D724">
        <v>10723</v>
      </c>
      <c r="E724" s="1">
        <v>1.9E-3</v>
      </c>
      <c r="F724" s="1">
        <v>0.42949999999999999</v>
      </c>
      <c r="G724" s="1">
        <v>0.17660000000000001</v>
      </c>
      <c r="H724" s="1">
        <v>0.16520000000000001</v>
      </c>
      <c r="J724" s="1">
        <v>2.4500000000000001E-2</v>
      </c>
      <c r="K724" s="1">
        <v>2E-3</v>
      </c>
      <c r="M724" s="1">
        <v>0.31950000000000001</v>
      </c>
      <c r="N724" s="1">
        <v>1.9E-3</v>
      </c>
      <c r="O724" s="1">
        <v>5.6399999999999999E-2</v>
      </c>
    </row>
    <row r="725" spans="1:15">
      <c r="A725" s="25" t="s">
        <v>354</v>
      </c>
      <c r="B725">
        <v>272</v>
      </c>
      <c r="C725" t="s">
        <v>189</v>
      </c>
      <c r="D725">
        <v>10723</v>
      </c>
      <c r="E725" s="1">
        <v>8.1100000000000005E-2</v>
      </c>
      <c r="F725" s="1">
        <v>0.22309999999999999</v>
      </c>
      <c r="G725" s="1">
        <v>0.14410000000000001</v>
      </c>
      <c r="H725" s="1">
        <v>0.24299999999999999</v>
      </c>
      <c r="I725" s="1">
        <v>3.0000000000000001E-3</v>
      </c>
      <c r="J725" s="1">
        <v>3.8800000000000001E-2</v>
      </c>
      <c r="K725" s="1">
        <v>4.4999999999999997E-3</v>
      </c>
      <c r="M725" s="1">
        <v>0.32990000000000003</v>
      </c>
      <c r="N725" s="1">
        <v>4.8300000000000003E-2</v>
      </c>
      <c r="O725" s="1">
        <v>4.3900000000000002E-2</v>
      </c>
    </row>
    <row r="726" spans="1:15">
      <c r="A726" s="25" t="s">
        <v>355</v>
      </c>
      <c r="B726">
        <v>261</v>
      </c>
      <c r="C726" t="s">
        <v>189</v>
      </c>
      <c r="D726">
        <v>10723</v>
      </c>
      <c r="E726" s="1">
        <v>0.10780000000000001</v>
      </c>
      <c r="F726" s="1">
        <v>0.1905</v>
      </c>
      <c r="G726" s="1">
        <v>0.1741</v>
      </c>
      <c r="H726" s="1">
        <v>0.23530000000000001</v>
      </c>
      <c r="J726" s="1">
        <v>5.8999999999999997E-2</v>
      </c>
      <c r="K726" s="1">
        <v>1.44E-2</v>
      </c>
      <c r="M726" s="1">
        <v>0.33189999999999997</v>
      </c>
      <c r="N726" s="1">
        <v>2.0899999999999998E-2</v>
      </c>
      <c r="O726" s="1">
        <v>7.9799999999999996E-2</v>
      </c>
    </row>
    <row r="727" spans="1:15">
      <c r="A727" s="25" t="s">
        <v>356</v>
      </c>
      <c r="B727">
        <v>373</v>
      </c>
      <c r="C727" t="s">
        <v>189</v>
      </c>
      <c r="D727">
        <v>10723</v>
      </c>
      <c r="E727" s="1">
        <v>4.2200000000000001E-2</v>
      </c>
      <c r="F727" s="1">
        <v>0.23469999999999999</v>
      </c>
      <c r="G727" s="1">
        <v>0.19209999999999999</v>
      </c>
      <c r="H727" s="1">
        <v>0.25769999999999998</v>
      </c>
      <c r="I727" s="1">
        <v>5.3E-3</v>
      </c>
      <c r="J727" s="1">
        <v>6.0100000000000001E-2</v>
      </c>
      <c r="K727" s="1">
        <v>2.9399999999999999E-2</v>
      </c>
      <c r="L727" s="1">
        <v>5.0000000000000001E-4</v>
      </c>
      <c r="M727" s="1">
        <v>0.3236</v>
      </c>
      <c r="N727" s="1">
        <v>1.44E-2</v>
      </c>
      <c r="O727" s="1">
        <v>7.0499999999999993E-2</v>
      </c>
    </row>
    <row r="728" spans="1:15">
      <c r="A728" s="25" t="s">
        <v>357</v>
      </c>
      <c r="B728">
        <v>550</v>
      </c>
      <c r="C728" t="s">
        <v>189</v>
      </c>
      <c r="D728">
        <v>10723</v>
      </c>
      <c r="E728" s="1">
        <v>3.9699999999999999E-2</v>
      </c>
      <c r="F728" s="1">
        <v>0.26440000000000002</v>
      </c>
      <c r="G728" s="1">
        <v>0.23350000000000001</v>
      </c>
      <c r="H728" s="1">
        <v>0.2291</v>
      </c>
      <c r="I728" s="1">
        <v>2.8E-3</v>
      </c>
      <c r="J728" s="1">
        <v>5.3999999999999999E-2</v>
      </c>
      <c r="K728" s="1">
        <v>2.7400000000000001E-2</v>
      </c>
      <c r="L728" s="1">
        <v>1.4E-3</v>
      </c>
      <c r="M728" s="1">
        <v>0.3115</v>
      </c>
      <c r="N728" s="1">
        <v>1.9199999999999998E-2</v>
      </c>
      <c r="O728" s="1">
        <v>4.1000000000000002E-2</v>
      </c>
    </row>
    <row r="729" spans="1:15">
      <c r="A729" s="25" t="s">
        <v>358</v>
      </c>
      <c r="B729">
        <v>605</v>
      </c>
      <c r="C729" t="s">
        <v>189</v>
      </c>
      <c r="D729">
        <v>10723</v>
      </c>
      <c r="E729" s="1">
        <v>4.8999999999999998E-3</v>
      </c>
      <c r="F729" s="1">
        <v>0.16819999999999999</v>
      </c>
      <c r="G729" s="1">
        <v>0.249</v>
      </c>
      <c r="H729" s="1">
        <v>0.27350000000000002</v>
      </c>
      <c r="I729" s="1">
        <v>1.2999999999999999E-3</v>
      </c>
      <c r="J729" s="1">
        <v>5.5399999999999998E-2</v>
      </c>
      <c r="K729" s="1">
        <v>1.66E-2</v>
      </c>
      <c r="L729" s="1">
        <v>5.0000000000000001E-4</v>
      </c>
      <c r="M729" s="1">
        <v>0.2833</v>
      </c>
      <c r="N729" s="1">
        <v>5.0000000000000001E-4</v>
      </c>
      <c r="O729" s="1">
        <v>7.0699999999999999E-2</v>
      </c>
    </row>
    <row r="730" spans="1:15">
      <c r="A730" s="25" t="s">
        <v>359</v>
      </c>
      <c r="B730">
        <v>674</v>
      </c>
      <c r="C730" t="s">
        <v>189</v>
      </c>
      <c r="D730">
        <v>10723</v>
      </c>
      <c r="F730" s="1">
        <v>0.18029999999999999</v>
      </c>
      <c r="G730" s="1">
        <v>0.3382</v>
      </c>
      <c r="H730" s="1">
        <v>0.2631</v>
      </c>
      <c r="I730" s="1">
        <v>7.3000000000000001E-3</v>
      </c>
      <c r="J730" s="1">
        <v>2.3599999999999999E-2</v>
      </c>
      <c r="K730" s="1">
        <v>3.2099999999999997E-2</v>
      </c>
      <c r="L730" s="1">
        <v>2.5999999999999999E-3</v>
      </c>
      <c r="M730" s="1">
        <v>0.28160000000000002</v>
      </c>
      <c r="O730" s="1">
        <v>5.5199999999999999E-2</v>
      </c>
    </row>
    <row r="731" spans="1:15">
      <c r="A731" s="25" t="s">
        <v>360</v>
      </c>
      <c r="B731">
        <v>623</v>
      </c>
      <c r="C731" t="s">
        <v>189</v>
      </c>
      <c r="D731">
        <v>10723</v>
      </c>
      <c r="E731" s="1">
        <v>1.6999999999999999E-3</v>
      </c>
      <c r="F731" s="1">
        <v>0.72150000000000003</v>
      </c>
      <c r="G731" s="1">
        <v>5.0599999999999999E-2</v>
      </c>
      <c r="H731" s="1">
        <v>0.11840000000000001</v>
      </c>
      <c r="J731" s="1">
        <v>1.7000000000000001E-2</v>
      </c>
      <c r="K731" s="1">
        <v>1.2500000000000001E-2</v>
      </c>
      <c r="M731" s="1">
        <v>0.1956</v>
      </c>
      <c r="O731" s="1">
        <v>2.0500000000000001E-2</v>
      </c>
    </row>
    <row r="732" spans="1:15">
      <c r="A732" s="25" t="s">
        <v>361</v>
      </c>
      <c r="B732">
        <v>736</v>
      </c>
      <c r="C732" t="s">
        <v>189</v>
      </c>
      <c r="D732">
        <v>10723</v>
      </c>
      <c r="F732" s="1">
        <v>0.18579999999999999</v>
      </c>
      <c r="G732" s="1">
        <v>0.38869999999999999</v>
      </c>
      <c r="H732" s="1">
        <v>0.22270000000000001</v>
      </c>
      <c r="I732" s="1">
        <v>2.0000000000000001E-4</v>
      </c>
      <c r="J732" s="1">
        <v>4.3299999999999998E-2</v>
      </c>
      <c r="K732" s="1">
        <v>3.1600000000000003E-2</v>
      </c>
      <c r="L732" s="1">
        <v>2.8E-3</v>
      </c>
      <c r="M732" s="1">
        <v>0.24229999999999999</v>
      </c>
      <c r="O732" s="1">
        <v>6.9199999999999998E-2</v>
      </c>
    </row>
    <row r="733" spans="1:15">
      <c r="A733" s="25" t="s">
        <v>362</v>
      </c>
      <c r="B733">
        <v>805</v>
      </c>
      <c r="C733" t="s">
        <v>189</v>
      </c>
      <c r="D733">
        <v>10723</v>
      </c>
      <c r="F733" s="1">
        <v>0.12809999999999999</v>
      </c>
      <c r="G733" s="1">
        <v>0.46949999999999997</v>
      </c>
      <c r="H733" s="1">
        <v>0.23250000000000001</v>
      </c>
      <c r="I733" s="1">
        <v>2.5000000000000001E-3</v>
      </c>
      <c r="J733" s="1">
        <v>5.7700000000000001E-2</v>
      </c>
      <c r="K733" s="1">
        <v>9.7999999999999997E-3</v>
      </c>
      <c r="L733" s="1">
        <v>2.5999999999999999E-3</v>
      </c>
      <c r="M733" s="1">
        <v>0.2407</v>
      </c>
      <c r="O733" s="1">
        <v>6.9400000000000003E-2</v>
      </c>
    </row>
    <row r="734" spans="1:15">
      <c r="A734" s="25" t="s">
        <v>284</v>
      </c>
      <c r="B734">
        <v>4568</v>
      </c>
      <c r="C734" t="s">
        <v>189</v>
      </c>
      <c r="D734">
        <v>10723</v>
      </c>
      <c r="F734" s="1">
        <v>9.8900000000000002E-2</v>
      </c>
      <c r="G734" s="1">
        <v>0.63049999999999995</v>
      </c>
      <c r="H734" s="1">
        <v>0.20380000000000001</v>
      </c>
      <c r="I734" s="1">
        <v>2.0000000000000001E-4</v>
      </c>
      <c r="J734" s="1">
        <v>4.6699999999999998E-2</v>
      </c>
      <c r="K734" s="1">
        <v>2.41E-2</v>
      </c>
      <c r="L734" s="1">
        <v>8.9999999999999998E-4</v>
      </c>
      <c r="M734" s="1">
        <v>0.19009999999999999</v>
      </c>
      <c r="O734" s="1">
        <v>3.6299999999999999E-2</v>
      </c>
    </row>
    <row r="735" spans="1:15">
      <c r="A735" s="25" t="s">
        <v>192</v>
      </c>
      <c r="B735">
        <v>10723</v>
      </c>
      <c r="C735" t="s">
        <v>192</v>
      </c>
      <c r="D735">
        <v>10723</v>
      </c>
      <c r="E735" s="1">
        <v>9.7999999999999997E-3</v>
      </c>
      <c r="F735" s="1">
        <v>0.2356</v>
      </c>
      <c r="G735" s="1">
        <v>0.3931</v>
      </c>
      <c r="H735" s="1">
        <v>0.2034</v>
      </c>
      <c r="I735" s="1">
        <v>1.1999999999999999E-3</v>
      </c>
      <c r="J735" s="1">
        <v>4.1700000000000001E-2</v>
      </c>
      <c r="K735" s="1">
        <v>2.01E-2</v>
      </c>
      <c r="L735" s="1">
        <v>1E-3</v>
      </c>
      <c r="M735" s="1">
        <v>0.24410000000000001</v>
      </c>
      <c r="N735" s="1">
        <v>3.8E-3</v>
      </c>
      <c r="O735" s="1">
        <v>4.7500000000000001E-2</v>
      </c>
    </row>
    <row r="737" spans="1:16" ht="57.95">
      <c r="A737" s="25" t="s">
        <v>390</v>
      </c>
    </row>
    <row r="738" spans="1:16">
      <c r="A738" s="25" t="s">
        <v>182</v>
      </c>
      <c r="B738" t="s">
        <v>286</v>
      </c>
      <c r="C738" t="s">
        <v>219</v>
      </c>
      <c r="D738" t="s">
        <v>181</v>
      </c>
      <c r="E738" t="s">
        <v>188</v>
      </c>
      <c r="F738" t="s">
        <v>381</v>
      </c>
      <c r="G738" t="s">
        <v>382</v>
      </c>
      <c r="H738" t="s">
        <v>383</v>
      </c>
      <c r="I738" t="s">
        <v>384</v>
      </c>
      <c r="J738" t="s">
        <v>241</v>
      </c>
      <c r="K738" t="s">
        <v>385</v>
      </c>
      <c r="L738" t="s">
        <v>386</v>
      </c>
      <c r="M738" t="s">
        <v>243</v>
      </c>
      <c r="N738" t="s">
        <v>387</v>
      </c>
      <c r="O738" t="s">
        <v>388</v>
      </c>
      <c r="P738" t="s">
        <v>389</v>
      </c>
    </row>
    <row r="739" spans="1:16">
      <c r="A739" s="25" t="s">
        <v>287</v>
      </c>
      <c r="B739" t="s">
        <v>352</v>
      </c>
      <c r="C739">
        <v>215</v>
      </c>
      <c r="D739" t="s">
        <v>189</v>
      </c>
      <c r="E739">
        <v>10723</v>
      </c>
      <c r="F739" s="1">
        <v>1.5E-3</v>
      </c>
      <c r="G739" s="1">
        <v>0.64739999999999998</v>
      </c>
      <c r="H739" s="1">
        <v>2.76E-2</v>
      </c>
      <c r="I739" s="1">
        <v>8.2299999999999998E-2</v>
      </c>
      <c r="L739" s="1">
        <v>1E-4</v>
      </c>
      <c r="N739" s="1">
        <v>0.41489999999999999</v>
      </c>
      <c r="P739" s="1">
        <v>3.4200000000000001E-2</v>
      </c>
    </row>
    <row r="740" spans="1:16">
      <c r="A740" s="25" t="s">
        <v>288</v>
      </c>
      <c r="B740" t="s">
        <v>361</v>
      </c>
      <c r="C740">
        <v>424</v>
      </c>
      <c r="D740" t="s">
        <v>189</v>
      </c>
      <c r="E740">
        <v>10723</v>
      </c>
      <c r="G740" s="1">
        <v>0.18920000000000001</v>
      </c>
      <c r="H740" s="1">
        <v>0.39229999999999998</v>
      </c>
      <c r="I740" s="1">
        <v>0.22439999999999999</v>
      </c>
      <c r="K740" s="1">
        <v>2.9000000000000001E-2</v>
      </c>
      <c r="L740" s="1">
        <v>0.04</v>
      </c>
      <c r="M740" s="1">
        <v>1.4E-3</v>
      </c>
      <c r="N740" s="1">
        <v>0.28520000000000001</v>
      </c>
      <c r="P740" s="1">
        <v>5.8500000000000003E-2</v>
      </c>
    </row>
    <row r="741" spans="1:16">
      <c r="A741" s="25" t="s">
        <v>288</v>
      </c>
      <c r="B741" t="s">
        <v>360</v>
      </c>
      <c r="C741">
        <v>329</v>
      </c>
      <c r="D741" t="s">
        <v>189</v>
      </c>
      <c r="E741">
        <v>10723</v>
      </c>
      <c r="G741" s="1">
        <v>0.77890000000000004</v>
      </c>
      <c r="H741" s="1">
        <v>4.7199999999999999E-2</v>
      </c>
      <c r="I741" s="1">
        <v>8.7499999999999994E-2</v>
      </c>
      <c r="K741" s="1">
        <v>8.8000000000000005E-3</v>
      </c>
      <c r="L741" s="1">
        <v>0.02</v>
      </c>
      <c r="N741" s="1">
        <v>0.18690000000000001</v>
      </c>
      <c r="P741" s="1">
        <v>1.44E-2</v>
      </c>
    </row>
    <row r="742" spans="1:16">
      <c r="A742" s="25" t="s">
        <v>288</v>
      </c>
      <c r="B742" t="s">
        <v>359</v>
      </c>
      <c r="C742">
        <v>396</v>
      </c>
      <c r="D742" t="s">
        <v>189</v>
      </c>
      <c r="E742">
        <v>10723</v>
      </c>
      <c r="G742" s="1">
        <v>0.20050000000000001</v>
      </c>
      <c r="H742" s="1">
        <v>0.33250000000000002</v>
      </c>
      <c r="I742" s="1">
        <v>0.28820000000000001</v>
      </c>
      <c r="J742" s="1">
        <v>1.2800000000000001E-2</v>
      </c>
      <c r="K742" s="1">
        <v>2.2599999999999999E-2</v>
      </c>
      <c r="L742" s="1">
        <v>4.24E-2</v>
      </c>
      <c r="M742" s="1">
        <v>4.4999999999999997E-3</v>
      </c>
      <c r="N742" s="1">
        <v>0.28689999999999999</v>
      </c>
      <c r="P742" s="1">
        <v>3.5900000000000001E-2</v>
      </c>
    </row>
    <row r="743" spans="1:16">
      <c r="A743" s="25" t="s">
        <v>288</v>
      </c>
      <c r="B743" t="s">
        <v>358</v>
      </c>
      <c r="C743">
        <v>334</v>
      </c>
      <c r="D743" t="s">
        <v>189</v>
      </c>
      <c r="E743">
        <v>10723</v>
      </c>
      <c r="F743" s="1">
        <v>8.9999999999999993E-3</v>
      </c>
      <c r="G743" s="1">
        <v>0.17660000000000001</v>
      </c>
      <c r="H743" s="1">
        <v>0.2258</v>
      </c>
      <c r="I743" s="1">
        <v>0.28220000000000001</v>
      </c>
      <c r="J743" s="1">
        <v>1.8E-3</v>
      </c>
      <c r="K743" s="1">
        <v>5.8299999999999998E-2</v>
      </c>
      <c r="L743" s="1">
        <v>2.7900000000000001E-2</v>
      </c>
      <c r="M743" s="1">
        <v>8.9999999999999998E-4</v>
      </c>
      <c r="N743" s="1">
        <v>0.26819999999999999</v>
      </c>
      <c r="O743" s="1">
        <v>8.9999999999999998E-4</v>
      </c>
      <c r="P743" s="1">
        <v>2.5899999999999999E-2</v>
      </c>
    </row>
    <row r="744" spans="1:16">
      <c r="A744" s="25" t="s">
        <v>288</v>
      </c>
      <c r="B744" t="s">
        <v>357</v>
      </c>
      <c r="C744">
        <v>330</v>
      </c>
      <c r="D744" t="s">
        <v>189</v>
      </c>
      <c r="E744">
        <v>10723</v>
      </c>
      <c r="F744" s="1">
        <v>6.6900000000000001E-2</v>
      </c>
      <c r="G744" s="1">
        <v>0.25719999999999998</v>
      </c>
      <c r="H744" s="1">
        <v>0.19139999999999999</v>
      </c>
      <c r="I744" s="1">
        <v>0.24310000000000001</v>
      </c>
      <c r="J744" s="1">
        <v>4.3E-3</v>
      </c>
      <c r="K744" s="1">
        <v>7.22E-2</v>
      </c>
      <c r="L744" s="1">
        <v>1.8700000000000001E-2</v>
      </c>
      <c r="M744" s="1">
        <v>2.3E-3</v>
      </c>
      <c r="N744" s="1">
        <v>0.35909999999999997</v>
      </c>
      <c r="O744" s="1">
        <v>3.2399999999999998E-2</v>
      </c>
      <c r="P744" s="1">
        <v>2.7199999999999998E-2</v>
      </c>
    </row>
    <row r="745" spans="1:16">
      <c r="A745" s="25" t="s">
        <v>288</v>
      </c>
      <c r="B745" t="s">
        <v>356</v>
      </c>
      <c r="C745">
        <v>229</v>
      </c>
      <c r="D745" t="s">
        <v>189</v>
      </c>
      <c r="E745">
        <v>10723</v>
      </c>
      <c r="F745" s="1">
        <v>6.9199999999999998E-2</v>
      </c>
      <c r="G745" s="1">
        <v>0.21890000000000001</v>
      </c>
      <c r="H745" s="1">
        <v>0.14929999999999999</v>
      </c>
      <c r="I745" s="1">
        <v>0.2525</v>
      </c>
      <c r="J745" s="1">
        <v>8.6999999999999994E-3</v>
      </c>
      <c r="K745" s="1">
        <v>6.6699999999999995E-2</v>
      </c>
      <c r="L745" s="1">
        <v>2.4299999999999999E-2</v>
      </c>
      <c r="N745" s="1">
        <v>0.3584</v>
      </c>
      <c r="O745" s="1">
        <v>2.3599999999999999E-2</v>
      </c>
      <c r="P745" s="1">
        <v>4.0599999999999997E-2</v>
      </c>
    </row>
    <row r="746" spans="1:16">
      <c r="A746" s="25" t="s">
        <v>288</v>
      </c>
      <c r="B746" t="s">
        <v>355</v>
      </c>
      <c r="C746">
        <v>179</v>
      </c>
      <c r="D746" t="s">
        <v>189</v>
      </c>
      <c r="E746">
        <v>10723</v>
      </c>
      <c r="F746" s="1">
        <v>0.16639999999999999</v>
      </c>
      <c r="G746" s="1">
        <v>0.21199999999999999</v>
      </c>
      <c r="H746" s="1">
        <v>0.15720000000000001</v>
      </c>
      <c r="I746" s="1">
        <v>0.24379999999999999</v>
      </c>
      <c r="K746" s="1">
        <v>0.06</v>
      </c>
      <c r="L746" s="1">
        <v>1.9800000000000002E-2</v>
      </c>
      <c r="N746" s="1">
        <v>0.33439999999999998</v>
      </c>
      <c r="O746" s="1">
        <v>3.2300000000000002E-2</v>
      </c>
      <c r="P746" s="1">
        <v>1.7299999999999999E-2</v>
      </c>
    </row>
    <row r="747" spans="1:16">
      <c r="A747" s="25" t="s">
        <v>288</v>
      </c>
      <c r="B747" t="s">
        <v>354</v>
      </c>
      <c r="C747">
        <v>146</v>
      </c>
      <c r="D747" t="s">
        <v>189</v>
      </c>
      <c r="E747">
        <v>10723</v>
      </c>
      <c r="F747" s="1">
        <v>0.1381</v>
      </c>
      <c r="G747" s="1">
        <v>0.21229999999999999</v>
      </c>
      <c r="H747" s="1">
        <v>0.1226</v>
      </c>
      <c r="I747" s="1">
        <v>0.25190000000000001</v>
      </c>
      <c r="J747" s="1">
        <v>5.0000000000000001E-3</v>
      </c>
      <c r="K747" s="1">
        <v>2.3599999999999999E-2</v>
      </c>
      <c r="L747" s="1">
        <v>3.3999999999999998E-3</v>
      </c>
      <c r="N747" s="1">
        <v>0.34670000000000001</v>
      </c>
      <c r="O747" s="1">
        <v>8.2299999999999998E-2</v>
      </c>
      <c r="P747" s="1">
        <v>2.6499999999999999E-2</v>
      </c>
    </row>
    <row r="748" spans="1:16">
      <c r="A748" s="25" t="s">
        <v>288</v>
      </c>
      <c r="B748" t="s">
        <v>280</v>
      </c>
      <c r="C748">
        <v>122</v>
      </c>
      <c r="D748" t="s">
        <v>189</v>
      </c>
      <c r="E748">
        <v>10723</v>
      </c>
      <c r="F748" s="1">
        <v>3.7000000000000002E-3</v>
      </c>
      <c r="G748" s="1">
        <v>0.51490000000000002</v>
      </c>
      <c r="H748" s="1">
        <v>0.14680000000000001</v>
      </c>
      <c r="I748" s="1">
        <v>0.15340000000000001</v>
      </c>
      <c r="K748" s="1">
        <v>2.3E-3</v>
      </c>
      <c r="N748" s="1">
        <v>0.3508</v>
      </c>
      <c r="O748" s="1">
        <v>3.7000000000000002E-3</v>
      </c>
      <c r="P748" s="1">
        <v>3.04E-2</v>
      </c>
    </row>
    <row r="749" spans="1:16">
      <c r="A749" s="25" t="s">
        <v>288</v>
      </c>
      <c r="B749" t="s">
        <v>353</v>
      </c>
      <c r="C749">
        <v>288</v>
      </c>
      <c r="D749" t="s">
        <v>189</v>
      </c>
      <c r="E749">
        <v>10723</v>
      </c>
      <c r="G749" s="1">
        <v>0.62680000000000002</v>
      </c>
      <c r="H749" s="1">
        <v>7.0499999999999993E-2</v>
      </c>
      <c r="I749" s="1">
        <v>0.111</v>
      </c>
      <c r="K749" s="1">
        <v>1.14E-2</v>
      </c>
      <c r="N749" s="1">
        <v>0.2432</v>
      </c>
      <c r="P749" s="1">
        <v>4.1399999999999999E-2</v>
      </c>
    </row>
    <row r="750" spans="1:16">
      <c r="A750" s="25" t="s">
        <v>288</v>
      </c>
      <c r="B750" t="s">
        <v>352</v>
      </c>
      <c r="C750">
        <v>221</v>
      </c>
      <c r="D750" t="s">
        <v>189</v>
      </c>
      <c r="E750">
        <v>10723</v>
      </c>
      <c r="F750" s="1">
        <v>4.0000000000000001E-3</v>
      </c>
      <c r="G750" s="1">
        <v>0.57799999999999996</v>
      </c>
      <c r="H750" s="1">
        <v>9.4999999999999998E-3</v>
      </c>
      <c r="I750" s="1">
        <v>0.1031</v>
      </c>
      <c r="K750" s="1">
        <v>3.95E-2</v>
      </c>
      <c r="L750" s="1">
        <v>2.7E-2</v>
      </c>
      <c r="M750" s="1">
        <v>1.1000000000000001E-3</v>
      </c>
      <c r="N750" s="1">
        <v>0.439</v>
      </c>
      <c r="O750" s="1">
        <v>6.9999999999999999E-4</v>
      </c>
      <c r="P750" s="1">
        <v>1.43E-2</v>
      </c>
    </row>
    <row r="751" spans="1:16">
      <c r="A751" s="25" t="s">
        <v>243</v>
      </c>
      <c r="B751" t="s">
        <v>284</v>
      </c>
      <c r="C751">
        <v>1</v>
      </c>
      <c r="D751" t="s">
        <v>189</v>
      </c>
      <c r="E751">
        <v>10723</v>
      </c>
      <c r="H751" s="1">
        <v>1</v>
      </c>
    </row>
    <row r="752" spans="1:16">
      <c r="A752" s="25" t="s">
        <v>288</v>
      </c>
      <c r="B752" t="s">
        <v>362</v>
      </c>
      <c r="C752">
        <v>465</v>
      </c>
      <c r="D752" t="s">
        <v>189</v>
      </c>
      <c r="E752">
        <v>10723</v>
      </c>
      <c r="G752" s="1">
        <v>0.13450000000000001</v>
      </c>
      <c r="H752" s="1">
        <v>0.48020000000000002</v>
      </c>
      <c r="I752" s="1">
        <v>0.2228</v>
      </c>
      <c r="J752" s="1">
        <v>3.8E-3</v>
      </c>
      <c r="K752" s="1">
        <v>4.7500000000000001E-2</v>
      </c>
      <c r="L752" s="1">
        <v>7.7000000000000002E-3</v>
      </c>
      <c r="N752" s="1">
        <v>0.27029999999999998</v>
      </c>
      <c r="P752" s="1">
        <v>5.8400000000000001E-2</v>
      </c>
    </row>
    <row r="753" spans="1:16">
      <c r="A753" s="25" t="s">
        <v>243</v>
      </c>
      <c r="B753" t="s">
        <v>359</v>
      </c>
      <c r="C753">
        <v>1</v>
      </c>
      <c r="D753" t="s">
        <v>189</v>
      </c>
      <c r="E753">
        <v>10723</v>
      </c>
      <c r="P753" s="1">
        <v>1</v>
      </c>
    </row>
    <row r="754" spans="1:16">
      <c r="A754" s="25" t="s">
        <v>287</v>
      </c>
      <c r="B754" t="s">
        <v>284</v>
      </c>
      <c r="C754">
        <v>1633</v>
      </c>
      <c r="D754" t="s">
        <v>189</v>
      </c>
      <c r="E754">
        <v>10723</v>
      </c>
      <c r="G754" s="1">
        <v>0.1003</v>
      </c>
      <c r="H754" s="1">
        <v>0.60129999999999995</v>
      </c>
      <c r="I754" s="1">
        <v>0.2019</v>
      </c>
      <c r="K754" s="1">
        <v>5.4100000000000002E-2</v>
      </c>
      <c r="L754" s="1">
        <v>2.7300000000000001E-2</v>
      </c>
      <c r="M754" s="1">
        <v>1E-4</v>
      </c>
      <c r="N754" s="1">
        <v>0.18229999999999999</v>
      </c>
      <c r="P754" s="1">
        <v>4.53E-2</v>
      </c>
    </row>
    <row r="755" spans="1:16">
      <c r="A755" s="25" t="s">
        <v>287</v>
      </c>
      <c r="B755" t="s">
        <v>362</v>
      </c>
      <c r="C755">
        <v>340</v>
      </c>
      <c r="D755" t="s">
        <v>189</v>
      </c>
      <c r="E755">
        <v>10723</v>
      </c>
      <c r="G755" s="1">
        <v>0.11890000000000001</v>
      </c>
      <c r="H755" s="1">
        <v>0.4541</v>
      </c>
      <c r="I755" s="1">
        <v>0.24660000000000001</v>
      </c>
      <c r="J755" s="1">
        <v>5.0000000000000001E-4</v>
      </c>
      <c r="K755" s="1">
        <v>7.2599999999999998E-2</v>
      </c>
      <c r="L755" s="1">
        <v>1.29E-2</v>
      </c>
      <c r="M755" s="1">
        <v>6.4000000000000003E-3</v>
      </c>
      <c r="N755" s="1">
        <v>0.19800000000000001</v>
      </c>
      <c r="P755" s="1">
        <v>8.5300000000000001E-2</v>
      </c>
    </row>
    <row r="756" spans="1:16">
      <c r="A756" s="25" t="s">
        <v>287</v>
      </c>
      <c r="B756" t="s">
        <v>361</v>
      </c>
      <c r="C756">
        <v>312</v>
      </c>
      <c r="D756" t="s">
        <v>189</v>
      </c>
      <c r="E756">
        <v>10723</v>
      </c>
      <c r="G756" s="1">
        <v>0.18179999999999999</v>
      </c>
      <c r="H756" s="1">
        <v>0.38440000000000002</v>
      </c>
      <c r="I756" s="1">
        <v>0.22070000000000001</v>
      </c>
      <c r="J756" s="1">
        <v>5.0000000000000001E-4</v>
      </c>
      <c r="K756" s="1">
        <v>6.0900000000000003E-2</v>
      </c>
      <c r="L756" s="1">
        <v>2.1399999999999999E-2</v>
      </c>
      <c r="M756" s="1">
        <v>4.4999999999999997E-3</v>
      </c>
      <c r="N756" s="1">
        <v>0.1895</v>
      </c>
      <c r="P756" s="1">
        <v>8.2400000000000001E-2</v>
      </c>
    </row>
    <row r="757" spans="1:16">
      <c r="A757" s="25" t="s">
        <v>287</v>
      </c>
      <c r="B757" t="s">
        <v>360</v>
      </c>
      <c r="C757">
        <v>294</v>
      </c>
      <c r="D757" t="s">
        <v>189</v>
      </c>
      <c r="E757">
        <v>10723</v>
      </c>
      <c r="F757" s="1">
        <v>3.3999999999999998E-3</v>
      </c>
      <c r="G757" s="1">
        <v>0.66239999999999999</v>
      </c>
      <c r="H757" s="1">
        <v>5.4100000000000002E-2</v>
      </c>
      <c r="I757" s="1">
        <v>0.15010000000000001</v>
      </c>
      <c r="K757" s="1">
        <v>2.5499999999999998E-2</v>
      </c>
      <c r="L757" s="1">
        <v>4.7999999999999996E-3</v>
      </c>
      <c r="N757" s="1">
        <v>0.20449999999999999</v>
      </c>
      <c r="P757" s="1">
        <v>2.6700000000000002E-2</v>
      </c>
    </row>
    <row r="758" spans="1:16">
      <c r="A758" s="25" t="s">
        <v>287</v>
      </c>
      <c r="B758" t="s">
        <v>359</v>
      </c>
      <c r="C758">
        <v>277</v>
      </c>
      <c r="D758" t="s">
        <v>189</v>
      </c>
      <c r="E758">
        <v>10723</v>
      </c>
      <c r="G758" s="1">
        <v>0.15459999999999999</v>
      </c>
      <c r="H758" s="1">
        <v>0.34660000000000002</v>
      </c>
      <c r="I758" s="1">
        <v>0.23130000000000001</v>
      </c>
      <c r="K758" s="1">
        <v>2.5100000000000001E-2</v>
      </c>
      <c r="L758" s="1">
        <v>1.8800000000000001E-2</v>
      </c>
      <c r="N758" s="1">
        <v>0.27560000000000001</v>
      </c>
      <c r="P758" s="1">
        <v>7.7700000000000005E-2</v>
      </c>
    </row>
    <row r="759" spans="1:16">
      <c r="A759" s="25" t="s">
        <v>287</v>
      </c>
      <c r="B759" t="s">
        <v>358</v>
      </c>
      <c r="C759">
        <v>270</v>
      </c>
      <c r="D759" t="s">
        <v>189</v>
      </c>
      <c r="E759">
        <v>10723</v>
      </c>
      <c r="G759" s="1">
        <v>0.15840000000000001</v>
      </c>
      <c r="H759" s="1">
        <v>0.27579999999999999</v>
      </c>
      <c r="I759" s="1">
        <v>0.26329999999999998</v>
      </c>
      <c r="J759" s="1">
        <v>5.9999999999999995E-4</v>
      </c>
      <c r="K759" s="1">
        <v>5.21E-2</v>
      </c>
      <c r="L759" s="1">
        <v>3.0999999999999999E-3</v>
      </c>
      <c r="N759" s="1">
        <v>0.30180000000000001</v>
      </c>
      <c r="P759" s="1">
        <v>0.12479999999999999</v>
      </c>
    </row>
    <row r="760" spans="1:16">
      <c r="A760" s="25" t="s">
        <v>287</v>
      </c>
      <c r="B760" t="s">
        <v>357</v>
      </c>
      <c r="C760">
        <v>220</v>
      </c>
      <c r="D760" t="s">
        <v>189</v>
      </c>
      <c r="E760">
        <v>10723</v>
      </c>
      <c r="G760" s="1">
        <v>0.27489999999999998</v>
      </c>
      <c r="H760" s="1">
        <v>0.29480000000000001</v>
      </c>
      <c r="I760" s="1">
        <v>0.20860000000000001</v>
      </c>
      <c r="J760" s="1">
        <v>6.9999999999999999E-4</v>
      </c>
      <c r="K760" s="1">
        <v>2.7400000000000001E-2</v>
      </c>
      <c r="L760" s="1">
        <v>0.04</v>
      </c>
      <c r="N760" s="1">
        <v>0.2422</v>
      </c>
      <c r="P760" s="1">
        <v>6.1100000000000002E-2</v>
      </c>
    </row>
    <row r="761" spans="1:16">
      <c r="A761" s="25" t="s">
        <v>287</v>
      </c>
      <c r="B761" t="s">
        <v>356</v>
      </c>
      <c r="C761">
        <v>144</v>
      </c>
      <c r="D761" t="s">
        <v>189</v>
      </c>
      <c r="E761">
        <v>10723</v>
      </c>
      <c r="G761" s="1">
        <v>0.25940000000000002</v>
      </c>
      <c r="H761" s="1">
        <v>0.25890000000000002</v>
      </c>
      <c r="I761" s="1">
        <v>0.26590000000000003</v>
      </c>
      <c r="K761" s="1">
        <v>4.9599999999999998E-2</v>
      </c>
      <c r="L761" s="1">
        <v>3.73E-2</v>
      </c>
      <c r="M761" s="1">
        <v>1.4E-3</v>
      </c>
      <c r="N761" s="1">
        <v>0.26910000000000001</v>
      </c>
      <c r="P761" s="1">
        <v>0.1171</v>
      </c>
    </row>
    <row r="762" spans="1:16">
      <c r="A762" s="25" t="s">
        <v>287</v>
      </c>
      <c r="B762" t="s">
        <v>355</v>
      </c>
      <c r="C762">
        <v>82</v>
      </c>
      <c r="D762" t="s">
        <v>189</v>
      </c>
      <c r="E762">
        <v>10723</v>
      </c>
      <c r="G762" s="1">
        <v>0.151</v>
      </c>
      <c r="H762" s="1">
        <v>0.20519999999999999</v>
      </c>
      <c r="I762" s="1">
        <v>0.21959999999999999</v>
      </c>
      <c r="K762" s="1">
        <v>5.7099999999999998E-2</v>
      </c>
      <c r="L762" s="1">
        <v>4.4000000000000003E-3</v>
      </c>
      <c r="N762" s="1">
        <v>0.32740000000000002</v>
      </c>
      <c r="P762" s="1">
        <v>0.19470000000000001</v>
      </c>
    </row>
    <row r="763" spans="1:16">
      <c r="A763" s="25" t="s">
        <v>287</v>
      </c>
      <c r="B763" t="s">
        <v>354</v>
      </c>
      <c r="C763">
        <v>126</v>
      </c>
      <c r="D763" t="s">
        <v>189</v>
      </c>
      <c r="E763">
        <v>10723</v>
      </c>
      <c r="G763" s="1">
        <v>0.23849999999999999</v>
      </c>
      <c r="H763" s="1">
        <v>0.17449999999999999</v>
      </c>
      <c r="I763" s="1">
        <v>0.23019999999999999</v>
      </c>
      <c r="K763" s="1">
        <v>6.0299999999999999E-2</v>
      </c>
      <c r="L763" s="1">
        <v>6.1000000000000004E-3</v>
      </c>
      <c r="N763" s="1">
        <v>0.30590000000000001</v>
      </c>
      <c r="P763" s="1">
        <v>6.8699999999999997E-2</v>
      </c>
    </row>
    <row r="764" spans="1:16">
      <c r="A764" s="25" t="s">
        <v>287</v>
      </c>
      <c r="B764" t="s">
        <v>280</v>
      </c>
      <c r="C764">
        <v>101</v>
      </c>
      <c r="D764" t="s">
        <v>189</v>
      </c>
      <c r="E764">
        <v>10723</v>
      </c>
      <c r="G764" s="1">
        <v>0.34229999999999999</v>
      </c>
      <c r="H764" s="1">
        <v>0.20699999999999999</v>
      </c>
      <c r="I764" s="1">
        <v>0.1772</v>
      </c>
      <c r="K764" s="1">
        <v>4.7199999999999999E-2</v>
      </c>
      <c r="L764" s="1">
        <v>4.1000000000000003E-3</v>
      </c>
      <c r="N764" s="1">
        <v>0.28760000000000002</v>
      </c>
      <c r="P764" s="1">
        <v>8.2900000000000001E-2</v>
      </c>
    </row>
    <row r="765" spans="1:16">
      <c r="A765" s="25" t="s">
        <v>287</v>
      </c>
      <c r="B765" t="s">
        <v>353</v>
      </c>
      <c r="C765">
        <v>309</v>
      </c>
      <c r="D765" t="s">
        <v>189</v>
      </c>
      <c r="E765">
        <v>10723</v>
      </c>
      <c r="G765" s="1">
        <v>0.57150000000000001</v>
      </c>
      <c r="H765" s="1">
        <v>0.1003</v>
      </c>
      <c r="I765" s="1">
        <v>0.1313</v>
      </c>
      <c r="K765" s="1">
        <v>1.2200000000000001E-2</v>
      </c>
      <c r="L765" s="1">
        <v>2.0999999999999999E-3</v>
      </c>
      <c r="N765" s="1">
        <v>0.22800000000000001</v>
      </c>
      <c r="P765" s="1">
        <v>0.10100000000000001</v>
      </c>
    </row>
    <row r="766" spans="1:16">
      <c r="A766" s="25" t="s">
        <v>243</v>
      </c>
      <c r="B766" t="s">
        <v>358</v>
      </c>
      <c r="C766">
        <v>1</v>
      </c>
      <c r="D766" t="s">
        <v>189</v>
      </c>
      <c r="E766">
        <v>10723</v>
      </c>
      <c r="H766" s="1">
        <v>1</v>
      </c>
    </row>
    <row r="767" spans="1:16">
      <c r="A767" s="25" t="s">
        <v>288</v>
      </c>
      <c r="B767" t="s">
        <v>284</v>
      </c>
      <c r="C767">
        <v>2934</v>
      </c>
      <c r="D767" t="s">
        <v>189</v>
      </c>
      <c r="E767">
        <v>10723</v>
      </c>
      <c r="G767" s="1">
        <v>9.8199999999999996E-2</v>
      </c>
      <c r="H767" s="1">
        <v>0.64649999999999996</v>
      </c>
      <c r="I767" s="1">
        <v>0.20480000000000001</v>
      </c>
      <c r="J767" s="1">
        <v>2.9999999999999997E-4</v>
      </c>
      <c r="K767" s="1">
        <v>4.2700000000000002E-2</v>
      </c>
      <c r="L767" s="1">
        <v>2.24E-2</v>
      </c>
      <c r="M767" s="1">
        <v>1.4E-3</v>
      </c>
      <c r="N767" s="1">
        <v>0.19439999999999999</v>
      </c>
      <c r="P767" s="1">
        <v>3.1300000000000001E-2</v>
      </c>
    </row>
    <row r="768" spans="1:16">
      <c r="A768" s="25" t="s">
        <v>192</v>
      </c>
      <c r="B768" t="s">
        <v>192</v>
      </c>
      <c r="C768">
        <v>10723</v>
      </c>
      <c r="D768" t="s">
        <v>192</v>
      </c>
      <c r="E768">
        <v>10723</v>
      </c>
      <c r="F768" s="1">
        <v>9.7999999999999997E-3</v>
      </c>
      <c r="G768" s="1">
        <v>0.2356</v>
      </c>
      <c r="H768" s="1">
        <v>0.3931</v>
      </c>
      <c r="I768" s="1">
        <v>0.2034</v>
      </c>
      <c r="J768" s="1">
        <v>1.1999999999999999E-3</v>
      </c>
      <c r="K768" s="1">
        <v>4.1700000000000001E-2</v>
      </c>
      <c r="L768" s="1">
        <v>2.01E-2</v>
      </c>
      <c r="M768" s="1">
        <v>1E-3</v>
      </c>
      <c r="N768" s="1">
        <v>0.24410000000000001</v>
      </c>
      <c r="O768" s="1">
        <v>3.8E-3</v>
      </c>
      <c r="P768" s="1">
        <v>4.7500000000000001E-2</v>
      </c>
    </row>
    <row r="770" spans="1:15" ht="43.5">
      <c r="A770" s="25" t="s">
        <v>391</v>
      </c>
    </row>
    <row r="771" spans="1:15">
      <c r="A771" s="25" t="s">
        <v>182</v>
      </c>
      <c r="B771" t="s">
        <v>219</v>
      </c>
      <c r="C771" t="s">
        <v>181</v>
      </c>
      <c r="D771" t="s">
        <v>188</v>
      </c>
      <c r="E771" t="s">
        <v>381</v>
      </c>
      <c r="F771" t="s">
        <v>382</v>
      </c>
      <c r="G771" t="s">
        <v>383</v>
      </c>
      <c r="H771" t="s">
        <v>384</v>
      </c>
      <c r="I771" t="s">
        <v>241</v>
      </c>
      <c r="J771" t="s">
        <v>385</v>
      </c>
      <c r="K771" t="s">
        <v>386</v>
      </c>
      <c r="L771" t="s">
        <v>243</v>
      </c>
      <c r="M771" t="s">
        <v>387</v>
      </c>
      <c r="N771" t="s">
        <v>388</v>
      </c>
      <c r="O771" t="s">
        <v>389</v>
      </c>
    </row>
    <row r="772" spans="1:15">
      <c r="A772" s="25" t="s">
        <v>190</v>
      </c>
      <c r="B772">
        <v>5139</v>
      </c>
      <c r="C772" t="s">
        <v>189</v>
      </c>
      <c r="D772">
        <v>10723</v>
      </c>
      <c r="E772" s="1">
        <v>5.8999999999999999E-3</v>
      </c>
      <c r="F772" s="1">
        <v>0.21249999999999999</v>
      </c>
      <c r="G772" s="1">
        <v>0.43919999999999998</v>
      </c>
      <c r="H772" s="1">
        <v>0.1925</v>
      </c>
      <c r="I772" s="1">
        <v>8.0000000000000004E-4</v>
      </c>
      <c r="J772" s="1">
        <v>4.3200000000000002E-2</v>
      </c>
      <c r="K772" s="1">
        <v>1.7000000000000001E-2</v>
      </c>
      <c r="L772" s="1">
        <v>1.5E-3</v>
      </c>
      <c r="M772" s="1">
        <v>0.223</v>
      </c>
      <c r="N772" s="1">
        <v>1.8E-3</v>
      </c>
      <c r="O772" s="1">
        <v>5.0200000000000002E-2</v>
      </c>
    </row>
    <row r="773" spans="1:15">
      <c r="A773" s="25" t="s">
        <v>191</v>
      </c>
      <c r="B773">
        <v>5513</v>
      </c>
      <c r="C773" t="s">
        <v>189</v>
      </c>
      <c r="D773">
        <v>10723</v>
      </c>
      <c r="E773" s="1">
        <v>1.26E-2</v>
      </c>
      <c r="F773" s="1">
        <v>0.252</v>
      </c>
      <c r="G773" s="1">
        <v>0.36009999999999998</v>
      </c>
      <c r="H773" s="1">
        <v>0.2114</v>
      </c>
      <c r="I773" s="1">
        <v>1.5E-3</v>
      </c>
      <c r="J773" s="1">
        <v>4.07E-2</v>
      </c>
      <c r="K773" s="1">
        <v>2.23E-2</v>
      </c>
      <c r="L773" s="1">
        <v>6.9999999999999999E-4</v>
      </c>
      <c r="M773" s="1">
        <v>0.25950000000000001</v>
      </c>
      <c r="N773" s="1">
        <v>5.1999999999999998E-3</v>
      </c>
      <c r="O773" s="1">
        <v>4.5699999999999998E-2</v>
      </c>
    </row>
    <row r="774" spans="1:15">
      <c r="A774" s="25" t="s">
        <v>192</v>
      </c>
      <c r="B774">
        <v>10723</v>
      </c>
      <c r="C774" t="s">
        <v>192</v>
      </c>
      <c r="D774">
        <v>10723</v>
      </c>
      <c r="E774" s="1">
        <v>9.7999999999999997E-3</v>
      </c>
      <c r="F774" s="1">
        <v>0.2356</v>
      </c>
      <c r="G774" s="1">
        <v>0.3931</v>
      </c>
      <c r="H774" s="1">
        <v>0.2034</v>
      </c>
      <c r="I774" s="1">
        <v>1.1999999999999999E-3</v>
      </c>
      <c r="J774" s="1">
        <v>4.1700000000000001E-2</v>
      </c>
      <c r="K774" s="1">
        <v>2.01E-2</v>
      </c>
      <c r="L774" s="1">
        <v>1E-3</v>
      </c>
      <c r="M774" s="1">
        <v>0.24410000000000001</v>
      </c>
      <c r="N774" s="1">
        <v>3.8E-3</v>
      </c>
      <c r="O774" s="1">
        <v>4.7500000000000001E-2</v>
      </c>
    </row>
    <row r="776" spans="1:15" ht="57.95">
      <c r="A776" s="25" t="s">
        <v>392</v>
      </c>
    </row>
    <row r="777" spans="1:15">
      <c r="A777" s="25" t="s">
        <v>182</v>
      </c>
      <c r="B777" t="s">
        <v>219</v>
      </c>
      <c r="C777" t="s">
        <v>181</v>
      </c>
      <c r="D777" t="s">
        <v>188</v>
      </c>
      <c r="E777" t="s">
        <v>381</v>
      </c>
      <c r="F777" t="s">
        <v>382</v>
      </c>
      <c r="G777" t="s">
        <v>383</v>
      </c>
      <c r="H777" t="s">
        <v>384</v>
      </c>
      <c r="I777" t="s">
        <v>241</v>
      </c>
      <c r="J777" t="s">
        <v>385</v>
      </c>
      <c r="K777" t="s">
        <v>386</v>
      </c>
      <c r="L777" t="s">
        <v>243</v>
      </c>
      <c r="M777" t="s">
        <v>387</v>
      </c>
      <c r="N777" t="s">
        <v>388</v>
      </c>
      <c r="O777" t="s">
        <v>389</v>
      </c>
    </row>
    <row r="778" spans="1:15" ht="29.1">
      <c r="A778" s="25" t="s">
        <v>194</v>
      </c>
      <c r="B778">
        <v>6233</v>
      </c>
      <c r="C778" t="s">
        <v>189</v>
      </c>
      <c r="D778">
        <v>10723</v>
      </c>
      <c r="E778" s="1">
        <v>1.12E-2</v>
      </c>
      <c r="F778" s="1">
        <v>0.25130000000000002</v>
      </c>
      <c r="G778" s="1">
        <v>0.3921</v>
      </c>
      <c r="H778" s="1">
        <v>0.19950000000000001</v>
      </c>
      <c r="I778" s="1">
        <v>8.9999999999999998E-4</v>
      </c>
      <c r="J778" s="1">
        <v>4.02E-2</v>
      </c>
      <c r="K778" s="1">
        <v>1.8800000000000001E-2</v>
      </c>
      <c r="L778" s="1">
        <v>1E-3</v>
      </c>
      <c r="M778" s="1">
        <v>0.2389</v>
      </c>
      <c r="N778" s="1">
        <v>3.8E-3</v>
      </c>
      <c r="O778" s="1">
        <v>5.1999999999999998E-2</v>
      </c>
    </row>
    <row r="779" spans="1:15" ht="29.1">
      <c r="A779" s="25" t="s">
        <v>195</v>
      </c>
      <c r="B779">
        <v>2645</v>
      </c>
      <c r="C779" t="s">
        <v>189</v>
      </c>
      <c r="D779">
        <v>10723</v>
      </c>
      <c r="E779" s="1">
        <v>7.7999999999999996E-3</v>
      </c>
      <c r="F779" s="1">
        <v>0.1938</v>
      </c>
      <c r="G779" s="1">
        <v>0.4047</v>
      </c>
      <c r="H779" s="1">
        <v>0.19900000000000001</v>
      </c>
      <c r="J779" s="1">
        <v>4.5499999999999999E-2</v>
      </c>
      <c r="K779" s="1">
        <v>2.1399999999999999E-2</v>
      </c>
      <c r="L779" s="1">
        <v>5.0000000000000001E-4</v>
      </c>
      <c r="M779" s="1">
        <v>0.2853</v>
      </c>
      <c r="N779" s="1">
        <v>5.0000000000000001E-3</v>
      </c>
      <c r="O779" s="1">
        <v>3.3000000000000002E-2</v>
      </c>
    </row>
    <row r="780" spans="1:15" ht="29.1">
      <c r="A780" s="25" t="s">
        <v>196</v>
      </c>
      <c r="B780">
        <v>1774</v>
      </c>
      <c r="C780" t="s">
        <v>189</v>
      </c>
      <c r="D780">
        <v>10723</v>
      </c>
      <c r="E780" s="1">
        <v>2.8999999999999998E-3</v>
      </c>
      <c r="F780" s="1">
        <v>0.18740000000000001</v>
      </c>
      <c r="G780" s="1">
        <v>0.37740000000000001</v>
      </c>
      <c r="H780" s="1">
        <v>0.2447</v>
      </c>
      <c r="I780" s="1">
        <v>5.3E-3</v>
      </c>
      <c r="J780" s="1">
        <v>4.7199999999999999E-2</v>
      </c>
      <c r="K780" s="1">
        <v>2.8000000000000001E-2</v>
      </c>
      <c r="L780" s="1">
        <v>2E-3</v>
      </c>
      <c r="M780" s="1">
        <v>0.2122</v>
      </c>
      <c r="N780" s="1">
        <v>1.1999999999999999E-3</v>
      </c>
      <c r="O780" s="1">
        <v>3.9300000000000002E-2</v>
      </c>
    </row>
    <row r="781" spans="1:15">
      <c r="A781" s="25" t="s">
        <v>192</v>
      </c>
      <c r="B781">
        <v>10723</v>
      </c>
      <c r="C781" t="s">
        <v>192</v>
      </c>
      <c r="D781">
        <v>10723</v>
      </c>
      <c r="E781" s="1">
        <v>9.7999999999999997E-3</v>
      </c>
      <c r="F781" s="1">
        <v>0.2356</v>
      </c>
      <c r="G781" s="1">
        <v>0.3931</v>
      </c>
      <c r="H781" s="1">
        <v>0.2034</v>
      </c>
      <c r="I781" s="1">
        <v>1.1999999999999999E-3</v>
      </c>
      <c r="J781" s="1">
        <v>4.1700000000000001E-2</v>
      </c>
      <c r="K781" s="1">
        <v>2.01E-2</v>
      </c>
      <c r="L781" s="1">
        <v>1E-3</v>
      </c>
      <c r="M781" s="1">
        <v>0.24410000000000001</v>
      </c>
      <c r="N781" s="1">
        <v>3.8E-3</v>
      </c>
      <c r="O781" s="1">
        <v>4.7500000000000001E-2</v>
      </c>
    </row>
    <row r="783" spans="1:15" ht="43.5">
      <c r="A783" s="25" t="s">
        <v>393</v>
      </c>
    </row>
    <row r="784" spans="1:15">
      <c r="A784" s="25" t="s">
        <v>182</v>
      </c>
      <c r="B784" t="s">
        <v>219</v>
      </c>
      <c r="C784" t="s">
        <v>181</v>
      </c>
      <c r="D784" t="s">
        <v>188</v>
      </c>
      <c r="E784" t="s">
        <v>381</v>
      </c>
      <c r="F784" t="s">
        <v>382</v>
      </c>
      <c r="G784" t="s">
        <v>383</v>
      </c>
      <c r="H784" t="s">
        <v>384</v>
      </c>
      <c r="I784" t="s">
        <v>241</v>
      </c>
      <c r="J784" t="s">
        <v>385</v>
      </c>
      <c r="K784" t="s">
        <v>386</v>
      </c>
      <c r="L784" t="s">
        <v>243</v>
      </c>
      <c r="M784" t="s">
        <v>387</v>
      </c>
      <c r="N784" t="s">
        <v>388</v>
      </c>
      <c r="O784" t="s">
        <v>389</v>
      </c>
    </row>
    <row r="785" spans="1:15">
      <c r="A785" s="25" t="s">
        <v>198</v>
      </c>
      <c r="B785">
        <v>3164</v>
      </c>
      <c r="C785" t="s">
        <v>189</v>
      </c>
      <c r="D785">
        <v>10723</v>
      </c>
      <c r="E785" s="1">
        <v>4.1999999999999997E-3</v>
      </c>
      <c r="F785" s="1">
        <v>0.12770000000000001</v>
      </c>
      <c r="G785" s="1">
        <v>0.52200000000000002</v>
      </c>
      <c r="H785" s="1">
        <v>0.24490000000000001</v>
      </c>
      <c r="I785" s="1">
        <v>1.4E-3</v>
      </c>
      <c r="J785" s="1">
        <v>5.45E-2</v>
      </c>
      <c r="K785" s="1">
        <v>2.7199999999999998E-2</v>
      </c>
      <c r="L785" s="1">
        <v>1.2999999999999999E-3</v>
      </c>
      <c r="M785" s="1">
        <v>0.20469999999999999</v>
      </c>
      <c r="N785" s="1">
        <v>1E-4</v>
      </c>
      <c r="O785" s="1">
        <v>5.7299999999999997E-2</v>
      </c>
    </row>
    <row r="786" spans="1:15">
      <c r="A786" s="25" t="s">
        <v>199</v>
      </c>
      <c r="B786">
        <v>7559</v>
      </c>
      <c r="C786" t="s">
        <v>189</v>
      </c>
      <c r="D786">
        <v>10723</v>
      </c>
      <c r="E786" s="1">
        <v>1.18E-2</v>
      </c>
      <c r="F786" s="1">
        <v>0.27250000000000002</v>
      </c>
      <c r="G786" s="1">
        <v>0.34910000000000002</v>
      </c>
      <c r="H786" s="1">
        <v>0.18920000000000001</v>
      </c>
      <c r="I786" s="1">
        <v>1.1000000000000001E-3</v>
      </c>
      <c r="J786" s="1">
        <v>3.73E-2</v>
      </c>
      <c r="K786" s="1">
        <v>1.77E-2</v>
      </c>
      <c r="L786" s="1">
        <v>8.9999999999999998E-4</v>
      </c>
      <c r="M786" s="1">
        <v>0.2576</v>
      </c>
      <c r="N786" s="1">
        <v>5.0000000000000001E-3</v>
      </c>
      <c r="O786" s="1">
        <v>4.4200000000000003E-2</v>
      </c>
    </row>
    <row r="787" spans="1:15">
      <c r="A787" s="25" t="s">
        <v>192</v>
      </c>
      <c r="B787">
        <v>10723</v>
      </c>
      <c r="C787" t="s">
        <v>192</v>
      </c>
      <c r="D787">
        <v>10723</v>
      </c>
      <c r="E787" s="1">
        <v>9.7999999999999997E-3</v>
      </c>
      <c r="F787" s="1">
        <v>0.2356</v>
      </c>
      <c r="G787" s="1">
        <v>0.3931</v>
      </c>
      <c r="H787" s="1">
        <v>0.2034</v>
      </c>
      <c r="I787" s="1">
        <v>1.1999999999999999E-3</v>
      </c>
      <c r="J787" s="1">
        <v>4.1700000000000001E-2</v>
      </c>
      <c r="K787" s="1">
        <v>2.01E-2</v>
      </c>
      <c r="L787" s="1">
        <v>1E-3</v>
      </c>
      <c r="M787" s="1">
        <v>0.24410000000000001</v>
      </c>
      <c r="N787" s="1">
        <v>3.8E-3</v>
      </c>
      <c r="O787" s="1">
        <v>4.7500000000000001E-2</v>
      </c>
    </row>
    <row r="789" spans="1:15" ht="43.5">
      <c r="A789" s="25" t="s">
        <v>394</v>
      </c>
    </row>
    <row r="790" spans="1:15">
      <c r="A790" s="25" t="s">
        <v>182</v>
      </c>
      <c r="B790" t="s">
        <v>219</v>
      </c>
      <c r="C790" t="s">
        <v>181</v>
      </c>
      <c r="D790" t="s">
        <v>188</v>
      </c>
      <c r="E790" t="s">
        <v>381</v>
      </c>
      <c r="F790" t="s">
        <v>382</v>
      </c>
      <c r="G790" t="s">
        <v>383</v>
      </c>
      <c r="H790" t="s">
        <v>384</v>
      </c>
      <c r="I790" t="s">
        <v>241</v>
      </c>
      <c r="J790" t="s">
        <v>385</v>
      </c>
      <c r="K790" t="s">
        <v>386</v>
      </c>
      <c r="L790" t="s">
        <v>243</v>
      </c>
      <c r="M790" t="s">
        <v>387</v>
      </c>
      <c r="N790" t="s">
        <v>388</v>
      </c>
      <c r="O790" t="s">
        <v>389</v>
      </c>
    </row>
    <row r="791" spans="1:15">
      <c r="A791" s="25" t="s">
        <v>201</v>
      </c>
      <c r="B791">
        <v>816</v>
      </c>
      <c r="C791" t="s">
        <v>189</v>
      </c>
      <c r="D791">
        <v>10723</v>
      </c>
      <c r="E791" s="1">
        <v>2.29E-2</v>
      </c>
      <c r="F791" s="1">
        <v>0.26050000000000001</v>
      </c>
      <c r="G791" s="1">
        <v>0.30669999999999997</v>
      </c>
      <c r="H791" s="1">
        <v>0.20979999999999999</v>
      </c>
      <c r="I791" s="1">
        <v>4.0000000000000002E-4</v>
      </c>
      <c r="J791" s="1">
        <v>5.28E-2</v>
      </c>
      <c r="K791" s="1">
        <v>3.3700000000000001E-2</v>
      </c>
      <c r="L791" s="1">
        <v>6.9999999999999999E-4</v>
      </c>
      <c r="M791" s="1">
        <v>0.27300000000000002</v>
      </c>
      <c r="N791" s="1">
        <v>5.4000000000000003E-3</v>
      </c>
      <c r="O791" s="1">
        <v>6.0600000000000001E-2</v>
      </c>
    </row>
    <row r="792" spans="1:15">
      <c r="A792" s="25" t="s">
        <v>237</v>
      </c>
      <c r="B792">
        <v>114</v>
      </c>
      <c r="C792" t="s">
        <v>189</v>
      </c>
      <c r="D792">
        <v>10723</v>
      </c>
      <c r="E792" s="1">
        <v>1.44E-2</v>
      </c>
      <c r="F792" s="1">
        <v>0.1573</v>
      </c>
      <c r="G792" s="1">
        <v>0.3458</v>
      </c>
      <c r="H792" s="1">
        <v>0.31480000000000002</v>
      </c>
      <c r="J792" s="1">
        <v>2.8000000000000001E-2</v>
      </c>
      <c r="K792" s="1">
        <v>3.32E-2</v>
      </c>
      <c r="L792" s="1">
        <v>3.7000000000000002E-3</v>
      </c>
      <c r="M792" s="1">
        <v>0.28100000000000003</v>
      </c>
      <c r="O792" s="1">
        <v>5.28E-2</v>
      </c>
    </row>
    <row r="793" spans="1:15">
      <c r="A793" s="25" t="s">
        <v>203</v>
      </c>
      <c r="B793">
        <v>8072</v>
      </c>
      <c r="C793" t="s">
        <v>189</v>
      </c>
      <c r="D793">
        <v>10723</v>
      </c>
      <c r="E793" s="1">
        <v>7.7000000000000002E-3</v>
      </c>
      <c r="F793" s="1">
        <v>0.2147</v>
      </c>
      <c r="G793" s="1">
        <v>0.42570000000000002</v>
      </c>
      <c r="H793" s="1">
        <v>0.2021</v>
      </c>
      <c r="I793" s="1">
        <v>1.1000000000000001E-3</v>
      </c>
      <c r="J793" s="1">
        <v>4.2999999999999997E-2</v>
      </c>
      <c r="K793" s="1">
        <v>1.8499999999999999E-2</v>
      </c>
      <c r="L793" s="1">
        <v>1E-3</v>
      </c>
      <c r="M793" s="1">
        <v>0.23230000000000001</v>
      </c>
      <c r="N793" s="1">
        <v>4.3E-3</v>
      </c>
      <c r="O793" s="1">
        <v>4.7600000000000003E-2</v>
      </c>
    </row>
    <row r="794" spans="1:15">
      <c r="A794" s="25" t="s">
        <v>204</v>
      </c>
      <c r="B794">
        <v>28</v>
      </c>
      <c r="C794" t="s">
        <v>189</v>
      </c>
      <c r="D794">
        <v>10723</v>
      </c>
      <c r="F794" s="1">
        <v>0.29060000000000002</v>
      </c>
      <c r="G794" s="1">
        <v>0.15989999999999999</v>
      </c>
      <c r="H794" s="1">
        <v>0.1333</v>
      </c>
      <c r="K794" s="1">
        <v>8.8999999999999999E-3</v>
      </c>
      <c r="L794" s="1">
        <v>8.3900000000000002E-2</v>
      </c>
      <c r="M794" s="1">
        <v>0.42930000000000001</v>
      </c>
    </row>
    <row r="795" spans="1:15">
      <c r="A795" s="25" t="s">
        <v>205</v>
      </c>
      <c r="B795">
        <v>1693</v>
      </c>
      <c r="C795" t="s">
        <v>189</v>
      </c>
      <c r="D795">
        <v>10723</v>
      </c>
      <c r="E795" s="1">
        <v>1.4200000000000001E-2</v>
      </c>
      <c r="F795" s="1">
        <v>0.33139999999999997</v>
      </c>
      <c r="G795" s="1">
        <v>0.27539999999999998</v>
      </c>
      <c r="H795" s="1">
        <v>0.20300000000000001</v>
      </c>
      <c r="I795" s="1">
        <v>1.8E-3</v>
      </c>
      <c r="J795" s="1">
        <v>3.09E-2</v>
      </c>
      <c r="K795" s="1">
        <v>2.1299999999999999E-2</v>
      </c>
      <c r="L795" s="1">
        <v>5.0000000000000001E-4</v>
      </c>
      <c r="M795" s="1">
        <v>0.28649999999999998</v>
      </c>
      <c r="N795" s="1">
        <v>6.9999999999999999E-4</v>
      </c>
      <c r="O795" s="1">
        <v>4.0899999999999999E-2</v>
      </c>
    </row>
    <row r="796" spans="1:15">
      <c r="A796" s="25" t="s">
        <v>192</v>
      </c>
      <c r="B796">
        <v>10723</v>
      </c>
      <c r="C796" t="s">
        <v>192</v>
      </c>
      <c r="D796">
        <v>10723</v>
      </c>
      <c r="E796" s="1">
        <v>9.7999999999999997E-3</v>
      </c>
      <c r="F796" s="1">
        <v>0.2356</v>
      </c>
      <c r="G796" s="1">
        <v>0.3931</v>
      </c>
      <c r="H796" s="1">
        <v>0.2034</v>
      </c>
      <c r="I796" s="1">
        <v>1.1999999999999999E-3</v>
      </c>
      <c r="J796" s="1">
        <v>4.1700000000000001E-2</v>
      </c>
      <c r="K796" s="1">
        <v>2.01E-2</v>
      </c>
      <c r="L796" s="1">
        <v>1E-3</v>
      </c>
      <c r="M796" s="1">
        <v>0.24410000000000001</v>
      </c>
      <c r="N796" s="1">
        <v>3.8E-3</v>
      </c>
      <c r="O796" s="1">
        <v>4.7500000000000001E-2</v>
      </c>
    </row>
    <row r="798" spans="1:15" ht="43.5">
      <c r="A798" s="25" t="s">
        <v>395</v>
      </c>
    </row>
    <row r="799" spans="1:15">
      <c r="A799" s="25" t="s">
        <v>182</v>
      </c>
      <c r="B799" t="s">
        <v>219</v>
      </c>
      <c r="C799" t="s">
        <v>181</v>
      </c>
      <c r="D799" t="s">
        <v>188</v>
      </c>
      <c r="E799" t="s">
        <v>381</v>
      </c>
      <c r="F799" t="s">
        <v>382</v>
      </c>
      <c r="G799" t="s">
        <v>383</v>
      </c>
      <c r="H799" t="s">
        <v>384</v>
      </c>
      <c r="I799" t="s">
        <v>241</v>
      </c>
      <c r="J799" t="s">
        <v>385</v>
      </c>
      <c r="K799" t="s">
        <v>386</v>
      </c>
      <c r="L799" t="s">
        <v>243</v>
      </c>
      <c r="M799" t="s">
        <v>387</v>
      </c>
      <c r="N799" t="s">
        <v>388</v>
      </c>
      <c r="O799" t="s">
        <v>389</v>
      </c>
    </row>
    <row r="800" spans="1:15">
      <c r="A800" s="25" t="s">
        <v>207</v>
      </c>
      <c r="B800">
        <v>7722</v>
      </c>
      <c r="C800" t="s">
        <v>189</v>
      </c>
      <c r="D800">
        <v>10723</v>
      </c>
      <c r="E800" s="1">
        <v>9.7000000000000003E-3</v>
      </c>
      <c r="F800" s="1">
        <v>0.23530000000000001</v>
      </c>
      <c r="G800" s="1">
        <v>0.38600000000000001</v>
      </c>
      <c r="H800" s="1">
        <v>0.19969999999999999</v>
      </c>
      <c r="I800" s="1">
        <v>1.1000000000000001E-3</v>
      </c>
      <c r="J800" s="1">
        <v>4.19E-2</v>
      </c>
      <c r="K800" s="1">
        <v>2.1299999999999999E-2</v>
      </c>
      <c r="L800" s="1">
        <v>1E-3</v>
      </c>
      <c r="M800" s="1">
        <v>0.24829999999999999</v>
      </c>
      <c r="N800" s="1">
        <v>3.5000000000000001E-3</v>
      </c>
      <c r="O800" s="1">
        <v>4.6800000000000001E-2</v>
      </c>
    </row>
    <row r="801" spans="1:15">
      <c r="A801" s="25" t="s">
        <v>208</v>
      </c>
      <c r="B801">
        <v>1297</v>
      </c>
      <c r="C801" t="s">
        <v>189</v>
      </c>
      <c r="D801">
        <v>10723</v>
      </c>
      <c r="F801" s="1">
        <v>0.12989999999999999</v>
      </c>
      <c r="G801" s="1">
        <v>0.56040000000000001</v>
      </c>
      <c r="H801" s="1">
        <v>0.25169999999999998</v>
      </c>
      <c r="I801" s="1">
        <v>4.0000000000000002E-4</v>
      </c>
      <c r="J801" s="1">
        <v>4.87E-2</v>
      </c>
      <c r="K801" s="1">
        <v>2.1399999999999999E-2</v>
      </c>
      <c r="L801" s="1">
        <v>1.5E-3</v>
      </c>
      <c r="M801" s="1">
        <v>0.21790000000000001</v>
      </c>
      <c r="O801" s="1">
        <v>5.7200000000000001E-2</v>
      </c>
    </row>
    <row r="802" spans="1:15">
      <c r="A802" s="25" t="s">
        <v>209</v>
      </c>
      <c r="B802">
        <v>1704</v>
      </c>
      <c r="C802" t="s">
        <v>189</v>
      </c>
      <c r="D802">
        <v>10723</v>
      </c>
      <c r="E802" s="1">
        <v>1.8200000000000001E-2</v>
      </c>
      <c r="F802" s="1">
        <v>0.3216</v>
      </c>
      <c r="G802" s="1">
        <v>0.29420000000000002</v>
      </c>
      <c r="H802" s="1">
        <v>0.18260000000000001</v>
      </c>
      <c r="I802" s="1">
        <v>2.2000000000000001E-3</v>
      </c>
      <c r="J802" s="1">
        <v>3.5200000000000002E-2</v>
      </c>
      <c r="K802" s="1">
        <v>1.34E-2</v>
      </c>
      <c r="L802" s="1">
        <v>8.9999999999999998E-4</v>
      </c>
      <c r="M802" s="1">
        <v>0.245</v>
      </c>
      <c r="N802" s="1">
        <v>8.2000000000000007E-3</v>
      </c>
      <c r="O802" s="1">
        <v>4.3099999999999999E-2</v>
      </c>
    </row>
    <row r="803" spans="1:15">
      <c r="A803" s="25" t="s">
        <v>192</v>
      </c>
      <c r="B803">
        <v>10723</v>
      </c>
      <c r="C803" t="s">
        <v>192</v>
      </c>
      <c r="D803">
        <v>10723</v>
      </c>
      <c r="E803" s="1">
        <v>9.7999999999999997E-3</v>
      </c>
      <c r="F803" s="1">
        <v>0.2356</v>
      </c>
      <c r="G803" s="1">
        <v>0.3931</v>
      </c>
      <c r="H803" s="1">
        <v>0.2034</v>
      </c>
      <c r="I803" s="1">
        <v>1.1999999999999999E-3</v>
      </c>
      <c r="J803" s="1">
        <v>4.1700000000000001E-2</v>
      </c>
      <c r="K803" s="1">
        <v>2.01E-2</v>
      </c>
      <c r="L803" s="1">
        <v>1E-3</v>
      </c>
      <c r="M803" s="1">
        <v>0.24410000000000001</v>
      </c>
      <c r="N803" s="1">
        <v>3.8E-3</v>
      </c>
      <c r="O803" s="1">
        <v>4.7500000000000001E-2</v>
      </c>
    </row>
    <row r="805" spans="1:15" ht="43.5">
      <c r="A805" s="25" t="s">
        <v>396</v>
      </c>
    </row>
    <row r="806" spans="1:15">
      <c r="A806" s="25" t="s">
        <v>182</v>
      </c>
      <c r="B806" t="s">
        <v>219</v>
      </c>
      <c r="C806" t="s">
        <v>181</v>
      </c>
      <c r="D806" t="s">
        <v>188</v>
      </c>
      <c r="E806" t="s">
        <v>381</v>
      </c>
      <c r="F806" t="s">
        <v>382</v>
      </c>
      <c r="G806" t="s">
        <v>383</v>
      </c>
      <c r="H806" t="s">
        <v>384</v>
      </c>
      <c r="I806" t="s">
        <v>241</v>
      </c>
      <c r="J806" t="s">
        <v>385</v>
      </c>
      <c r="K806" t="s">
        <v>386</v>
      </c>
      <c r="L806" t="s">
        <v>243</v>
      </c>
      <c r="M806" t="s">
        <v>387</v>
      </c>
      <c r="N806" t="s">
        <v>388</v>
      </c>
      <c r="O806" t="s">
        <v>389</v>
      </c>
    </row>
    <row r="807" spans="1:15">
      <c r="A807" s="25" t="s">
        <v>211</v>
      </c>
      <c r="B807">
        <v>5785</v>
      </c>
      <c r="C807" t="s">
        <v>189</v>
      </c>
      <c r="D807">
        <v>10723</v>
      </c>
      <c r="E807" s="1">
        <v>9.1000000000000004E-3</v>
      </c>
      <c r="F807" s="1">
        <v>0.2545</v>
      </c>
      <c r="G807" s="1">
        <v>0.3548</v>
      </c>
      <c r="H807" s="1">
        <v>0.19620000000000001</v>
      </c>
      <c r="I807" s="1">
        <v>6.9999999999999999E-4</v>
      </c>
      <c r="J807" s="1">
        <v>3.7400000000000003E-2</v>
      </c>
      <c r="K807" s="1">
        <v>2.01E-2</v>
      </c>
      <c r="L807" s="1">
        <v>1E-4</v>
      </c>
      <c r="M807" s="1">
        <v>0.2707</v>
      </c>
      <c r="N807" s="1">
        <v>3.0999999999999999E-3</v>
      </c>
      <c r="O807" s="1">
        <v>4.5600000000000002E-2</v>
      </c>
    </row>
    <row r="808" spans="1:15">
      <c r="A808" s="25" t="s">
        <v>212</v>
      </c>
      <c r="B808">
        <v>3022</v>
      </c>
      <c r="C808" t="s">
        <v>189</v>
      </c>
      <c r="D808">
        <v>10723</v>
      </c>
      <c r="E808" s="1">
        <v>4.4999999999999997E-3</v>
      </c>
      <c r="F808" s="1">
        <v>0.19489999999999999</v>
      </c>
      <c r="G808" s="1">
        <v>0.46050000000000002</v>
      </c>
      <c r="H808" s="1">
        <v>0.23069999999999999</v>
      </c>
      <c r="I808" s="1">
        <v>8.0000000000000004E-4</v>
      </c>
      <c r="J808" s="1">
        <v>4.4499999999999998E-2</v>
      </c>
      <c r="K808" s="1">
        <v>2.53E-2</v>
      </c>
      <c r="L808" s="1">
        <v>1.6000000000000001E-3</v>
      </c>
      <c r="M808" s="1">
        <v>0.2147</v>
      </c>
      <c r="N808" s="1">
        <v>2.5999999999999999E-3</v>
      </c>
      <c r="O808" s="1">
        <v>4.7699999999999999E-2</v>
      </c>
    </row>
    <row r="809" spans="1:15">
      <c r="A809" s="25" t="s">
        <v>213</v>
      </c>
      <c r="B809">
        <v>1916</v>
      </c>
      <c r="C809" t="s">
        <v>189</v>
      </c>
      <c r="D809">
        <v>10723</v>
      </c>
      <c r="E809" s="1">
        <v>1.9199999999999998E-2</v>
      </c>
      <c r="F809" s="1">
        <v>0.23930000000000001</v>
      </c>
      <c r="G809" s="1">
        <v>0.40670000000000001</v>
      </c>
      <c r="H809" s="1">
        <v>0.186</v>
      </c>
      <c r="I809" s="1">
        <v>3.0999999999999999E-3</v>
      </c>
      <c r="J809" s="1">
        <v>4.9599999999999998E-2</v>
      </c>
      <c r="K809" s="1">
        <v>1.3299999999999999E-2</v>
      </c>
      <c r="L809" s="1">
        <v>2.7000000000000001E-3</v>
      </c>
      <c r="M809" s="1">
        <v>0.21149999999999999</v>
      </c>
      <c r="N809" s="1">
        <v>7.3000000000000001E-3</v>
      </c>
      <c r="O809" s="1">
        <v>5.2699999999999997E-2</v>
      </c>
    </row>
    <row r="810" spans="1:15">
      <c r="A810" s="25" t="s">
        <v>192</v>
      </c>
      <c r="B810">
        <v>10723</v>
      </c>
      <c r="C810" t="s">
        <v>192</v>
      </c>
      <c r="D810">
        <v>10723</v>
      </c>
      <c r="E810" s="1">
        <v>9.7999999999999997E-3</v>
      </c>
      <c r="F810" s="1">
        <v>0.2356</v>
      </c>
      <c r="G810" s="1">
        <v>0.3931</v>
      </c>
      <c r="H810" s="1">
        <v>0.2034</v>
      </c>
      <c r="I810" s="1">
        <v>1.1999999999999999E-3</v>
      </c>
      <c r="J810" s="1">
        <v>4.1700000000000001E-2</v>
      </c>
      <c r="K810" s="1">
        <v>2.01E-2</v>
      </c>
      <c r="L810" s="1">
        <v>1E-3</v>
      </c>
      <c r="M810" s="1">
        <v>0.24410000000000001</v>
      </c>
      <c r="N810" s="1">
        <v>3.8E-3</v>
      </c>
      <c r="O810" s="1">
        <v>4.7500000000000001E-2</v>
      </c>
    </row>
    <row r="812" spans="1:15" ht="43.5">
      <c r="A812" s="25" t="s">
        <v>397</v>
      </c>
    </row>
    <row r="813" spans="1:15">
      <c r="A813" s="25" t="s">
        <v>182</v>
      </c>
      <c r="B813" t="s">
        <v>219</v>
      </c>
      <c r="C813" t="s">
        <v>181</v>
      </c>
      <c r="D813" t="s">
        <v>188</v>
      </c>
      <c r="E813" t="s">
        <v>381</v>
      </c>
      <c r="F813" t="s">
        <v>382</v>
      </c>
      <c r="G813" t="s">
        <v>383</v>
      </c>
      <c r="H813" t="s">
        <v>384</v>
      </c>
      <c r="I813" t="s">
        <v>241</v>
      </c>
      <c r="J813" t="s">
        <v>385</v>
      </c>
      <c r="K813" t="s">
        <v>386</v>
      </c>
      <c r="L813" t="s">
        <v>243</v>
      </c>
      <c r="M813" t="s">
        <v>387</v>
      </c>
      <c r="N813" t="s">
        <v>388</v>
      </c>
      <c r="O813" t="s">
        <v>389</v>
      </c>
    </row>
    <row r="814" spans="1:15">
      <c r="A814" s="25" t="s">
        <v>347</v>
      </c>
      <c r="B814">
        <v>2833</v>
      </c>
      <c r="C814" t="s">
        <v>189</v>
      </c>
      <c r="D814">
        <v>10723</v>
      </c>
      <c r="E814" s="1">
        <v>7.9000000000000008E-3</v>
      </c>
      <c r="F814" s="1">
        <v>0.20979999999999999</v>
      </c>
      <c r="G814" s="1">
        <v>0.41799999999999998</v>
      </c>
      <c r="H814" s="1">
        <v>0.2203</v>
      </c>
      <c r="I814" s="1">
        <v>1.9E-3</v>
      </c>
      <c r="J814" s="1">
        <v>3.9E-2</v>
      </c>
      <c r="K814" s="1">
        <v>2.1499999999999998E-2</v>
      </c>
      <c r="L814" s="1">
        <v>3.3E-3</v>
      </c>
      <c r="M814" s="1">
        <v>0.24149999999999999</v>
      </c>
      <c r="N814" s="1">
        <v>1.6000000000000001E-3</v>
      </c>
      <c r="O814" s="1">
        <v>4.2599999999999999E-2</v>
      </c>
    </row>
    <row r="815" spans="1:15">
      <c r="A815" s="25" t="s">
        <v>348</v>
      </c>
      <c r="B815">
        <v>2696</v>
      </c>
      <c r="C815" t="s">
        <v>189</v>
      </c>
      <c r="D815">
        <v>10723</v>
      </c>
      <c r="E815" s="1">
        <v>5.4000000000000003E-3</v>
      </c>
      <c r="F815" s="1">
        <v>0.20860000000000001</v>
      </c>
      <c r="G815" s="1">
        <v>0.46789999999999998</v>
      </c>
      <c r="H815" s="1">
        <v>0.19109999999999999</v>
      </c>
      <c r="I815" s="1">
        <v>2.0999999999999999E-3</v>
      </c>
      <c r="J815" s="1">
        <v>3.6400000000000002E-2</v>
      </c>
      <c r="K815" s="1">
        <v>2.2100000000000002E-2</v>
      </c>
      <c r="M815" s="1">
        <v>0.21390000000000001</v>
      </c>
      <c r="N815" s="1">
        <v>2.0999999999999999E-3</v>
      </c>
      <c r="O815" s="1">
        <v>5.33E-2</v>
      </c>
    </row>
    <row r="816" spans="1:15">
      <c r="A816" s="25" t="s">
        <v>349</v>
      </c>
      <c r="B816">
        <v>2566</v>
      </c>
      <c r="C816" t="s">
        <v>189</v>
      </c>
      <c r="D816">
        <v>10723</v>
      </c>
      <c r="E816" s="1">
        <v>1.2200000000000001E-2</v>
      </c>
      <c r="F816" s="1">
        <v>0.2366</v>
      </c>
      <c r="G816" s="1">
        <v>0.40570000000000001</v>
      </c>
      <c r="H816" s="1">
        <v>0.2</v>
      </c>
      <c r="J816" s="1">
        <v>3.6799999999999999E-2</v>
      </c>
      <c r="K816" s="1">
        <v>1.47E-2</v>
      </c>
      <c r="L816" s="1">
        <v>5.0000000000000001E-4</v>
      </c>
      <c r="M816" s="1">
        <v>0.22520000000000001</v>
      </c>
      <c r="N816" s="1">
        <v>6.4999999999999997E-3</v>
      </c>
      <c r="O816" s="1">
        <v>4.48E-2</v>
      </c>
    </row>
    <row r="817" spans="1:15">
      <c r="A817" s="25" t="s">
        <v>350</v>
      </c>
      <c r="B817">
        <v>1880</v>
      </c>
      <c r="C817" t="s">
        <v>189</v>
      </c>
      <c r="D817">
        <v>10723</v>
      </c>
      <c r="E817" s="1">
        <v>1.17E-2</v>
      </c>
      <c r="F817" s="1">
        <v>0.2666</v>
      </c>
      <c r="G817" s="1">
        <v>0.31359999999999999</v>
      </c>
      <c r="H817" s="1">
        <v>0.21110000000000001</v>
      </c>
      <c r="I817" s="1">
        <v>8.0000000000000004E-4</v>
      </c>
      <c r="J817" s="1">
        <v>5.4300000000000001E-2</v>
      </c>
      <c r="K817" s="1">
        <v>2.5999999999999999E-2</v>
      </c>
      <c r="M817" s="1">
        <v>0.28870000000000001</v>
      </c>
      <c r="N817" s="1">
        <v>5.3E-3</v>
      </c>
      <c r="O817" s="1">
        <v>4.7600000000000003E-2</v>
      </c>
    </row>
    <row r="818" spans="1:15">
      <c r="A818" s="25" t="s">
        <v>192</v>
      </c>
      <c r="B818">
        <v>10723</v>
      </c>
      <c r="C818" t="s">
        <v>192</v>
      </c>
      <c r="D818">
        <v>10723</v>
      </c>
      <c r="E818" s="1">
        <v>9.7999999999999997E-3</v>
      </c>
      <c r="F818" s="1">
        <v>0.2356</v>
      </c>
      <c r="G818" s="1">
        <v>0.3931</v>
      </c>
      <c r="H818" s="1">
        <v>0.2034</v>
      </c>
      <c r="I818" s="1">
        <v>1.1999999999999999E-3</v>
      </c>
      <c r="J818" s="1">
        <v>4.1700000000000001E-2</v>
      </c>
      <c r="K818" s="1">
        <v>2.01E-2</v>
      </c>
      <c r="L818" s="1">
        <v>1E-3</v>
      </c>
      <c r="M818" s="1">
        <v>0.24410000000000001</v>
      </c>
      <c r="N818" s="1">
        <v>3.8E-3</v>
      </c>
      <c r="O818" s="1">
        <v>4.7500000000000001E-2</v>
      </c>
    </row>
    <row r="820" spans="1:15" ht="29.1">
      <c r="A820" s="25" t="s">
        <v>398</v>
      </c>
    </row>
    <row r="821" spans="1:15">
      <c r="A821" s="25" t="s">
        <v>181</v>
      </c>
      <c r="B821" t="s">
        <v>182</v>
      </c>
      <c r="C821" t="s">
        <v>183</v>
      </c>
      <c r="D821" t="s">
        <v>184</v>
      </c>
      <c r="E821" t="s">
        <v>185</v>
      </c>
      <c r="F821" t="s">
        <v>186</v>
      </c>
      <c r="G821" t="s">
        <v>187</v>
      </c>
      <c r="H821" t="s">
        <v>188</v>
      </c>
    </row>
    <row r="822" spans="1:15">
      <c r="A822" s="25" t="s">
        <v>189</v>
      </c>
      <c r="B822" t="s">
        <v>190</v>
      </c>
      <c r="C822">
        <v>27.405739232350701</v>
      </c>
      <c r="D822">
        <v>20</v>
      </c>
      <c r="E822">
        <v>1</v>
      </c>
      <c r="F822">
        <v>180</v>
      </c>
      <c r="G822">
        <v>4889</v>
      </c>
      <c r="H822">
        <v>10416</v>
      </c>
    </row>
    <row r="823" spans="1:15">
      <c r="A823" s="25" t="s">
        <v>189</v>
      </c>
      <c r="B823" t="s">
        <v>191</v>
      </c>
      <c r="C823">
        <v>21.328219834625951</v>
      </c>
      <c r="D823">
        <v>20</v>
      </c>
      <c r="E823">
        <v>1</v>
      </c>
      <c r="F823">
        <v>180</v>
      </c>
      <c r="G823">
        <v>5470</v>
      </c>
      <c r="H823">
        <v>10416</v>
      </c>
    </row>
    <row r="824" spans="1:15">
      <c r="A824" s="25" t="s">
        <v>192</v>
      </c>
      <c r="B824" t="s">
        <v>192</v>
      </c>
      <c r="C824">
        <v>23.6515460627392</v>
      </c>
      <c r="D824">
        <v>20</v>
      </c>
      <c r="E824">
        <v>1</v>
      </c>
      <c r="F824">
        <v>180</v>
      </c>
      <c r="G824">
        <v>10416</v>
      </c>
      <c r="H824">
        <v>10416</v>
      </c>
    </row>
    <row r="826" spans="1:15" ht="43.5">
      <c r="A826" s="25" t="s">
        <v>399</v>
      </c>
    </row>
    <row r="827" spans="1:15">
      <c r="A827" s="25" t="s">
        <v>181</v>
      </c>
      <c r="B827" t="s">
        <v>182</v>
      </c>
      <c r="C827" t="s">
        <v>183</v>
      </c>
      <c r="D827" t="s">
        <v>184</v>
      </c>
      <c r="E827" t="s">
        <v>185</v>
      </c>
      <c r="F827" t="s">
        <v>186</v>
      </c>
      <c r="G827" t="s">
        <v>187</v>
      </c>
      <c r="H827" t="s">
        <v>188</v>
      </c>
    </row>
    <row r="828" spans="1:15">
      <c r="A828" s="25" t="s">
        <v>189</v>
      </c>
      <c r="B828" t="s">
        <v>194</v>
      </c>
      <c r="C828">
        <v>22.917205086360539</v>
      </c>
      <c r="D828">
        <v>20</v>
      </c>
      <c r="E828">
        <v>1</v>
      </c>
      <c r="F828">
        <v>180</v>
      </c>
      <c r="G828">
        <v>5948</v>
      </c>
      <c r="H828">
        <v>10416</v>
      </c>
    </row>
    <row r="829" spans="1:15">
      <c r="A829" s="25" t="s">
        <v>189</v>
      </c>
      <c r="B829" t="s">
        <v>195</v>
      </c>
      <c r="C829">
        <v>25.13315426428024</v>
      </c>
      <c r="D829">
        <v>20</v>
      </c>
      <c r="E829">
        <v>1</v>
      </c>
      <c r="F829">
        <v>180</v>
      </c>
      <c r="G829">
        <v>2695</v>
      </c>
      <c r="H829">
        <v>10416</v>
      </c>
    </row>
    <row r="830" spans="1:15">
      <c r="A830" s="25" t="s">
        <v>189</v>
      </c>
      <c r="B830" t="s">
        <v>196</v>
      </c>
      <c r="C830">
        <v>26.114020322894611</v>
      </c>
      <c r="D830">
        <v>20</v>
      </c>
      <c r="E830">
        <v>1</v>
      </c>
      <c r="F830">
        <v>180</v>
      </c>
      <c r="G830">
        <v>1716</v>
      </c>
      <c r="H830">
        <v>10416</v>
      </c>
    </row>
    <row r="831" spans="1:15">
      <c r="A831" s="25" t="s">
        <v>192</v>
      </c>
      <c r="B831" t="s">
        <v>192</v>
      </c>
      <c r="C831">
        <v>23.6515460627392</v>
      </c>
      <c r="D831">
        <v>20</v>
      </c>
      <c r="E831">
        <v>1</v>
      </c>
      <c r="F831">
        <v>180</v>
      </c>
      <c r="G831">
        <v>10416</v>
      </c>
      <c r="H831">
        <v>10416</v>
      </c>
    </row>
    <row r="833" spans="1:8" ht="43.5">
      <c r="A833" s="25" t="s">
        <v>400</v>
      </c>
    </row>
    <row r="834" spans="1:8">
      <c r="A834" s="25" t="s">
        <v>181</v>
      </c>
      <c r="B834" t="s">
        <v>182</v>
      </c>
      <c r="C834" t="s">
        <v>183</v>
      </c>
      <c r="D834" t="s">
        <v>184</v>
      </c>
      <c r="E834" t="s">
        <v>185</v>
      </c>
      <c r="F834" t="s">
        <v>186</v>
      </c>
      <c r="G834" t="s">
        <v>187</v>
      </c>
      <c r="H834" t="s">
        <v>188</v>
      </c>
    </row>
    <row r="835" spans="1:8">
      <c r="A835" s="25" t="s">
        <v>189</v>
      </c>
      <c r="B835" t="s">
        <v>198</v>
      </c>
      <c r="C835">
        <v>29.584672554657431</v>
      </c>
      <c r="D835">
        <v>25</v>
      </c>
      <c r="E835">
        <v>1</v>
      </c>
      <c r="F835">
        <v>180</v>
      </c>
      <c r="G835">
        <v>2256</v>
      </c>
      <c r="H835">
        <v>10416</v>
      </c>
    </row>
    <row r="836" spans="1:8">
      <c r="A836" s="25" t="s">
        <v>189</v>
      </c>
      <c r="B836" t="s">
        <v>199</v>
      </c>
      <c r="C836">
        <v>22.321828936832201</v>
      </c>
      <c r="D836">
        <v>20</v>
      </c>
      <c r="E836">
        <v>1</v>
      </c>
      <c r="F836">
        <v>180</v>
      </c>
      <c r="G836">
        <v>8160</v>
      </c>
      <c r="H836">
        <v>10416</v>
      </c>
    </row>
    <row r="837" spans="1:8">
      <c r="A837" s="25" t="s">
        <v>192</v>
      </c>
      <c r="B837" t="s">
        <v>192</v>
      </c>
      <c r="C837">
        <v>23.6515460627392</v>
      </c>
      <c r="D837">
        <v>20</v>
      </c>
      <c r="E837">
        <v>1</v>
      </c>
      <c r="F837">
        <v>180</v>
      </c>
      <c r="G837">
        <v>10416</v>
      </c>
      <c r="H837">
        <v>10416</v>
      </c>
    </row>
    <row r="839" spans="1:8" ht="43.5">
      <c r="A839" s="25" t="s">
        <v>401</v>
      </c>
    </row>
    <row r="840" spans="1:8">
      <c r="A840" s="25" t="s">
        <v>181</v>
      </c>
      <c r="B840" t="s">
        <v>182</v>
      </c>
      <c r="C840" t="s">
        <v>183</v>
      </c>
      <c r="D840" t="s">
        <v>184</v>
      </c>
      <c r="E840" t="s">
        <v>185</v>
      </c>
      <c r="F840" t="s">
        <v>186</v>
      </c>
      <c r="G840" t="s">
        <v>187</v>
      </c>
      <c r="H840" t="s">
        <v>188</v>
      </c>
    </row>
    <row r="841" spans="1:8">
      <c r="A841" s="25" t="s">
        <v>189</v>
      </c>
      <c r="B841" t="s">
        <v>201</v>
      </c>
      <c r="C841">
        <v>23.876359645932212</v>
      </c>
      <c r="D841">
        <v>20</v>
      </c>
      <c r="E841">
        <v>1</v>
      </c>
      <c r="F841">
        <v>180</v>
      </c>
      <c r="G841">
        <v>765</v>
      </c>
      <c r="H841">
        <v>10416</v>
      </c>
    </row>
    <row r="842" spans="1:8">
      <c r="A842" s="25" t="s">
        <v>189</v>
      </c>
      <c r="B842" t="s">
        <v>202</v>
      </c>
      <c r="C842">
        <v>26.565418982807749</v>
      </c>
      <c r="D842">
        <v>25</v>
      </c>
      <c r="E842">
        <v>2</v>
      </c>
      <c r="F842">
        <v>180</v>
      </c>
      <c r="G842">
        <v>108</v>
      </c>
      <c r="H842">
        <v>10416</v>
      </c>
    </row>
    <row r="843" spans="1:8">
      <c r="A843" s="25" t="s">
        <v>189</v>
      </c>
      <c r="B843" t="s">
        <v>203</v>
      </c>
      <c r="C843">
        <v>24.083405664943641</v>
      </c>
      <c r="D843">
        <v>20</v>
      </c>
      <c r="E843">
        <v>1</v>
      </c>
      <c r="F843">
        <v>180</v>
      </c>
      <c r="G843">
        <v>8032</v>
      </c>
      <c r="H843">
        <v>10416</v>
      </c>
    </row>
    <row r="844" spans="1:8">
      <c r="A844" s="25" t="s">
        <v>189</v>
      </c>
      <c r="B844" t="s">
        <v>204</v>
      </c>
      <c r="C844">
        <v>22.797352312131611</v>
      </c>
      <c r="D844">
        <v>20</v>
      </c>
      <c r="E844">
        <v>5</v>
      </c>
      <c r="F844">
        <v>120</v>
      </c>
      <c r="G844">
        <v>31</v>
      </c>
      <c r="H844">
        <v>10416</v>
      </c>
    </row>
    <row r="845" spans="1:8">
      <c r="A845" s="25" t="s">
        <v>189</v>
      </c>
      <c r="B845" t="s">
        <v>205</v>
      </c>
      <c r="C845">
        <v>20.96366844316843</v>
      </c>
      <c r="D845">
        <v>15</v>
      </c>
      <c r="E845">
        <v>1</v>
      </c>
      <c r="F845">
        <v>180</v>
      </c>
      <c r="G845">
        <v>1480</v>
      </c>
      <c r="H845">
        <v>10416</v>
      </c>
    </row>
    <row r="846" spans="1:8">
      <c r="A846" s="25" t="s">
        <v>192</v>
      </c>
      <c r="B846" t="s">
        <v>192</v>
      </c>
      <c r="C846">
        <v>23.6515460627392</v>
      </c>
      <c r="D846">
        <v>20</v>
      </c>
      <c r="E846">
        <v>1</v>
      </c>
      <c r="F846">
        <v>180</v>
      </c>
      <c r="G846">
        <v>10416</v>
      </c>
      <c r="H846">
        <v>10416</v>
      </c>
    </row>
    <row r="848" spans="1:8" ht="29.1">
      <c r="A848" s="25" t="s">
        <v>402</v>
      </c>
    </row>
    <row r="849" spans="1:8">
      <c r="A849" s="25" t="s">
        <v>181</v>
      </c>
      <c r="B849" t="s">
        <v>182</v>
      </c>
      <c r="C849" t="s">
        <v>183</v>
      </c>
      <c r="D849" t="s">
        <v>184</v>
      </c>
      <c r="E849" t="s">
        <v>185</v>
      </c>
      <c r="F849" t="s">
        <v>186</v>
      </c>
      <c r="G849" t="s">
        <v>187</v>
      </c>
      <c r="H849" t="s">
        <v>188</v>
      </c>
    </row>
    <row r="850" spans="1:8">
      <c r="A850" s="25" t="s">
        <v>189</v>
      </c>
      <c r="B850" t="s">
        <v>207</v>
      </c>
      <c r="C850">
        <v>23.023881306742911</v>
      </c>
      <c r="D850">
        <v>20</v>
      </c>
      <c r="E850">
        <v>1</v>
      </c>
      <c r="F850">
        <v>180</v>
      </c>
      <c r="G850">
        <v>7244</v>
      </c>
      <c r="H850">
        <v>10416</v>
      </c>
    </row>
    <row r="851" spans="1:8">
      <c r="A851" s="25" t="s">
        <v>189</v>
      </c>
      <c r="B851" t="s">
        <v>208</v>
      </c>
      <c r="C851">
        <v>25.306453143292241</v>
      </c>
      <c r="D851">
        <v>20</v>
      </c>
      <c r="E851">
        <v>1</v>
      </c>
      <c r="F851">
        <v>180</v>
      </c>
      <c r="G851">
        <v>2238</v>
      </c>
      <c r="H851">
        <v>10416</v>
      </c>
    </row>
    <row r="852" spans="1:8">
      <c r="A852" s="25" t="s">
        <v>189</v>
      </c>
      <c r="B852" t="s">
        <v>209</v>
      </c>
      <c r="C852">
        <v>24.49121792451653</v>
      </c>
      <c r="D852">
        <v>20</v>
      </c>
      <c r="E852">
        <v>1</v>
      </c>
      <c r="F852">
        <v>180</v>
      </c>
      <c r="G852">
        <v>934</v>
      </c>
      <c r="H852">
        <v>10416</v>
      </c>
    </row>
    <row r="853" spans="1:8">
      <c r="A853" s="25" t="s">
        <v>192</v>
      </c>
      <c r="B853" t="s">
        <v>192</v>
      </c>
      <c r="C853">
        <v>23.6515460627392</v>
      </c>
      <c r="D853">
        <v>20</v>
      </c>
      <c r="E853">
        <v>1</v>
      </c>
      <c r="F853">
        <v>180</v>
      </c>
      <c r="G853">
        <v>10416</v>
      </c>
      <c r="H853">
        <v>10416</v>
      </c>
    </row>
    <row r="855" spans="1:8" ht="29.1">
      <c r="A855" s="25" t="s">
        <v>403</v>
      </c>
    </row>
    <row r="856" spans="1:8">
      <c r="A856" s="25" t="s">
        <v>181</v>
      </c>
      <c r="B856" t="s">
        <v>182</v>
      </c>
      <c r="C856" t="s">
        <v>183</v>
      </c>
      <c r="D856" t="s">
        <v>184</v>
      </c>
      <c r="E856" t="s">
        <v>185</v>
      </c>
      <c r="F856" t="s">
        <v>186</v>
      </c>
      <c r="G856" t="s">
        <v>187</v>
      </c>
      <c r="H856" t="s">
        <v>188</v>
      </c>
    </row>
    <row r="857" spans="1:8">
      <c r="A857" s="25" t="s">
        <v>189</v>
      </c>
      <c r="B857" t="s">
        <v>211</v>
      </c>
      <c r="C857">
        <v>22.757333521644409</v>
      </c>
      <c r="D857">
        <v>20</v>
      </c>
      <c r="E857">
        <v>1</v>
      </c>
      <c r="F857">
        <v>180</v>
      </c>
      <c r="G857">
        <v>4965</v>
      </c>
      <c r="H857">
        <v>10416</v>
      </c>
    </row>
    <row r="858" spans="1:8">
      <c r="A858" s="25" t="s">
        <v>189</v>
      </c>
      <c r="B858" t="s">
        <v>212</v>
      </c>
      <c r="C858">
        <v>25.38928166471387</v>
      </c>
      <c r="D858">
        <v>20</v>
      </c>
      <c r="E858">
        <v>1</v>
      </c>
      <c r="F858">
        <v>180</v>
      </c>
      <c r="G858">
        <v>3368</v>
      </c>
      <c r="H858">
        <v>10416</v>
      </c>
    </row>
    <row r="859" spans="1:8">
      <c r="A859" s="25" t="s">
        <v>189</v>
      </c>
      <c r="B859" t="s">
        <v>213</v>
      </c>
      <c r="C859">
        <v>23.105434043431561</v>
      </c>
      <c r="D859">
        <v>20</v>
      </c>
      <c r="E859">
        <v>1</v>
      </c>
      <c r="F859">
        <v>180</v>
      </c>
      <c r="G859">
        <v>2083</v>
      </c>
      <c r="H859">
        <v>10416</v>
      </c>
    </row>
    <row r="860" spans="1:8">
      <c r="A860" s="25" t="s">
        <v>192</v>
      </c>
      <c r="B860" t="s">
        <v>192</v>
      </c>
      <c r="C860">
        <v>23.6515460627392</v>
      </c>
      <c r="D860">
        <v>20</v>
      </c>
      <c r="E860">
        <v>1</v>
      </c>
      <c r="F860">
        <v>180</v>
      </c>
      <c r="G860">
        <v>10416</v>
      </c>
      <c r="H860">
        <v>10416</v>
      </c>
    </row>
    <row r="862" spans="1:8" ht="43.5">
      <c r="A862" s="25" t="s">
        <v>404</v>
      </c>
    </row>
    <row r="863" spans="1:8">
      <c r="A863" s="25" t="s">
        <v>182</v>
      </c>
      <c r="B863" t="s">
        <v>219</v>
      </c>
      <c r="C863" t="s">
        <v>181</v>
      </c>
      <c r="D863" t="s">
        <v>188</v>
      </c>
      <c r="E863" t="s">
        <v>241</v>
      </c>
      <c r="F863" t="s">
        <v>220</v>
      </c>
      <c r="G863" t="s">
        <v>243</v>
      </c>
      <c r="H863" t="s">
        <v>221</v>
      </c>
    </row>
    <row r="864" spans="1:8">
      <c r="A864" s="25" t="s">
        <v>190</v>
      </c>
      <c r="B864">
        <v>4903</v>
      </c>
      <c r="C864" t="s">
        <v>189</v>
      </c>
      <c r="D864">
        <v>10434</v>
      </c>
      <c r="E864" s="1">
        <v>1.5E-3</v>
      </c>
      <c r="F864" s="1">
        <v>0.2145</v>
      </c>
      <c r="G864" s="1">
        <v>2.5999999999999999E-3</v>
      </c>
      <c r="H864" s="1">
        <v>0.78139999999999998</v>
      </c>
    </row>
    <row r="865" spans="1:8">
      <c r="A865" s="25" t="s">
        <v>191</v>
      </c>
      <c r="B865">
        <v>5474</v>
      </c>
      <c r="C865" t="s">
        <v>189</v>
      </c>
      <c r="D865">
        <v>10434</v>
      </c>
      <c r="E865" s="1">
        <v>1.8E-3</v>
      </c>
      <c r="F865" s="1">
        <v>0.2364</v>
      </c>
      <c r="G865" s="1">
        <v>4.0000000000000002E-4</v>
      </c>
      <c r="H865" s="1">
        <v>0.76129999999999998</v>
      </c>
    </row>
    <row r="866" spans="1:8">
      <c r="A866" s="25" t="s">
        <v>192</v>
      </c>
      <c r="B866">
        <v>10434</v>
      </c>
      <c r="C866" t="s">
        <v>192</v>
      </c>
      <c r="D866">
        <v>10434</v>
      </c>
      <c r="E866" s="1">
        <v>1.6999999999999999E-3</v>
      </c>
      <c r="F866" s="1">
        <v>0.2283</v>
      </c>
      <c r="G866" s="1">
        <v>1.1999999999999999E-3</v>
      </c>
      <c r="H866" s="1">
        <v>0.76880000000000004</v>
      </c>
    </row>
    <row r="868" spans="1:8" ht="43.5">
      <c r="A868" s="25" t="s">
        <v>405</v>
      </c>
    </row>
    <row r="869" spans="1:8">
      <c r="A869" s="25" t="s">
        <v>182</v>
      </c>
      <c r="B869" t="s">
        <v>219</v>
      </c>
      <c r="C869" t="s">
        <v>181</v>
      </c>
      <c r="D869" t="s">
        <v>188</v>
      </c>
      <c r="E869" t="s">
        <v>241</v>
      </c>
      <c r="F869" t="s">
        <v>220</v>
      </c>
      <c r="G869" t="s">
        <v>243</v>
      </c>
      <c r="H869" t="s">
        <v>221</v>
      </c>
    </row>
    <row r="870" spans="1:8" ht="29.1">
      <c r="A870" s="25" t="s">
        <v>194</v>
      </c>
      <c r="B870">
        <v>5954</v>
      </c>
      <c r="C870" t="s">
        <v>189</v>
      </c>
      <c r="D870">
        <v>10434</v>
      </c>
      <c r="E870" s="1">
        <v>1.8E-3</v>
      </c>
      <c r="F870" s="1">
        <v>0.2142</v>
      </c>
      <c r="G870" s="1">
        <v>1.6999999999999999E-3</v>
      </c>
      <c r="H870" s="1">
        <v>0.7823</v>
      </c>
    </row>
    <row r="871" spans="1:8" ht="29.1">
      <c r="A871" s="25" t="s">
        <v>195</v>
      </c>
      <c r="B871">
        <v>2703</v>
      </c>
      <c r="C871" t="s">
        <v>189</v>
      </c>
      <c r="D871">
        <v>10434</v>
      </c>
      <c r="E871" s="1">
        <v>2.9999999999999997E-4</v>
      </c>
      <c r="F871" s="1">
        <v>0.25779999999999997</v>
      </c>
      <c r="H871" s="1">
        <v>0.7419</v>
      </c>
    </row>
    <row r="872" spans="1:8" ht="29.1">
      <c r="A872" s="25" t="s">
        <v>196</v>
      </c>
      <c r="B872">
        <v>1720</v>
      </c>
      <c r="C872" t="s">
        <v>189</v>
      </c>
      <c r="D872">
        <v>10434</v>
      </c>
      <c r="E872" s="1">
        <v>4.0000000000000001E-3</v>
      </c>
      <c r="F872" s="1">
        <v>0.27289999999999998</v>
      </c>
      <c r="G872" s="1">
        <v>2.9999999999999997E-4</v>
      </c>
      <c r="H872" s="1">
        <v>0.72270000000000001</v>
      </c>
    </row>
    <row r="873" spans="1:8">
      <c r="A873" s="25" t="s">
        <v>192</v>
      </c>
      <c r="B873">
        <v>10434</v>
      </c>
      <c r="C873" t="s">
        <v>192</v>
      </c>
      <c r="D873">
        <v>10434</v>
      </c>
      <c r="E873" s="1">
        <v>1.6999999999999999E-3</v>
      </c>
      <c r="F873" s="1">
        <v>0.2283</v>
      </c>
      <c r="G873" s="1">
        <v>1.1999999999999999E-3</v>
      </c>
      <c r="H873" s="1">
        <v>0.76880000000000004</v>
      </c>
    </row>
    <row r="875" spans="1:8" ht="43.5">
      <c r="A875" s="25" t="s">
        <v>406</v>
      </c>
    </row>
    <row r="876" spans="1:8">
      <c r="A876" s="25" t="s">
        <v>182</v>
      </c>
      <c r="B876" t="s">
        <v>219</v>
      </c>
      <c r="C876" t="s">
        <v>181</v>
      </c>
      <c r="D876" t="s">
        <v>188</v>
      </c>
      <c r="E876" t="s">
        <v>241</v>
      </c>
      <c r="F876" t="s">
        <v>220</v>
      </c>
      <c r="G876" t="s">
        <v>243</v>
      </c>
      <c r="H876" t="s">
        <v>221</v>
      </c>
    </row>
    <row r="877" spans="1:8">
      <c r="A877" s="25" t="s">
        <v>198</v>
      </c>
      <c r="B877">
        <v>2264</v>
      </c>
      <c r="C877" t="s">
        <v>189</v>
      </c>
      <c r="D877">
        <v>10434</v>
      </c>
      <c r="E877" s="1">
        <v>5.9999999999999995E-4</v>
      </c>
      <c r="F877" s="1">
        <v>0.1065</v>
      </c>
      <c r="G877" s="1">
        <v>2.2000000000000001E-3</v>
      </c>
      <c r="H877" s="1">
        <v>0.89070000000000005</v>
      </c>
    </row>
    <row r="878" spans="1:8">
      <c r="A878" s="25" t="s">
        <v>199</v>
      </c>
      <c r="B878">
        <v>8170</v>
      </c>
      <c r="C878" t="s">
        <v>189</v>
      </c>
      <c r="D878">
        <v>10434</v>
      </c>
      <c r="E878" s="1">
        <v>2E-3</v>
      </c>
      <c r="F878" s="1">
        <v>0.25559999999999999</v>
      </c>
      <c r="G878" s="1">
        <v>1E-3</v>
      </c>
      <c r="H878" s="1">
        <v>0.74139999999999995</v>
      </c>
    </row>
    <row r="879" spans="1:8">
      <c r="A879" s="25" t="s">
        <v>192</v>
      </c>
      <c r="B879">
        <v>10434</v>
      </c>
      <c r="C879" t="s">
        <v>192</v>
      </c>
      <c r="D879">
        <v>10434</v>
      </c>
      <c r="E879" s="1">
        <v>1.6999999999999999E-3</v>
      </c>
      <c r="F879" s="1">
        <v>0.2283</v>
      </c>
      <c r="G879" s="1">
        <v>1.1999999999999999E-3</v>
      </c>
      <c r="H879" s="1">
        <v>0.76880000000000004</v>
      </c>
    </row>
    <row r="881" spans="1:8" ht="43.5">
      <c r="A881" s="25" t="s">
        <v>407</v>
      </c>
    </row>
    <row r="882" spans="1:8">
      <c r="A882" s="25" t="s">
        <v>182</v>
      </c>
      <c r="B882" t="s">
        <v>219</v>
      </c>
      <c r="C882" t="s">
        <v>181</v>
      </c>
      <c r="D882" t="s">
        <v>188</v>
      </c>
      <c r="E882" t="s">
        <v>241</v>
      </c>
      <c r="F882" t="s">
        <v>220</v>
      </c>
      <c r="G882" t="s">
        <v>243</v>
      </c>
      <c r="H882" t="s">
        <v>221</v>
      </c>
    </row>
    <row r="883" spans="1:8">
      <c r="A883" s="25" t="s">
        <v>201</v>
      </c>
      <c r="B883">
        <v>767</v>
      </c>
      <c r="C883" t="s">
        <v>189</v>
      </c>
      <c r="D883">
        <v>10434</v>
      </c>
      <c r="E883" s="1">
        <v>1.8E-3</v>
      </c>
      <c r="F883" s="1">
        <v>0.27389999999999998</v>
      </c>
      <c r="G883" s="1">
        <v>4.0000000000000002E-4</v>
      </c>
      <c r="H883" s="1">
        <v>0.72389999999999999</v>
      </c>
    </row>
    <row r="884" spans="1:8">
      <c r="A884" s="25" t="s">
        <v>202</v>
      </c>
      <c r="B884">
        <v>110</v>
      </c>
      <c r="C884" t="s">
        <v>189</v>
      </c>
      <c r="D884">
        <v>10434</v>
      </c>
      <c r="F884" s="1">
        <v>0.31109999999999999</v>
      </c>
      <c r="H884" s="1">
        <v>0.68889999999999996</v>
      </c>
    </row>
    <row r="885" spans="1:8">
      <c r="A885" s="25" t="s">
        <v>203</v>
      </c>
      <c r="B885">
        <v>8042</v>
      </c>
      <c r="C885" t="s">
        <v>189</v>
      </c>
      <c r="D885">
        <v>10434</v>
      </c>
      <c r="E885" s="1">
        <v>1.8E-3</v>
      </c>
      <c r="F885" s="1">
        <v>0.221</v>
      </c>
      <c r="G885" s="1">
        <v>1E-3</v>
      </c>
      <c r="H885" s="1">
        <v>0.77610000000000001</v>
      </c>
    </row>
    <row r="886" spans="1:8">
      <c r="A886" s="25" t="s">
        <v>204</v>
      </c>
      <c r="B886">
        <v>31</v>
      </c>
      <c r="C886" t="s">
        <v>189</v>
      </c>
      <c r="D886">
        <v>10434</v>
      </c>
      <c r="E886" s="1">
        <v>1.4500000000000001E-2</v>
      </c>
      <c r="F886" s="1">
        <v>0.41270000000000001</v>
      </c>
      <c r="G886" s="1">
        <v>7.2400000000000006E-2</v>
      </c>
      <c r="H886" s="1">
        <v>0.50039999999999996</v>
      </c>
    </row>
    <row r="887" spans="1:8">
      <c r="A887" s="25" t="s">
        <v>205</v>
      </c>
      <c r="B887">
        <v>1484</v>
      </c>
      <c r="C887" t="s">
        <v>189</v>
      </c>
      <c r="D887">
        <v>10434</v>
      </c>
      <c r="E887" s="1">
        <v>8.0000000000000004E-4</v>
      </c>
      <c r="F887" s="1">
        <v>0.2409</v>
      </c>
      <c r="G887" s="1">
        <v>2E-3</v>
      </c>
      <c r="H887" s="1">
        <v>0.75639999999999996</v>
      </c>
    </row>
    <row r="888" spans="1:8">
      <c r="A888" s="25" t="s">
        <v>192</v>
      </c>
      <c r="B888">
        <v>10434</v>
      </c>
      <c r="C888" t="s">
        <v>192</v>
      </c>
      <c r="D888">
        <v>10434</v>
      </c>
      <c r="E888" s="1">
        <v>1.6999999999999999E-3</v>
      </c>
      <c r="F888" s="1">
        <v>0.2283</v>
      </c>
      <c r="G888" s="1">
        <v>1.1999999999999999E-3</v>
      </c>
      <c r="H888" s="1">
        <v>0.76880000000000004</v>
      </c>
    </row>
    <row r="890" spans="1:8" ht="43.5">
      <c r="A890" s="25" t="s">
        <v>408</v>
      </c>
    </row>
    <row r="891" spans="1:8">
      <c r="A891" s="25" t="s">
        <v>182</v>
      </c>
      <c r="B891" t="s">
        <v>219</v>
      </c>
      <c r="C891" t="s">
        <v>181</v>
      </c>
      <c r="D891" t="s">
        <v>188</v>
      </c>
      <c r="E891" t="s">
        <v>241</v>
      </c>
      <c r="F891" t="s">
        <v>220</v>
      </c>
      <c r="G891" t="s">
        <v>243</v>
      </c>
      <c r="H891" t="s">
        <v>221</v>
      </c>
    </row>
    <row r="892" spans="1:8">
      <c r="A892" s="25" t="s">
        <v>207</v>
      </c>
      <c r="B892">
        <v>7254</v>
      </c>
      <c r="C892" t="s">
        <v>189</v>
      </c>
      <c r="D892">
        <v>10434</v>
      </c>
      <c r="E892" s="1">
        <v>2E-3</v>
      </c>
      <c r="F892" s="1">
        <v>0.2205</v>
      </c>
      <c r="G892" s="1">
        <v>1.1999999999999999E-3</v>
      </c>
      <c r="H892" s="1">
        <v>0.77629999999999999</v>
      </c>
    </row>
    <row r="893" spans="1:8">
      <c r="A893" s="25" t="s">
        <v>208</v>
      </c>
      <c r="B893">
        <v>2245</v>
      </c>
      <c r="C893" t="s">
        <v>189</v>
      </c>
      <c r="D893">
        <v>10434</v>
      </c>
      <c r="E893" s="1">
        <v>5.0000000000000001E-4</v>
      </c>
      <c r="F893" s="1">
        <v>0.2742</v>
      </c>
      <c r="G893" s="1">
        <v>1.8E-3</v>
      </c>
      <c r="H893" s="1">
        <v>0.72350000000000003</v>
      </c>
    </row>
    <row r="894" spans="1:8">
      <c r="A894" s="25" t="s">
        <v>209</v>
      </c>
      <c r="B894">
        <v>935</v>
      </c>
      <c r="C894" t="s">
        <v>189</v>
      </c>
      <c r="D894">
        <v>10434</v>
      </c>
      <c r="E894" s="1">
        <v>2.3999999999999998E-3</v>
      </c>
      <c r="F894" s="1">
        <v>0.16600000000000001</v>
      </c>
      <c r="H894" s="1">
        <v>0.83160000000000001</v>
      </c>
    </row>
    <row r="895" spans="1:8">
      <c r="A895" s="25" t="s">
        <v>192</v>
      </c>
      <c r="B895">
        <v>10434</v>
      </c>
      <c r="C895" t="s">
        <v>192</v>
      </c>
      <c r="D895">
        <v>10434</v>
      </c>
      <c r="E895" s="1">
        <v>1.6999999999999999E-3</v>
      </c>
      <c r="F895" s="1">
        <v>0.2283</v>
      </c>
      <c r="G895" s="1">
        <v>1.1999999999999999E-3</v>
      </c>
      <c r="H895" s="1">
        <v>0.76880000000000004</v>
      </c>
    </row>
    <row r="897" spans="1:8" ht="43.5">
      <c r="A897" s="25" t="s">
        <v>409</v>
      </c>
    </row>
    <row r="898" spans="1:8">
      <c r="A898" s="25" t="s">
        <v>182</v>
      </c>
      <c r="B898" t="s">
        <v>219</v>
      </c>
      <c r="C898" t="s">
        <v>181</v>
      </c>
      <c r="D898" t="s">
        <v>188</v>
      </c>
      <c r="E898" t="s">
        <v>241</v>
      </c>
      <c r="F898" t="s">
        <v>220</v>
      </c>
      <c r="G898" t="s">
        <v>243</v>
      </c>
      <c r="H898" t="s">
        <v>221</v>
      </c>
    </row>
    <row r="899" spans="1:8">
      <c r="A899" s="25" t="s">
        <v>211</v>
      </c>
      <c r="B899">
        <v>4972</v>
      </c>
      <c r="C899" t="s">
        <v>189</v>
      </c>
      <c r="D899">
        <v>10434</v>
      </c>
      <c r="E899" s="1">
        <v>1.4E-3</v>
      </c>
      <c r="F899" s="1">
        <v>0.20219999999999999</v>
      </c>
      <c r="G899" s="1">
        <v>5.9999999999999995E-4</v>
      </c>
      <c r="H899" s="1">
        <v>0.79579999999999995</v>
      </c>
    </row>
    <row r="900" spans="1:8">
      <c r="A900" s="25" t="s">
        <v>212</v>
      </c>
      <c r="B900">
        <v>3376</v>
      </c>
      <c r="C900" t="s">
        <v>189</v>
      </c>
      <c r="D900">
        <v>10434</v>
      </c>
      <c r="E900" s="1">
        <v>6.9999999999999999E-4</v>
      </c>
      <c r="F900" s="1">
        <v>0.21249999999999999</v>
      </c>
      <c r="G900" s="1">
        <v>1E-3</v>
      </c>
      <c r="H900" s="1">
        <v>0.78580000000000005</v>
      </c>
    </row>
    <row r="901" spans="1:8">
      <c r="A901" s="25" t="s">
        <v>213</v>
      </c>
      <c r="B901">
        <v>2086</v>
      </c>
      <c r="C901" t="s">
        <v>189</v>
      </c>
      <c r="D901">
        <v>10434</v>
      </c>
      <c r="E901" s="1">
        <v>3.7000000000000002E-3</v>
      </c>
      <c r="F901" s="1">
        <v>0.30680000000000002</v>
      </c>
      <c r="G901" s="1">
        <v>3.0999999999999999E-3</v>
      </c>
      <c r="H901" s="1">
        <v>0.68640000000000001</v>
      </c>
    </row>
    <row r="902" spans="1:8">
      <c r="A902" s="25" t="s">
        <v>192</v>
      </c>
      <c r="B902">
        <v>10434</v>
      </c>
      <c r="C902" t="s">
        <v>192</v>
      </c>
      <c r="D902">
        <v>10434</v>
      </c>
      <c r="E902" s="1">
        <v>1.6999999999999999E-3</v>
      </c>
      <c r="F902" s="1">
        <v>0.2283</v>
      </c>
      <c r="G902" s="1">
        <v>1.1999999999999999E-3</v>
      </c>
      <c r="H902" s="1">
        <v>0.76880000000000004</v>
      </c>
    </row>
    <row r="904" spans="1:8" ht="43.5">
      <c r="A904" s="25" t="s">
        <v>410</v>
      </c>
    </row>
    <row r="905" spans="1:8">
      <c r="A905" s="25" t="s">
        <v>182</v>
      </c>
      <c r="B905" t="s">
        <v>219</v>
      </c>
      <c r="C905" t="s">
        <v>181</v>
      </c>
      <c r="D905" t="s">
        <v>188</v>
      </c>
      <c r="E905" t="s">
        <v>241</v>
      </c>
      <c r="F905" t="s">
        <v>220</v>
      </c>
      <c r="G905" t="s">
        <v>243</v>
      </c>
      <c r="H905" t="s">
        <v>221</v>
      </c>
    </row>
    <row r="906" spans="1:8">
      <c r="A906" s="25" t="s">
        <v>190</v>
      </c>
      <c r="B906">
        <v>3667</v>
      </c>
      <c r="C906" t="s">
        <v>189</v>
      </c>
      <c r="D906">
        <v>7732</v>
      </c>
      <c r="E906" s="1">
        <v>2.0000000000000001E-4</v>
      </c>
      <c r="F906" s="1">
        <v>4.3799999999999999E-2</v>
      </c>
      <c r="G906" s="1">
        <v>1E-4</v>
      </c>
      <c r="H906" s="1">
        <v>0.95589999999999997</v>
      </c>
    </row>
    <row r="907" spans="1:8">
      <c r="A907" s="25" t="s">
        <v>191</v>
      </c>
      <c r="B907">
        <v>4033</v>
      </c>
      <c r="C907" t="s">
        <v>189</v>
      </c>
      <c r="D907">
        <v>7732</v>
      </c>
      <c r="E907" s="1">
        <v>2.0000000000000001E-4</v>
      </c>
      <c r="F907" s="1">
        <v>2.5600000000000001E-2</v>
      </c>
      <c r="H907" s="1">
        <v>0.97419999999999995</v>
      </c>
    </row>
    <row r="908" spans="1:8">
      <c r="A908" s="25" t="s">
        <v>192</v>
      </c>
      <c r="B908">
        <v>7732</v>
      </c>
      <c r="C908" t="s">
        <v>192</v>
      </c>
      <c r="D908">
        <v>7732</v>
      </c>
      <c r="E908" s="1">
        <v>2.0000000000000001E-4</v>
      </c>
      <c r="F908" s="1">
        <v>3.27E-2</v>
      </c>
      <c r="G908" s="1">
        <v>0</v>
      </c>
      <c r="H908" s="1">
        <v>0.96709999999999996</v>
      </c>
    </row>
    <row r="910" spans="1:8" ht="57.95">
      <c r="A910" s="25" t="s">
        <v>411</v>
      </c>
    </row>
    <row r="911" spans="1:8">
      <c r="A911" s="25" t="s">
        <v>182</v>
      </c>
      <c r="B911" t="s">
        <v>219</v>
      </c>
      <c r="C911" t="s">
        <v>181</v>
      </c>
      <c r="D911" t="s">
        <v>188</v>
      </c>
      <c r="E911" t="s">
        <v>241</v>
      </c>
      <c r="F911" t="s">
        <v>220</v>
      </c>
      <c r="G911" t="s">
        <v>243</v>
      </c>
      <c r="H911" t="s">
        <v>221</v>
      </c>
    </row>
    <row r="912" spans="1:8" ht="29.1">
      <c r="A912" s="25" t="s">
        <v>194</v>
      </c>
      <c r="B912">
        <v>4685</v>
      </c>
      <c r="C912" t="s">
        <v>189</v>
      </c>
      <c r="D912">
        <v>7732</v>
      </c>
      <c r="E912" s="1">
        <v>2.0000000000000001E-4</v>
      </c>
      <c r="F912" s="1">
        <v>3.09E-2</v>
      </c>
      <c r="H912" s="1">
        <v>0.96879999999999999</v>
      </c>
    </row>
    <row r="913" spans="1:8" ht="29.1">
      <c r="A913" s="25" t="s">
        <v>195</v>
      </c>
      <c r="B913">
        <v>2000</v>
      </c>
      <c r="C913" t="s">
        <v>189</v>
      </c>
      <c r="D913">
        <v>7732</v>
      </c>
      <c r="F913" s="1">
        <v>3.7499999999999999E-2</v>
      </c>
      <c r="G913" s="1">
        <v>1E-4</v>
      </c>
      <c r="H913" s="1">
        <v>0.96240000000000003</v>
      </c>
    </row>
    <row r="914" spans="1:8" ht="29.1">
      <c r="A914" s="25" t="s">
        <v>196</v>
      </c>
      <c r="B914">
        <v>1015</v>
      </c>
      <c r="C914" t="s">
        <v>189</v>
      </c>
      <c r="D914">
        <v>7732</v>
      </c>
      <c r="E914" s="1">
        <v>2.9999999999999997E-4</v>
      </c>
      <c r="F914" s="1">
        <v>3.6999999999999998E-2</v>
      </c>
      <c r="H914" s="1">
        <v>0.96260000000000001</v>
      </c>
    </row>
    <row r="915" spans="1:8">
      <c r="A915" s="25" t="s">
        <v>192</v>
      </c>
      <c r="B915">
        <v>7732</v>
      </c>
      <c r="C915" t="s">
        <v>192</v>
      </c>
      <c r="D915">
        <v>7732</v>
      </c>
      <c r="E915" s="1">
        <v>2.0000000000000001E-4</v>
      </c>
      <c r="F915" s="1">
        <v>3.27E-2</v>
      </c>
      <c r="G915" s="1">
        <v>0</v>
      </c>
      <c r="H915" s="1">
        <v>0.96709999999999996</v>
      </c>
    </row>
    <row r="917" spans="1:8" ht="43.5">
      <c r="A917" s="25" t="s">
        <v>412</v>
      </c>
    </row>
    <row r="918" spans="1:8">
      <c r="A918" s="25" t="s">
        <v>182</v>
      </c>
      <c r="B918" t="s">
        <v>219</v>
      </c>
      <c r="C918" t="s">
        <v>181</v>
      </c>
      <c r="D918" t="s">
        <v>188</v>
      </c>
      <c r="E918" t="s">
        <v>241</v>
      </c>
      <c r="F918" t="s">
        <v>220</v>
      </c>
      <c r="G918" t="s">
        <v>243</v>
      </c>
      <c r="H918" t="s">
        <v>221</v>
      </c>
    </row>
    <row r="919" spans="1:8">
      <c r="A919" s="25" t="s">
        <v>198</v>
      </c>
      <c r="B919">
        <v>1897</v>
      </c>
      <c r="C919" t="s">
        <v>189</v>
      </c>
      <c r="D919">
        <v>7732</v>
      </c>
      <c r="E919" s="1">
        <v>2.9999999999999997E-4</v>
      </c>
      <c r="F919" s="1">
        <v>7.4999999999999997E-2</v>
      </c>
      <c r="H919" s="1">
        <v>0.92469999999999997</v>
      </c>
    </row>
    <row r="920" spans="1:8">
      <c r="A920" s="25" t="s">
        <v>199</v>
      </c>
      <c r="B920">
        <v>5835</v>
      </c>
      <c r="C920" t="s">
        <v>189</v>
      </c>
      <c r="D920">
        <v>7732</v>
      </c>
      <c r="E920" s="1">
        <v>2.0000000000000001E-4</v>
      </c>
      <c r="F920" s="1">
        <v>2.12E-2</v>
      </c>
      <c r="G920" s="1">
        <v>0</v>
      </c>
      <c r="H920" s="1">
        <v>0.97860000000000003</v>
      </c>
    </row>
    <row r="921" spans="1:8">
      <c r="A921" s="25" t="s">
        <v>192</v>
      </c>
      <c r="B921">
        <v>7732</v>
      </c>
      <c r="C921" t="s">
        <v>192</v>
      </c>
      <c r="D921">
        <v>7732</v>
      </c>
      <c r="E921" s="1">
        <v>2.0000000000000001E-4</v>
      </c>
      <c r="F921" s="1">
        <v>3.27E-2</v>
      </c>
      <c r="G921" s="1">
        <v>0</v>
      </c>
      <c r="H921" s="1">
        <v>0.96709999999999996</v>
      </c>
    </row>
    <row r="923" spans="1:8" ht="43.5">
      <c r="A923" s="25" t="s">
        <v>413</v>
      </c>
    </row>
    <row r="924" spans="1:8">
      <c r="A924" s="25" t="s">
        <v>182</v>
      </c>
      <c r="B924" t="s">
        <v>219</v>
      </c>
      <c r="C924" t="s">
        <v>181</v>
      </c>
      <c r="D924" t="s">
        <v>188</v>
      </c>
      <c r="E924" t="s">
        <v>241</v>
      </c>
      <c r="F924" t="s">
        <v>220</v>
      </c>
      <c r="G924" t="s">
        <v>243</v>
      </c>
      <c r="H924" t="s">
        <v>221</v>
      </c>
    </row>
    <row r="925" spans="1:8">
      <c r="A925" s="25" t="s">
        <v>201</v>
      </c>
      <c r="B925">
        <v>501</v>
      </c>
      <c r="C925" t="s">
        <v>189</v>
      </c>
      <c r="D925">
        <v>7732</v>
      </c>
      <c r="E925" s="1">
        <v>5.9999999999999995E-4</v>
      </c>
      <c r="F925" s="1">
        <v>2.3400000000000001E-2</v>
      </c>
      <c r="H925" s="1">
        <v>0.97599999999999998</v>
      </c>
    </row>
    <row r="926" spans="1:8">
      <c r="A926" s="25" t="s">
        <v>202</v>
      </c>
      <c r="B926">
        <v>66</v>
      </c>
      <c r="C926" t="s">
        <v>189</v>
      </c>
      <c r="D926">
        <v>7732</v>
      </c>
      <c r="F926" s="1">
        <v>7.7200000000000005E-2</v>
      </c>
      <c r="H926" s="1">
        <v>0.92279999999999995</v>
      </c>
    </row>
    <row r="927" spans="1:8">
      <c r="A927" s="25" t="s">
        <v>203</v>
      </c>
      <c r="B927">
        <v>6126</v>
      </c>
      <c r="C927" t="s">
        <v>189</v>
      </c>
      <c r="D927">
        <v>7732</v>
      </c>
      <c r="E927" s="1">
        <v>2.0000000000000001E-4</v>
      </c>
      <c r="F927" s="1">
        <v>3.7100000000000001E-2</v>
      </c>
      <c r="G927" s="1">
        <v>0</v>
      </c>
      <c r="H927" s="1">
        <v>0.9627</v>
      </c>
    </row>
    <row r="928" spans="1:8">
      <c r="A928" s="25" t="s">
        <v>204</v>
      </c>
      <c r="B928">
        <v>15</v>
      </c>
      <c r="C928" t="s">
        <v>189</v>
      </c>
      <c r="D928">
        <v>7732</v>
      </c>
      <c r="F928" s="1">
        <v>2.1600000000000001E-2</v>
      </c>
      <c r="H928" s="1">
        <v>0.97840000000000005</v>
      </c>
    </row>
    <row r="929" spans="1:8">
      <c r="A929" s="25" t="s">
        <v>205</v>
      </c>
      <c r="B929">
        <v>1024</v>
      </c>
      <c r="C929" t="s">
        <v>189</v>
      </c>
      <c r="D929">
        <v>7732</v>
      </c>
      <c r="F929" s="1">
        <v>9.7000000000000003E-3</v>
      </c>
      <c r="H929" s="1">
        <v>0.99029999999999996</v>
      </c>
    </row>
    <row r="930" spans="1:8">
      <c r="A930" s="25" t="s">
        <v>192</v>
      </c>
      <c r="B930">
        <v>7732</v>
      </c>
      <c r="C930" t="s">
        <v>192</v>
      </c>
      <c r="D930">
        <v>7732</v>
      </c>
      <c r="E930" s="1">
        <v>2.0000000000000001E-4</v>
      </c>
      <c r="F930" s="1">
        <v>3.27E-2</v>
      </c>
      <c r="G930" s="1">
        <v>0</v>
      </c>
      <c r="H930" s="1">
        <v>0.96709999999999996</v>
      </c>
    </row>
    <row r="932" spans="1:8" ht="43.5">
      <c r="A932" s="25" t="s">
        <v>414</v>
      </c>
    </row>
    <row r="933" spans="1:8">
      <c r="A933" s="25" t="s">
        <v>182</v>
      </c>
      <c r="B933" t="s">
        <v>219</v>
      </c>
      <c r="C933" t="s">
        <v>181</v>
      </c>
      <c r="D933" t="s">
        <v>188</v>
      </c>
      <c r="E933" t="s">
        <v>241</v>
      </c>
      <c r="F933" t="s">
        <v>220</v>
      </c>
      <c r="G933" t="s">
        <v>243</v>
      </c>
      <c r="H933" t="s">
        <v>221</v>
      </c>
    </row>
    <row r="934" spans="1:8">
      <c r="A934" s="25" t="s">
        <v>207</v>
      </c>
      <c r="B934">
        <v>5380</v>
      </c>
      <c r="C934" t="s">
        <v>189</v>
      </c>
      <c r="D934">
        <v>7732</v>
      </c>
      <c r="E934" s="1">
        <v>2.0000000000000001E-4</v>
      </c>
      <c r="F934" s="1">
        <v>2.86E-2</v>
      </c>
      <c r="H934" s="1">
        <v>0.97119999999999995</v>
      </c>
    </row>
    <row r="935" spans="1:8">
      <c r="A935" s="25" t="s">
        <v>208</v>
      </c>
      <c r="B935">
        <v>1608</v>
      </c>
      <c r="C935" t="s">
        <v>189</v>
      </c>
      <c r="D935">
        <v>7732</v>
      </c>
      <c r="E935" s="1">
        <v>1E-4</v>
      </c>
      <c r="F935" s="1">
        <v>5.0599999999999999E-2</v>
      </c>
      <c r="G935" s="1">
        <v>1E-4</v>
      </c>
      <c r="H935" s="1">
        <v>0.94910000000000005</v>
      </c>
    </row>
    <row r="936" spans="1:8">
      <c r="A936" s="25" t="s">
        <v>209</v>
      </c>
      <c r="B936">
        <v>744</v>
      </c>
      <c r="C936" t="s">
        <v>189</v>
      </c>
      <c r="D936">
        <v>7732</v>
      </c>
      <c r="E936" s="1">
        <v>5.0000000000000001E-4</v>
      </c>
      <c r="F936" s="1">
        <v>2.12E-2</v>
      </c>
      <c r="H936" s="1">
        <v>0.97829999999999995</v>
      </c>
    </row>
    <row r="937" spans="1:8">
      <c r="A937" s="25" t="s">
        <v>192</v>
      </c>
      <c r="B937">
        <v>7732</v>
      </c>
      <c r="C937" t="s">
        <v>192</v>
      </c>
      <c r="D937">
        <v>7732</v>
      </c>
      <c r="E937" s="1">
        <v>2.0000000000000001E-4</v>
      </c>
      <c r="F937" s="1">
        <v>3.27E-2</v>
      </c>
      <c r="G937" s="1">
        <v>0</v>
      </c>
      <c r="H937" s="1">
        <v>0.96709999999999996</v>
      </c>
    </row>
    <row r="939" spans="1:8" ht="43.5">
      <c r="A939" s="25" t="s">
        <v>415</v>
      </c>
    </row>
    <row r="940" spans="1:8">
      <c r="A940" s="25" t="s">
        <v>182</v>
      </c>
      <c r="B940" t="s">
        <v>219</v>
      </c>
      <c r="C940" t="s">
        <v>181</v>
      </c>
      <c r="D940" t="s">
        <v>188</v>
      </c>
      <c r="E940" t="s">
        <v>241</v>
      </c>
      <c r="F940" t="s">
        <v>220</v>
      </c>
      <c r="G940" t="s">
        <v>243</v>
      </c>
      <c r="H940" t="s">
        <v>221</v>
      </c>
    </row>
    <row r="941" spans="1:8">
      <c r="A941" s="25" t="s">
        <v>211</v>
      </c>
      <c r="B941">
        <v>3856</v>
      </c>
      <c r="C941" t="s">
        <v>189</v>
      </c>
      <c r="D941">
        <v>7732</v>
      </c>
      <c r="F941" s="1">
        <v>1.9400000000000001E-2</v>
      </c>
      <c r="H941" s="1">
        <v>0.98060000000000003</v>
      </c>
    </row>
    <row r="942" spans="1:8">
      <c r="A942" s="25" t="s">
        <v>212</v>
      </c>
      <c r="B942">
        <v>2483</v>
      </c>
      <c r="C942" t="s">
        <v>189</v>
      </c>
      <c r="D942">
        <v>7732</v>
      </c>
      <c r="E942" s="1">
        <v>5.0000000000000001E-4</v>
      </c>
      <c r="F942" s="1">
        <v>4.0500000000000001E-2</v>
      </c>
      <c r="G942" s="1">
        <v>1E-4</v>
      </c>
      <c r="H942" s="1">
        <v>0.95889999999999997</v>
      </c>
    </row>
    <row r="943" spans="1:8">
      <c r="A943" s="25" t="s">
        <v>213</v>
      </c>
      <c r="B943">
        <v>1393</v>
      </c>
      <c r="C943" t="s">
        <v>189</v>
      </c>
      <c r="D943">
        <v>7732</v>
      </c>
      <c r="E943" s="1">
        <v>2.0000000000000001E-4</v>
      </c>
      <c r="F943" s="1">
        <v>5.28E-2</v>
      </c>
      <c r="H943" s="1">
        <v>0.94699999999999995</v>
      </c>
    </row>
    <row r="944" spans="1:8">
      <c r="A944" s="25" t="s">
        <v>192</v>
      </c>
      <c r="B944">
        <v>7732</v>
      </c>
      <c r="C944" t="s">
        <v>192</v>
      </c>
      <c r="D944">
        <v>7732</v>
      </c>
      <c r="E944" s="1">
        <v>2.0000000000000001E-4</v>
      </c>
      <c r="F944" s="1">
        <v>3.27E-2</v>
      </c>
      <c r="G944" s="1">
        <v>0</v>
      </c>
      <c r="H944" s="1">
        <v>0.96709999999999996</v>
      </c>
    </row>
    <row r="946" spans="1:19" ht="43.5">
      <c r="A946" s="25" t="s">
        <v>416</v>
      </c>
    </row>
    <row r="947" spans="1:19">
      <c r="A947" s="25" t="s">
        <v>182</v>
      </c>
      <c r="B947" t="s">
        <v>219</v>
      </c>
      <c r="C947" t="s">
        <v>181</v>
      </c>
      <c r="D947" t="s">
        <v>188</v>
      </c>
      <c r="E947" t="s">
        <v>241</v>
      </c>
      <c r="F947" t="s">
        <v>417</v>
      </c>
      <c r="G947" t="s">
        <v>418</v>
      </c>
      <c r="H947" t="s">
        <v>419</v>
      </c>
      <c r="I947" t="s">
        <v>420</v>
      </c>
      <c r="J947" t="s">
        <v>421</v>
      </c>
      <c r="K947" t="s">
        <v>422</v>
      </c>
      <c r="L947" t="s">
        <v>423</v>
      </c>
      <c r="M947" t="s">
        <v>424</v>
      </c>
      <c r="N947" t="s">
        <v>425</v>
      </c>
      <c r="O947" t="s">
        <v>426</v>
      </c>
      <c r="P947" t="s">
        <v>427</v>
      </c>
      <c r="Q947" t="s">
        <v>428</v>
      </c>
      <c r="R947" t="s">
        <v>429</v>
      </c>
      <c r="S947" t="s">
        <v>243</v>
      </c>
    </row>
    <row r="948" spans="1:19">
      <c r="A948" s="25" t="s">
        <v>190</v>
      </c>
      <c r="B948">
        <v>148</v>
      </c>
      <c r="C948" t="s">
        <v>189</v>
      </c>
      <c r="D948">
        <v>261</v>
      </c>
      <c r="F948" s="1">
        <v>3.32E-2</v>
      </c>
      <c r="G948" s="1">
        <v>3.3E-3</v>
      </c>
      <c r="H948" s="1">
        <v>0.50639999999999996</v>
      </c>
      <c r="I948" s="1">
        <v>5.4199999999999998E-2</v>
      </c>
      <c r="J948" s="1">
        <v>2.76E-2</v>
      </c>
      <c r="K948" s="1">
        <v>5.2299999999999999E-2</v>
      </c>
      <c r="L948" s="1">
        <v>0.17879999999999999</v>
      </c>
      <c r="M948" s="1">
        <v>0.13969999999999999</v>
      </c>
      <c r="N948" s="1">
        <v>2.06E-2</v>
      </c>
      <c r="O948" s="1">
        <v>8.7400000000000005E-2</v>
      </c>
      <c r="P948" s="1">
        <v>0.29799999999999999</v>
      </c>
      <c r="Q948" s="1">
        <v>0.1129</v>
      </c>
      <c r="R948" s="1">
        <v>6.9199999999999998E-2</v>
      </c>
    </row>
    <row r="949" spans="1:19">
      <c r="A949" s="25" t="s">
        <v>191</v>
      </c>
      <c r="B949">
        <v>113</v>
      </c>
      <c r="C949" t="s">
        <v>189</v>
      </c>
      <c r="D949">
        <v>261</v>
      </c>
      <c r="E949" s="1">
        <v>1.8499999999999999E-2</v>
      </c>
      <c r="F949" s="1">
        <v>5.16E-2</v>
      </c>
      <c r="H949" s="1">
        <v>0.39950000000000002</v>
      </c>
      <c r="I949" s="1">
        <v>4.0800000000000003E-2</v>
      </c>
      <c r="J949" s="1">
        <v>9.6000000000000002E-2</v>
      </c>
      <c r="K949" s="1">
        <v>0.1268</v>
      </c>
      <c r="L949" s="1">
        <v>0.37969999999999998</v>
      </c>
      <c r="M949" s="1">
        <v>0.1135</v>
      </c>
      <c r="N949" s="1">
        <v>8.1000000000000003E-2</v>
      </c>
      <c r="O949" s="1">
        <v>3.7999999999999999E-2</v>
      </c>
      <c r="P949" s="1">
        <v>0.30919999999999997</v>
      </c>
      <c r="Q949" s="1">
        <v>7.3099999999999998E-2</v>
      </c>
      <c r="R949" s="1">
        <v>0.1158</v>
      </c>
      <c r="S949" s="1">
        <v>2.9999999999999997E-4</v>
      </c>
    </row>
    <row r="950" spans="1:19">
      <c r="A950" s="25" t="s">
        <v>192</v>
      </c>
      <c r="B950">
        <v>261</v>
      </c>
      <c r="C950" t="s">
        <v>192</v>
      </c>
      <c r="D950">
        <v>261</v>
      </c>
      <c r="E950" s="1">
        <v>8.9999999999999993E-3</v>
      </c>
      <c r="F950" s="1">
        <v>4.2200000000000001E-2</v>
      </c>
      <c r="G950" s="1">
        <v>1.6999999999999999E-3</v>
      </c>
      <c r="H950" s="1">
        <v>0.45440000000000003</v>
      </c>
      <c r="I950" s="1">
        <v>4.7699999999999999E-2</v>
      </c>
      <c r="J950" s="1">
        <v>6.0900000000000003E-2</v>
      </c>
      <c r="K950" s="1">
        <v>8.8599999999999998E-2</v>
      </c>
      <c r="L950" s="1">
        <v>0.27650000000000002</v>
      </c>
      <c r="M950" s="1">
        <v>0.127</v>
      </c>
      <c r="N950" s="1">
        <v>4.99E-2</v>
      </c>
      <c r="O950" s="1">
        <v>6.3399999999999998E-2</v>
      </c>
      <c r="P950" s="1">
        <v>0.30349999999999999</v>
      </c>
      <c r="Q950" s="1">
        <v>9.3600000000000003E-2</v>
      </c>
      <c r="R950" s="1">
        <v>9.1899999999999996E-2</v>
      </c>
      <c r="S950" s="1">
        <v>1E-4</v>
      </c>
    </row>
    <row r="952" spans="1:19" ht="43.5">
      <c r="A952" s="25" t="s">
        <v>430</v>
      </c>
    </row>
    <row r="953" spans="1:19">
      <c r="A953" s="25" t="s">
        <v>182</v>
      </c>
      <c r="B953" t="s">
        <v>219</v>
      </c>
      <c r="C953" t="s">
        <v>181</v>
      </c>
      <c r="D953" t="s">
        <v>188</v>
      </c>
      <c r="E953" t="s">
        <v>241</v>
      </c>
      <c r="F953" t="s">
        <v>417</v>
      </c>
      <c r="G953" t="s">
        <v>418</v>
      </c>
      <c r="H953" t="s">
        <v>419</v>
      </c>
      <c r="I953" t="s">
        <v>420</v>
      </c>
      <c r="J953" t="s">
        <v>421</v>
      </c>
      <c r="K953" t="s">
        <v>422</v>
      </c>
      <c r="L953" t="s">
        <v>423</v>
      </c>
      <c r="M953" t="s">
        <v>424</v>
      </c>
      <c r="N953" t="s">
        <v>425</v>
      </c>
      <c r="O953" t="s">
        <v>426</v>
      </c>
      <c r="P953" t="s">
        <v>427</v>
      </c>
      <c r="Q953" t="s">
        <v>428</v>
      </c>
      <c r="R953" t="s">
        <v>429</v>
      </c>
      <c r="S953" t="s">
        <v>243</v>
      </c>
    </row>
    <row r="954" spans="1:19" ht="29.1">
      <c r="A954" s="25" t="s">
        <v>194</v>
      </c>
      <c r="B954">
        <v>153</v>
      </c>
      <c r="C954" t="s">
        <v>189</v>
      </c>
      <c r="D954">
        <v>261</v>
      </c>
      <c r="E954" s="1">
        <v>7.7999999999999996E-3</v>
      </c>
      <c r="F954" s="1">
        <v>2.5600000000000001E-2</v>
      </c>
      <c r="G954" s="1">
        <v>1.1000000000000001E-3</v>
      </c>
      <c r="H954" s="1">
        <v>0.44180000000000003</v>
      </c>
      <c r="I954" s="1">
        <v>6.0400000000000002E-2</v>
      </c>
      <c r="J954" s="1">
        <v>4.2099999999999999E-2</v>
      </c>
      <c r="K954" s="1">
        <v>8.6800000000000002E-2</v>
      </c>
      <c r="L954" s="1">
        <v>0.18229999999999999</v>
      </c>
      <c r="M954" s="1">
        <v>0.1288</v>
      </c>
      <c r="N954" s="1">
        <v>6.7500000000000004E-2</v>
      </c>
      <c r="O954" s="1">
        <v>6.3700000000000007E-2</v>
      </c>
      <c r="P954" s="1">
        <v>0.29170000000000001</v>
      </c>
      <c r="Q954" s="1">
        <v>0.11990000000000001</v>
      </c>
      <c r="R954" s="1">
        <v>7.6200000000000004E-2</v>
      </c>
    </row>
    <row r="955" spans="1:19" ht="29.1">
      <c r="A955" s="25" t="s">
        <v>195</v>
      </c>
      <c r="B955">
        <v>61</v>
      </c>
      <c r="C955" t="s">
        <v>189</v>
      </c>
      <c r="D955">
        <v>261</v>
      </c>
      <c r="E955" s="1">
        <v>1.77E-2</v>
      </c>
      <c r="F955" s="1">
        <v>5.74E-2</v>
      </c>
      <c r="H955" s="1">
        <v>0.51880000000000004</v>
      </c>
      <c r="I955" s="1">
        <v>6.8999999999999999E-3</v>
      </c>
      <c r="J955" s="1">
        <v>6.4399999999999999E-2</v>
      </c>
      <c r="K955" s="1">
        <v>0.1134</v>
      </c>
      <c r="L955" s="1">
        <v>0.54500000000000004</v>
      </c>
      <c r="M955" s="1">
        <v>0.1154</v>
      </c>
      <c r="N955" s="1">
        <v>6.7000000000000002E-3</v>
      </c>
      <c r="O955" s="1">
        <v>3.1699999999999999E-2</v>
      </c>
      <c r="P955" s="1">
        <v>0.2475</v>
      </c>
      <c r="Q955" s="1">
        <v>2.9399999999999999E-2</v>
      </c>
      <c r="R955" s="1">
        <v>0.11260000000000001</v>
      </c>
    </row>
    <row r="956" spans="1:19" ht="29.1">
      <c r="A956" s="25" t="s">
        <v>196</v>
      </c>
      <c r="B956">
        <v>47</v>
      </c>
      <c r="C956" t="s">
        <v>189</v>
      </c>
      <c r="D956">
        <v>261</v>
      </c>
      <c r="F956" s="1">
        <v>0.12559999999999999</v>
      </c>
      <c r="G956" s="1">
        <v>9.1999999999999998E-3</v>
      </c>
      <c r="H956" s="1">
        <v>0.4118</v>
      </c>
      <c r="I956" s="1">
        <v>4.2000000000000003E-2</v>
      </c>
      <c r="J956" s="1">
        <v>0.18390000000000001</v>
      </c>
      <c r="K956" s="1">
        <v>5.0500000000000003E-2</v>
      </c>
      <c r="L956" s="1">
        <v>0.38679999999999998</v>
      </c>
      <c r="M956" s="1">
        <v>0.13800000000000001</v>
      </c>
      <c r="N956" s="1">
        <v>1.55E-2</v>
      </c>
      <c r="O956" s="1">
        <v>0.12520000000000001</v>
      </c>
      <c r="P956" s="1">
        <v>0.49740000000000001</v>
      </c>
      <c r="Q956" s="1">
        <v>4.0399999999999998E-2</v>
      </c>
      <c r="R956" s="1">
        <v>0.1585</v>
      </c>
      <c r="S956" s="1">
        <v>1.4E-3</v>
      </c>
    </row>
    <row r="957" spans="1:19">
      <c r="A957" s="25" t="s">
        <v>192</v>
      </c>
      <c r="B957">
        <v>261</v>
      </c>
      <c r="C957" t="s">
        <v>192</v>
      </c>
      <c r="D957">
        <v>261</v>
      </c>
      <c r="E957" s="1">
        <v>8.9999999999999993E-3</v>
      </c>
      <c r="F957" s="1">
        <v>4.2200000000000001E-2</v>
      </c>
      <c r="G957" s="1">
        <v>1.6999999999999999E-3</v>
      </c>
      <c r="H957" s="1">
        <v>0.45440000000000003</v>
      </c>
      <c r="I957" s="1">
        <v>4.7699999999999999E-2</v>
      </c>
      <c r="J957" s="1">
        <v>6.0900000000000003E-2</v>
      </c>
      <c r="K957" s="1">
        <v>8.8599999999999998E-2</v>
      </c>
      <c r="L957" s="1">
        <v>0.27650000000000002</v>
      </c>
      <c r="M957" s="1">
        <v>0.127</v>
      </c>
      <c r="N957" s="1">
        <v>4.99E-2</v>
      </c>
      <c r="O957" s="1">
        <v>6.3399999999999998E-2</v>
      </c>
      <c r="P957" s="1">
        <v>0.30349999999999999</v>
      </c>
      <c r="Q957" s="1">
        <v>9.3600000000000003E-2</v>
      </c>
      <c r="R957" s="1">
        <v>9.1899999999999996E-2</v>
      </c>
      <c r="S957" s="1">
        <v>1E-4</v>
      </c>
    </row>
    <row r="959" spans="1:19" ht="43.5">
      <c r="A959" s="25" t="s">
        <v>431</v>
      </c>
    </row>
    <row r="960" spans="1:19">
      <c r="A960" s="25" t="s">
        <v>182</v>
      </c>
      <c r="B960" t="s">
        <v>219</v>
      </c>
      <c r="C960" t="s">
        <v>181</v>
      </c>
      <c r="D960" t="s">
        <v>188</v>
      </c>
      <c r="E960" t="s">
        <v>241</v>
      </c>
      <c r="F960" t="s">
        <v>417</v>
      </c>
      <c r="G960" t="s">
        <v>418</v>
      </c>
      <c r="H960" t="s">
        <v>419</v>
      </c>
      <c r="I960" t="s">
        <v>420</v>
      </c>
      <c r="J960" t="s">
        <v>421</v>
      </c>
      <c r="K960" t="s">
        <v>422</v>
      </c>
      <c r="L960" t="s">
        <v>423</v>
      </c>
      <c r="M960" t="s">
        <v>424</v>
      </c>
      <c r="N960" t="s">
        <v>425</v>
      </c>
      <c r="O960" t="s">
        <v>426</v>
      </c>
      <c r="P960" t="s">
        <v>427</v>
      </c>
      <c r="Q960" t="s">
        <v>428</v>
      </c>
      <c r="R960" t="s">
        <v>429</v>
      </c>
      <c r="S960" t="s">
        <v>243</v>
      </c>
    </row>
    <row r="961" spans="1:19">
      <c r="A961" s="25" t="s">
        <v>198</v>
      </c>
      <c r="B961">
        <v>119</v>
      </c>
      <c r="C961" t="s">
        <v>189</v>
      </c>
      <c r="D961">
        <v>261</v>
      </c>
      <c r="E961" s="1">
        <v>1.6999999999999999E-3</v>
      </c>
      <c r="F961" s="1">
        <v>2.2700000000000001E-2</v>
      </c>
      <c r="G961" s="1">
        <v>1.9E-3</v>
      </c>
      <c r="H961" s="1">
        <v>0.49880000000000002</v>
      </c>
      <c r="I961" s="1">
        <v>1.9300000000000001E-2</v>
      </c>
      <c r="J961" s="1">
        <v>5.0099999999999999E-2</v>
      </c>
      <c r="K961" s="1">
        <v>0.1341</v>
      </c>
      <c r="L961" s="1">
        <v>0.35089999999999999</v>
      </c>
      <c r="M961" s="1">
        <v>0.15429999999999999</v>
      </c>
      <c r="N961" s="1">
        <v>6.6900000000000001E-2</v>
      </c>
      <c r="O961" s="1">
        <v>3.8399999999999997E-2</v>
      </c>
      <c r="P961" s="1">
        <v>0.37109999999999999</v>
      </c>
      <c r="Q961" s="1">
        <v>0.1011</v>
      </c>
      <c r="R961" s="1">
        <v>9.3100000000000002E-2</v>
      </c>
    </row>
    <row r="962" spans="1:19">
      <c r="A962" s="25" t="s">
        <v>199</v>
      </c>
      <c r="B962">
        <v>142</v>
      </c>
      <c r="C962" t="s">
        <v>189</v>
      </c>
      <c r="D962">
        <v>261</v>
      </c>
      <c r="E962" s="1">
        <v>1.5800000000000002E-2</v>
      </c>
      <c r="F962" s="1">
        <v>6.0299999999999999E-2</v>
      </c>
      <c r="G962" s="1">
        <v>1.5E-3</v>
      </c>
      <c r="H962" s="1">
        <v>0.41310000000000002</v>
      </c>
      <c r="I962" s="1">
        <v>7.4099999999999999E-2</v>
      </c>
      <c r="J962" s="1">
        <v>7.0900000000000005E-2</v>
      </c>
      <c r="K962" s="1">
        <v>4.6199999999999998E-2</v>
      </c>
      <c r="L962" s="1">
        <v>0.2072</v>
      </c>
      <c r="M962" s="1">
        <v>0.10150000000000001</v>
      </c>
      <c r="N962" s="1">
        <v>3.4099999999999998E-2</v>
      </c>
      <c r="O962" s="1">
        <v>8.6599999999999996E-2</v>
      </c>
      <c r="P962" s="1">
        <v>0.24049999999999999</v>
      </c>
      <c r="Q962" s="1">
        <v>8.6499999999999994E-2</v>
      </c>
      <c r="R962" s="1">
        <v>9.0700000000000003E-2</v>
      </c>
      <c r="S962" s="1">
        <v>2.9999999999999997E-4</v>
      </c>
    </row>
    <row r="963" spans="1:19">
      <c r="A963" s="25" t="s">
        <v>192</v>
      </c>
      <c r="B963">
        <v>261</v>
      </c>
      <c r="C963" t="s">
        <v>192</v>
      </c>
      <c r="D963">
        <v>261</v>
      </c>
      <c r="E963" s="1">
        <v>8.9999999999999993E-3</v>
      </c>
      <c r="F963" s="1">
        <v>4.2200000000000001E-2</v>
      </c>
      <c r="G963" s="1">
        <v>1.6999999999999999E-3</v>
      </c>
      <c r="H963" s="1">
        <v>0.45440000000000003</v>
      </c>
      <c r="I963" s="1">
        <v>4.7699999999999999E-2</v>
      </c>
      <c r="J963" s="1">
        <v>6.0900000000000003E-2</v>
      </c>
      <c r="K963" s="1">
        <v>8.8599999999999998E-2</v>
      </c>
      <c r="L963" s="1">
        <v>0.27650000000000002</v>
      </c>
      <c r="M963" s="1">
        <v>0.127</v>
      </c>
      <c r="N963" s="1">
        <v>4.99E-2</v>
      </c>
      <c r="O963" s="1">
        <v>6.3399999999999998E-2</v>
      </c>
      <c r="P963" s="1">
        <v>0.30349999999999999</v>
      </c>
      <c r="Q963" s="1">
        <v>9.3600000000000003E-2</v>
      </c>
      <c r="R963" s="1">
        <v>9.1899999999999996E-2</v>
      </c>
      <c r="S963" s="1">
        <v>1E-4</v>
      </c>
    </row>
    <row r="965" spans="1:19" ht="43.5">
      <c r="A965" s="25" t="s">
        <v>432</v>
      </c>
    </row>
    <row r="966" spans="1:19">
      <c r="A966" s="25" t="s">
        <v>182</v>
      </c>
      <c r="B966" t="s">
        <v>219</v>
      </c>
      <c r="C966" t="s">
        <v>181</v>
      </c>
      <c r="D966" t="s">
        <v>188</v>
      </c>
      <c r="E966" t="s">
        <v>241</v>
      </c>
      <c r="F966" t="s">
        <v>417</v>
      </c>
      <c r="G966" t="s">
        <v>418</v>
      </c>
      <c r="H966" t="s">
        <v>419</v>
      </c>
      <c r="I966" t="s">
        <v>420</v>
      </c>
      <c r="J966" t="s">
        <v>421</v>
      </c>
      <c r="K966" t="s">
        <v>422</v>
      </c>
      <c r="L966" t="s">
        <v>423</v>
      </c>
      <c r="M966" t="s">
        <v>424</v>
      </c>
      <c r="N966" t="s">
        <v>425</v>
      </c>
      <c r="O966" t="s">
        <v>426</v>
      </c>
      <c r="P966" t="s">
        <v>427</v>
      </c>
      <c r="Q966" t="s">
        <v>428</v>
      </c>
      <c r="R966" t="s">
        <v>429</v>
      </c>
      <c r="S966" t="s">
        <v>243</v>
      </c>
    </row>
    <row r="967" spans="1:19">
      <c r="A967" s="25" t="s">
        <v>201</v>
      </c>
      <c r="B967">
        <v>18</v>
      </c>
      <c r="C967" t="s">
        <v>189</v>
      </c>
      <c r="D967">
        <v>261</v>
      </c>
      <c r="F967" s="1">
        <v>1.7299999999999999E-2</v>
      </c>
      <c r="H967" s="1">
        <v>0.2369</v>
      </c>
      <c r="I967" s="1">
        <v>9.9500000000000005E-2</v>
      </c>
      <c r="J967" s="1">
        <v>1.7299999999999999E-2</v>
      </c>
      <c r="K967" s="1">
        <v>0.22850000000000001</v>
      </c>
      <c r="L967" s="1">
        <v>0.36599999999999999</v>
      </c>
      <c r="M967" s="1">
        <v>9.7799999999999998E-2</v>
      </c>
      <c r="P967" s="1">
        <v>8.9899999999999994E-2</v>
      </c>
      <c r="Q967" s="1">
        <v>0.2712</v>
      </c>
      <c r="R967" s="1">
        <v>8.1600000000000006E-2</v>
      </c>
      <c r="S967" s="1">
        <v>3.0000000000000001E-3</v>
      </c>
    </row>
    <row r="968" spans="1:19">
      <c r="A968" s="25" t="s">
        <v>202</v>
      </c>
      <c r="B968">
        <v>3</v>
      </c>
      <c r="C968" t="s">
        <v>189</v>
      </c>
      <c r="D968">
        <v>261</v>
      </c>
      <c r="H968" s="1">
        <v>4.7100000000000003E-2</v>
      </c>
      <c r="I968" s="1">
        <v>4.7100000000000003E-2</v>
      </c>
      <c r="J968" s="1">
        <v>0.88180000000000003</v>
      </c>
      <c r="P968" s="1">
        <v>7.1099999999999997E-2</v>
      </c>
      <c r="R968" s="1">
        <v>0.88180000000000003</v>
      </c>
    </row>
    <row r="969" spans="1:19">
      <c r="A969" s="25" t="s">
        <v>203</v>
      </c>
      <c r="B969">
        <v>214</v>
      </c>
      <c r="C969" t="s">
        <v>189</v>
      </c>
      <c r="D969">
        <v>261</v>
      </c>
      <c r="E969" s="1">
        <v>0.01</v>
      </c>
      <c r="F969" s="1">
        <v>4.4999999999999998E-2</v>
      </c>
      <c r="G969" s="1">
        <v>8.9999999999999998E-4</v>
      </c>
      <c r="H969" s="1">
        <v>0.47789999999999999</v>
      </c>
      <c r="I969" s="1">
        <v>4.7199999999999999E-2</v>
      </c>
      <c r="J969" s="1">
        <v>5.3600000000000002E-2</v>
      </c>
      <c r="K969" s="1">
        <v>8.1699999999999995E-2</v>
      </c>
      <c r="L969" s="1">
        <v>0.28839999999999999</v>
      </c>
      <c r="M969" s="1">
        <v>0.12479999999999999</v>
      </c>
      <c r="N969" s="1">
        <v>4.9399999999999999E-2</v>
      </c>
      <c r="O969" s="1">
        <v>7.0499999999999993E-2</v>
      </c>
      <c r="P969" s="1">
        <v>0.31059999999999999</v>
      </c>
      <c r="Q969" s="1">
        <v>8.1000000000000003E-2</v>
      </c>
      <c r="R969" s="1">
        <v>7.7399999999999997E-2</v>
      </c>
    </row>
    <row r="970" spans="1:19">
      <c r="A970" s="25" t="s">
        <v>204</v>
      </c>
      <c r="B970">
        <v>1</v>
      </c>
      <c r="C970" t="s">
        <v>189</v>
      </c>
      <c r="D970">
        <v>261</v>
      </c>
      <c r="H970" s="1">
        <v>1</v>
      </c>
      <c r="P970" s="1">
        <v>1</v>
      </c>
    </row>
    <row r="971" spans="1:19">
      <c r="A971" s="25" t="s">
        <v>205</v>
      </c>
      <c r="B971">
        <v>25</v>
      </c>
      <c r="C971" t="s">
        <v>189</v>
      </c>
      <c r="D971">
        <v>261</v>
      </c>
      <c r="F971" s="1">
        <v>2.1600000000000001E-2</v>
      </c>
      <c r="G971" s="1">
        <v>2.2700000000000001E-2</v>
      </c>
      <c r="H971" s="1">
        <v>0.30259999999999998</v>
      </c>
      <c r="J971" s="1">
        <v>2.2700000000000001E-2</v>
      </c>
      <c r="K971" s="1">
        <v>0.1066</v>
      </c>
      <c r="M971" s="1">
        <v>0.25</v>
      </c>
      <c r="N971" s="1">
        <v>0.13569999999999999</v>
      </c>
      <c r="P971" s="1">
        <v>0.4516</v>
      </c>
      <c r="Q971" s="1">
        <v>0.19289999999999999</v>
      </c>
      <c r="R971" s="1">
        <v>0.1842</v>
      </c>
    </row>
    <row r="972" spans="1:19">
      <c r="A972" s="25" t="s">
        <v>192</v>
      </c>
      <c r="B972">
        <v>261</v>
      </c>
      <c r="C972" t="s">
        <v>192</v>
      </c>
      <c r="D972">
        <v>261</v>
      </c>
      <c r="E972" s="1">
        <v>8.9999999999999993E-3</v>
      </c>
      <c r="F972" s="1">
        <v>4.2200000000000001E-2</v>
      </c>
      <c r="G972" s="1">
        <v>1.6999999999999999E-3</v>
      </c>
      <c r="H972" s="1">
        <v>0.45440000000000003</v>
      </c>
      <c r="I972" s="1">
        <v>4.7699999999999999E-2</v>
      </c>
      <c r="J972" s="1">
        <v>6.0900000000000003E-2</v>
      </c>
      <c r="K972" s="1">
        <v>8.8599999999999998E-2</v>
      </c>
      <c r="L972" s="1">
        <v>0.27650000000000002</v>
      </c>
      <c r="M972" s="1">
        <v>0.127</v>
      </c>
      <c r="N972" s="1">
        <v>4.99E-2</v>
      </c>
      <c r="O972" s="1">
        <v>6.3399999999999998E-2</v>
      </c>
      <c r="P972" s="1">
        <v>0.30349999999999999</v>
      </c>
      <c r="Q972" s="1">
        <v>9.3600000000000003E-2</v>
      </c>
      <c r="R972" s="1">
        <v>9.1899999999999996E-2</v>
      </c>
      <c r="S972" s="1">
        <v>1E-4</v>
      </c>
    </row>
    <row r="974" spans="1:19" ht="43.5">
      <c r="A974" s="25" t="s">
        <v>433</v>
      </c>
    </row>
    <row r="975" spans="1:19">
      <c r="A975" s="25" t="s">
        <v>182</v>
      </c>
      <c r="B975" t="s">
        <v>219</v>
      </c>
      <c r="C975" t="s">
        <v>181</v>
      </c>
      <c r="D975" t="s">
        <v>188</v>
      </c>
      <c r="E975" t="s">
        <v>241</v>
      </c>
      <c r="F975" t="s">
        <v>417</v>
      </c>
      <c r="G975" t="s">
        <v>418</v>
      </c>
      <c r="H975" t="s">
        <v>419</v>
      </c>
      <c r="I975" t="s">
        <v>420</v>
      </c>
      <c r="J975" t="s">
        <v>421</v>
      </c>
      <c r="K975" t="s">
        <v>422</v>
      </c>
      <c r="L975" t="s">
        <v>423</v>
      </c>
      <c r="M975" t="s">
        <v>424</v>
      </c>
      <c r="N975" t="s">
        <v>425</v>
      </c>
      <c r="O975" t="s">
        <v>426</v>
      </c>
      <c r="P975" t="s">
        <v>427</v>
      </c>
      <c r="Q975" t="s">
        <v>428</v>
      </c>
      <c r="R975" t="s">
        <v>429</v>
      </c>
      <c r="S975" t="s">
        <v>243</v>
      </c>
    </row>
    <row r="976" spans="1:19">
      <c r="A976" s="25" t="s">
        <v>207</v>
      </c>
      <c r="B976">
        <v>159</v>
      </c>
      <c r="C976" t="s">
        <v>189</v>
      </c>
      <c r="D976">
        <v>261</v>
      </c>
      <c r="E976" s="1">
        <v>7.4999999999999997E-3</v>
      </c>
      <c r="F976" s="1">
        <v>4.3799999999999999E-2</v>
      </c>
      <c r="G976" s="1">
        <v>1.5E-3</v>
      </c>
      <c r="H976" s="1">
        <v>0.4859</v>
      </c>
      <c r="I976" s="1">
        <v>5.0700000000000002E-2</v>
      </c>
      <c r="J976" s="1">
        <v>5.5800000000000002E-2</v>
      </c>
      <c r="K976" s="1">
        <v>7.9299999999999995E-2</v>
      </c>
      <c r="L976" s="1">
        <v>0.30349999999999999</v>
      </c>
      <c r="M976" s="1">
        <v>0.16259999999999999</v>
      </c>
      <c r="N976" s="1">
        <v>1.6199999999999999E-2</v>
      </c>
      <c r="O976" s="1">
        <v>7.0000000000000007E-2</v>
      </c>
      <c r="P976" s="1">
        <v>0.30969999999999998</v>
      </c>
      <c r="Q976" s="1">
        <v>0.10630000000000001</v>
      </c>
      <c r="R976" s="1">
        <v>6.7000000000000004E-2</v>
      </c>
    </row>
    <row r="977" spans="1:19">
      <c r="A977" s="25" t="s">
        <v>208</v>
      </c>
      <c r="B977">
        <v>82</v>
      </c>
      <c r="C977" t="s">
        <v>189</v>
      </c>
      <c r="D977">
        <v>261</v>
      </c>
      <c r="E977" s="1">
        <v>1.3299999999999999E-2</v>
      </c>
      <c r="F977" s="1">
        <v>4.7999999999999996E-3</v>
      </c>
      <c r="G977" s="1">
        <v>2.3999999999999998E-3</v>
      </c>
      <c r="H977" s="1">
        <v>0.4244</v>
      </c>
      <c r="I977" s="1">
        <v>4.02E-2</v>
      </c>
      <c r="J977" s="1">
        <v>7.7799999999999994E-2</v>
      </c>
      <c r="K977" s="1">
        <v>0.1021</v>
      </c>
      <c r="L977" s="1">
        <v>0.27329999999999999</v>
      </c>
      <c r="M977" s="1">
        <v>7.6600000000000001E-2</v>
      </c>
      <c r="N977" s="1">
        <v>0.12039999999999999</v>
      </c>
      <c r="O977" s="1">
        <v>3.1300000000000001E-2</v>
      </c>
      <c r="P977" s="1">
        <v>0.3044</v>
      </c>
      <c r="Q977" s="1">
        <v>7.1099999999999997E-2</v>
      </c>
      <c r="R977" s="1">
        <v>0.14319999999999999</v>
      </c>
    </row>
    <row r="978" spans="1:19">
      <c r="A978" s="25" t="s">
        <v>209</v>
      </c>
      <c r="B978">
        <v>20</v>
      </c>
      <c r="C978" t="s">
        <v>189</v>
      </c>
      <c r="D978">
        <v>261</v>
      </c>
      <c r="F978" s="1">
        <v>0.24540000000000001</v>
      </c>
      <c r="H978" s="1">
        <v>0.28860000000000002</v>
      </c>
      <c r="I978" s="1">
        <v>5.96E-2</v>
      </c>
      <c r="J978" s="1">
        <v>1.66E-2</v>
      </c>
      <c r="K978" s="1">
        <v>0.1091</v>
      </c>
      <c r="M978" s="1">
        <v>3.7699999999999997E-2</v>
      </c>
      <c r="O978" s="1">
        <v>0.1812</v>
      </c>
      <c r="P978" s="1">
        <v>0.22969999999999999</v>
      </c>
      <c r="Q978" s="1">
        <v>8.7900000000000006E-2</v>
      </c>
      <c r="R978" s="1">
        <v>5.8500000000000003E-2</v>
      </c>
      <c r="S978" s="1">
        <v>2.5000000000000001E-3</v>
      </c>
    </row>
    <row r="979" spans="1:19">
      <c r="A979" s="25" t="s">
        <v>192</v>
      </c>
      <c r="B979">
        <v>261</v>
      </c>
      <c r="C979" t="s">
        <v>192</v>
      </c>
      <c r="D979">
        <v>261</v>
      </c>
      <c r="E979" s="1">
        <v>8.9999999999999993E-3</v>
      </c>
      <c r="F979" s="1">
        <v>4.2200000000000001E-2</v>
      </c>
      <c r="G979" s="1">
        <v>1.6999999999999999E-3</v>
      </c>
      <c r="H979" s="1">
        <v>0.45440000000000003</v>
      </c>
      <c r="I979" s="1">
        <v>4.7699999999999999E-2</v>
      </c>
      <c r="J979" s="1">
        <v>6.0900000000000003E-2</v>
      </c>
      <c r="K979" s="1">
        <v>8.8599999999999998E-2</v>
      </c>
      <c r="L979" s="1">
        <v>0.27650000000000002</v>
      </c>
      <c r="M979" s="1">
        <v>0.127</v>
      </c>
      <c r="N979" s="1">
        <v>4.99E-2</v>
      </c>
      <c r="O979" s="1">
        <v>6.3399999999999998E-2</v>
      </c>
      <c r="P979" s="1">
        <v>0.30349999999999999</v>
      </c>
      <c r="Q979" s="1">
        <v>9.3600000000000003E-2</v>
      </c>
      <c r="R979" s="1">
        <v>9.1899999999999996E-2</v>
      </c>
      <c r="S979" s="1">
        <v>1E-4</v>
      </c>
    </row>
    <row r="981" spans="1:19" ht="43.5">
      <c r="A981" s="25" t="s">
        <v>434</v>
      </c>
    </row>
    <row r="982" spans="1:19">
      <c r="A982" s="25" t="s">
        <v>182</v>
      </c>
      <c r="B982" t="s">
        <v>219</v>
      </c>
      <c r="C982" t="s">
        <v>181</v>
      </c>
      <c r="D982" t="s">
        <v>188</v>
      </c>
      <c r="E982" t="s">
        <v>241</v>
      </c>
      <c r="F982" t="s">
        <v>417</v>
      </c>
      <c r="G982" t="s">
        <v>418</v>
      </c>
      <c r="H982" t="s">
        <v>419</v>
      </c>
      <c r="I982" t="s">
        <v>420</v>
      </c>
      <c r="J982" t="s">
        <v>421</v>
      </c>
      <c r="K982" t="s">
        <v>422</v>
      </c>
      <c r="L982" t="s">
        <v>423</v>
      </c>
      <c r="M982" t="s">
        <v>424</v>
      </c>
      <c r="N982" t="s">
        <v>425</v>
      </c>
      <c r="O982" t="s">
        <v>426</v>
      </c>
      <c r="P982" t="s">
        <v>427</v>
      </c>
      <c r="Q982" t="s">
        <v>428</v>
      </c>
      <c r="R982" t="s">
        <v>429</v>
      </c>
      <c r="S982" t="s">
        <v>243</v>
      </c>
    </row>
    <row r="983" spans="1:19">
      <c r="A983" s="25" t="s">
        <v>211</v>
      </c>
      <c r="B983">
        <v>91</v>
      </c>
      <c r="C983" t="s">
        <v>189</v>
      </c>
      <c r="D983">
        <v>261</v>
      </c>
      <c r="E983" s="1">
        <v>1.5699999999999999E-2</v>
      </c>
      <c r="F983" s="1">
        <v>1.44E-2</v>
      </c>
      <c r="H983" s="1">
        <v>0.36909999999999998</v>
      </c>
      <c r="I983" s="1">
        <v>7.2999999999999995E-2</v>
      </c>
      <c r="J983" s="1">
        <v>8.8200000000000001E-2</v>
      </c>
      <c r="K983" s="1">
        <v>3.3599999999999998E-2</v>
      </c>
      <c r="L983" s="1">
        <v>0.18179999999999999</v>
      </c>
      <c r="M983" s="1">
        <v>0.1111</v>
      </c>
      <c r="N983" s="1">
        <v>2.3900000000000001E-2</v>
      </c>
      <c r="O983" s="1">
        <v>0.13</v>
      </c>
      <c r="P983" s="1">
        <v>0.26939999999999997</v>
      </c>
      <c r="Q983" s="1">
        <v>0.1061</v>
      </c>
      <c r="R983" s="1">
        <v>0.11940000000000001</v>
      </c>
    </row>
    <row r="984" spans="1:19">
      <c r="A984" s="25" t="s">
        <v>212</v>
      </c>
      <c r="B984">
        <v>108</v>
      </c>
      <c r="C984" t="s">
        <v>189</v>
      </c>
      <c r="D984">
        <v>261</v>
      </c>
      <c r="E984" s="1">
        <v>1.11E-2</v>
      </c>
      <c r="F984" s="1">
        <v>3.3500000000000002E-2</v>
      </c>
      <c r="G984" s="1">
        <v>4.3E-3</v>
      </c>
      <c r="H984" s="1">
        <v>0.5091</v>
      </c>
      <c r="I984" s="1">
        <v>3.7400000000000003E-2</v>
      </c>
      <c r="J984" s="1">
        <v>6.5199999999999994E-2</v>
      </c>
      <c r="K984" s="1">
        <v>5.79E-2</v>
      </c>
      <c r="L984" s="1">
        <v>0.35039999999999999</v>
      </c>
      <c r="M984" s="1">
        <v>0.1055</v>
      </c>
      <c r="N984" s="1">
        <v>3.73E-2</v>
      </c>
      <c r="O984" s="1">
        <v>4.8599999999999997E-2</v>
      </c>
      <c r="P984" s="1">
        <v>0.37419999999999998</v>
      </c>
      <c r="Q984" s="1">
        <v>0.12559999999999999</v>
      </c>
      <c r="R984" s="1">
        <v>0.12479999999999999</v>
      </c>
      <c r="S984" s="1">
        <v>4.0000000000000002E-4</v>
      </c>
    </row>
    <row r="985" spans="1:19">
      <c r="A985" s="25" t="s">
        <v>213</v>
      </c>
      <c r="B985">
        <v>62</v>
      </c>
      <c r="C985" t="s">
        <v>189</v>
      </c>
      <c r="D985">
        <v>261</v>
      </c>
      <c r="F985" s="1">
        <v>7.9600000000000004E-2</v>
      </c>
      <c r="H985" s="1">
        <v>0.46479999999999999</v>
      </c>
      <c r="I985" s="1">
        <v>3.6900000000000002E-2</v>
      </c>
      <c r="J985" s="1">
        <v>2.9399999999999999E-2</v>
      </c>
      <c r="K985" s="1">
        <v>0.18029999999999999</v>
      </c>
      <c r="L985" s="1">
        <v>0.27079999999999999</v>
      </c>
      <c r="M985" s="1">
        <v>0.16980000000000001</v>
      </c>
      <c r="N985" s="1">
        <v>9.0899999999999995E-2</v>
      </c>
      <c r="O985" s="1">
        <v>1.9300000000000001E-2</v>
      </c>
      <c r="P985" s="1">
        <v>0.24440000000000001</v>
      </c>
      <c r="Q985" s="1">
        <v>4.0300000000000002E-2</v>
      </c>
      <c r="R985" s="1">
        <v>2.3199999999999998E-2</v>
      </c>
    </row>
    <row r="986" spans="1:19">
      <c r="A986" s="25" t="s">
        <v>192</v>
      </c>
      <c r="B986">
        <v>261</v>
      </c>
      <c r="C986" t="s">
        <v>192</v>
      </c>
      <c r="D986">
        <v>261</v>
      </c>
      <c r="E986" s="1">
        <v>8.9999999999999993E-3</v>
      </c>
      <c r="F986" s="1">
        <v>4.2200000000000001E-2</v>
      </c>
      <c r="G986" s="1">
        <v>1.6999999999999999E-3</v>
      </c>
      <c r="H986" s="1">
        <v>0.45440000000000003</v>
      </c>
      <c r="I986" s="1">
        <v>4.7699999999999999E-2</v>
      </c>
      <c r="J986" s="1">
        <v>6.0900000000000003E-2</v>
      </c>
      <c r="K986" s="1">
        <v>8.8599999999999998E-2</v>
      </c>
      <c r="L986" s="1">
        <v>0.27650000000000002</v>
      </c>
      <c r="M986" s="1">
        <v>0.127</v>
      </c>
      <c r="N986" s="1">
        <v>4.99E-2</v>
      </c>
      <c r="O986" s="1">
        <v>6.3399999999999998E-2</v>
      </c>
      <c r="P986" s="1">
        <v>0.30349999999999999</v>
      </c>
      <c r="Q986" s="1">
        <v>9.3600000000000003E-2</v>
      </c>
      <c r="R986" s="1">
        <v>9.1899999999999996E-2</v>
      </c>
      <c r="S986" s="1">
        <v>1E-4</v>
      </c>
    </row>
    <row r="988" spans="1:19" ht="43.5">
      <c r="A988" s="25" t="s">
        <v>435</v>
      </c>
    </row>
    <row r="989" spans="1:19">
      <c r="A989" s="25" t="s">
        <v>182</v>
      </c>
      <c r="B989" t="s">
        <v>219</v>
      </c>
      <c r="C989" t="s">
        <v>181</v>
      </c>
      <c r="D989" t="s">
        <v>188</v>
      </c>
      <c r="E989" t="s">
        <v>241</v>
      </c>
      <c r="F989" t="s">
        <v>220</v>
      </c>
      <c r="G989" t="s">
        <v>243</v>
      </c>
      <c r="H989" t="s">
        <v>221</v>
      </c>
    </row>
    <row r="990" spans="1:19">
      <c r="A990" s="25" t="s">
        <v>190</v>
      </c>
      <c r="B990">
        <v>151</v>
      </c>
      <c r="C990" t="s">
        <v>189</v>
      </c>
      <c r="D990">
        <v>264</v>
      </c>
      <c r="E990" s="1">
        <v>7.6399999999999996E-2</v>
      </c>
      <c r="F990" s="1">
        <v>0.70420000000000005</v>
      </c>
      <c r="G990" s="1">
        <v>1.1299999999999999E-2</v>
      </c>
      <c r="H990" s="1">
        <v>0.20810000000000001</v>
      </c>
    </row>
    <row r="991" spans="1:19">
      <c r="A991" s="25" t="s">
        <v>191</v>
      </c>
      <c r="B991">
        <v>113</v>
      </c>
      <c r="C991" t="s">
        <v>189</v>
      </c>
      <c r="D991">
        <v>264</v>
      </c>
      <c r="E991" s="1">
        <v>0.127</v>
      </c>
      <c r="F991" s="1">
        <v>0.69059999999999999</v>
      </c>
      <c r="H991" s="1">
        <v>0.1825</v>
      </c>
    </row>
    <row r="992" spans="1:19">
      <c r="A992" s="25" t="s">
        <v>192</v>
      </c>
      <c r="B992">
        <v>264</v>
      </c>
      <c r="C992" t="s">
        <v>192</v>
      </c>
      <c r="D992">
        <v>264</v>
      </c>
      <c r="E992" s="1">
        <v>0.10059999999999999</v>
      </c>
      <c r="F992" s="1">
        <v>0.69769999999999999</v>
      </c>
      <c r="G992" s="1">
        <v>5.8999999999999999E-3</v>
      </c>
      <c r="H992" s="1">
        <v>0.1958</v>
      </c>
    </row>
    <row r="994" spans="1:8" ht="57.95">
      <c r="A994" s="25" t="s">
        <v>436</v>
      </c>
    </row>
    <row r="995" spans="1:8">
      <c r="A995" s="25" t="s">
        <v>182</v>
      </c>
      <c r="B995" t="s">
        <v>219</v>
      </c>
      <c r="C995" t="s">
        <v>181</v>
      </c>
      <c r="D995" t="s">
        <v>188</v>
      </c>
      <c r="E995" t="s">
        <v>241</v>
      </c>
      <c r="F995" t="s">
        <v>220</v>
      </c>
      <c r="G995" t="s">
        <v>243</v>
      </c>
      <c r="H995" t="s">
        <v>221</v>
      </c>
    </row>
    <row r="996" spans="1:8" ht="29.1">
      <c r="A996" s="25" t="s">
        <v>194</v>
      </c>
      <c r="B996">
        <v>153</v>
      </c>
      <c r="C996" t="s">
        <v>189</v>
      </c>
      <c r="D996">
        <v>264</v>
      </c>
      <c r="E996" s="1">
        <v>0.11409999999999999</v>
      </c>
      <c r="F996" s="1">
        <v>0.6492</v>
      </c>
      <c r="G996" s="1">
        <v>8.5000000000000006E-3</v>
      </c>
      <c r="H996" s="1">
        <v>0.22819999999999999</v>
      </c>
    </row>
    <row r="997" spans="1:8" ht="29.1">
      <c r="A997" s="25" t="s">
        <v>195</v>
      </c>
      <c r="B997">
        <v>63</v>
      </c>
      <c r="C997" t="s">
        <v>189</v>
      </c>
      <c r="D997">
        <v>264</v>
      </c>
      <c r="E997" s="1">
        <v>9.2100000000000001E-2</v>
      </c>
      <c r="F997" s="1">
        <v>0.78810000000000002</v>
      </c>
      <c r="H997" s="1">
        <v>0.1198</v>
      </c>
    </row>
    <row r="998" spans="1:8" ht="29.1">
      <c r="A998" s="25" t="s">
        <v>196</v>
      </c>
      <c r="B998">
        <v>48</v>
      </c>
      <c r="C998" t="s">
        <v>189</v>
      </c>
      <c r="D998">
        <v>264</v>
      </c>
      <c r="E998" s="1">
        <v>2.64E-2</v>
      </c>
      <c r="F998" s="1">
        <v>0.83879999999999999</v>
      </c>
      <c r="H998" s="1">
        <v>0.1348</v>
      </c>
    </row>
    <row r="999" spans="1:8">
      <c r="A999" s="25" t="s">
        <v>192</v>
      </c>
      <c r="B999">
        <v>264</v>
      </c>
      <c r="C999" t="s">
        <v>192</v>
      </c>
      <c r="D999">
        <v>264</v>
      </c>
      <c r="E999" s="1">
        <v>0.10059999999999999</v>
      </c>
      <c r="F999" s="1">
        <v>0.69769999999999999</v>
      </c>
      <c r="G999" s="1">
        <v>5.8999999999999999E-3</v>
      </c>
      <c r="H999" s="1">
        <v>0.1958</v>
      </c>
    </row>
    <row r="1001" spans="1:8" ht="57.95">
      <c r="A1001" s="25" t="s">
        <v>437</v>
      </c>
    </row>
    <row r="1002" spans="1:8">
      <c r="A1002" s="25" t="s">
        <v>182</v>
      </c>
      <c r="B1002" t="s">
        <v>219</v>
      </c>
      <c r="C1002" t="s">
        <v>181</v>
      </c>
      <c r="D1002" t="s">
        <v>188</v>
      </c>
      <c r="E1002" t="s">
        <v>241</v>
      </c>
      <c r="F1002" t="s">
        <v>220</v>
      </c>
      <c r="G1002" t="s">
        <v>243</v>
      </c>
      <c r="H1002" t="s">
        <v>221</v>
      </c>
    </row>
    <row r="1003" spans="1:8">
      <c r="A1003" s="25" t="s">
        <v>198</v>
      </c>
      <c r="B1003">
        <v>120</v>
      </c>
      <c r="C1003" t="s">
        <v>189</v>
      </c>
      <c r="D1003">
        <v>264</v>
      </c>
      <c r="E1003" s="1">
        <v>0.16830000000000001</v>
      </c>
      <c r="F1003" s="1">
        <v>0.64480000000000004</v>
      </c>
      <c r="H1003" s="1">
        <v>0.18679999999999999</v>
      </c>
    </row>
    <row r="1004" spans="1:8">
      <c r="A1004" s="25" t="s">
        <v>199</v>
      </c>
      <c r="B1004">
        <v>144</v>
      </c>
      <c r="C1004" t="s">
        <v>189</v>
      </c>
      <c r="D1004">
        <v>264</v>
      </c>
      <c r="E1004" s="1">
        <v>3.6299999999999999E-2</v>
      </c>
      <c r="F1004" s="1">
        <v>0.74790000000000001</v>
      </c>
      <c r="G1004" s="1">
        <v>1.14E-2</v>
      </c>
      <c r="H1004" s="1">
        <v>0.2044</v>
      </c>
    </row>
    <row r="1005" spans="1:8">
      <c r="A1005" s="25" t="s">
        <v>192</v>
      </c>
      <c r="B1005">
        <v>264</v>
      </c>
      <c r="C1005" t="s">
        <v>192</v>
      </c>
      <c r="D1005">
        <v>264</v>
      </c>
      <c r="E1005" s="1">
        <v>0.10059999999999999</v>
      </c>
      <c r="F1005" s="1">
        <v>0.69769999999999999</v>
      </c>
      <c r="G1005" s="1">
        <v>5.8999999999999999E-3</v>
      </c>
      <c r="H1005" s="1">
        <v>0.1958</v>
      </c>
    </row>
    <row r="1007" spans="1:8" ht="57.95">
      <c r="A1007" s="25" t="s">
        <v>438</v>
      </c>
    </row>
    <row r="1008" spans="1:8">
      <c r="A1008" s="25" t="s">
        <v>182</v>
      </c>
      <c r="B1008" t="s">
        <v>219</v>
      </c>
      <c r="C1008" t="s">
        <v>181</v>
      </c>
      <c r="D1008" t="s">
        <v>188</v>
      </c>
      <c r="E1008" t="s">
        <v>241</v>
      </c>
      <c r="F1008" t="s">
        <v>220</v>
      </c>
      <c r="G1008" t="s">
        <v>243</v>
      </c>
      <c r="H1008" t="s">
        <v>221</v>
      </c>
    </row>
    <row r="1009" spans="1:8">
      <c r="A1009" s="25" t="s">
        <v>201</v>
      </c>
      <c r="B1009">
        <v>18</v>
      </c>
      <c r="C1009" t="s">
        <v>189</v>
      </c>
      <c r="D1009">
        <v>264</v>
      </c>
      <c r="E1009" s="1">
        <v>1.8599999999999998E-2</v>
      </c>
      <c r="F1009" s="1">
        <v>0.86660000000000004</v>
      </c>
      <c r="H1009" s="1">
        <v>0.1148</v>
      </c>
    </row>
    <row r="1010" spans="1:8">
      <c r="A1010" s="25" t="s">
        <v>202</v>
      </c>
      <c r="B1010">
        <v>3</v>
      </c>
      <c r="C1010" t="s">
        <v>189</v>
      </c>
      <c r="D1010">
        <v>264</v>
      </c>
      <c r="F1010" s="1">
        <v>1</v>
      </c>
    </row>
    <row r="1011" spans="1:8">
      <c r="A1011" s="25" t="s">
        <v>203</v>
      </c>
      <c r="B1011">
        <v>217</v>
      </c>
      <c r="C1011" t="s">
        <v>189</v>
      </c>
      <c r="D1011">
        <v>264</v>
      </c>
      <c r="E1011" s="1">
        <v>0.10050000000000001</v>
      </c>
      <c r="F1011" s="1">
        <v>0.69420000000000004</v>
      </c>
      <c r="G1011" s="1">
        <v>6.4999999999999997E-3</v>
      </c>
      <c r="H1011" s="1">
        <v>0.19869999999999999</v>
      </c>
    </row>
    <row r="1012" spans="1:8">
      <c r="A1012" s="25" t="s">
        <v>204</v>
      </c>
      <c r="B1012">
        <v>1</v>
      </c>
      <c r="C1012" t="s">
        <v>189</v>
      </c>
      <c r="D1012">
        <v>264</v>
      </c>
      <c r="F1012" s="1">
        <v>1</v>
      </c>
    </row>
    <row r="1013" spans="1:8">
      <c r="A1013" s="25" t="s">
        <v>205</v>
      </c>
      <c r="B1013">
        <v>25</v>
      </c>
      <c r="C1013" t="s">
        <v>189</v>
      </c>
      <c r="D1013">
        <v>264</v>
      </c>
      <c r="E1013" s="1">
        <v>0.23069999999999999</v>
      </c>
      <c r="F1013" s="1">
        <v>0.48130000000000001</v>
      </c>
      <c r="H1013" s="1">
        <v>0.28799999999999998</v>
      </c>
    </row>
    <row r="1014" spans="1:8">
      <c r="A1014" s="25" t="s">
        <v>192</v>
      </c>
      <c r="B1014">
        <v>264</v>
      </c>
      <c r="C1014" t="s">
        <v>192</v>
      </c>
      <c r="D1014">
        <v>264</v>
      </c>
      <c r="E1014" s="1">
        <v>0.10059999999999999</v>
      </c>
      <c r="F1014" s="1">
        <v>0.69769999999999999</v>
      </c>
      <c r="G1014" s="1">
        <v>5.8999999999999999E-3</v>
      </c>
      <c r="H1014" s="1">
        <v>0.1958</v>
      </c>
    </row>
    <row r="1016" spans="1:8" ht="43.5">
      <c r="A1016" s="25" t="s">
        <v>439</v>
      </c>
    </row>
    <row r="1017" spans="1:8">
      <c r="A1017" s="25" t="s">
        <v>182</v>
      </c>
      <c r="B1017" t="s">
        <v>219</v>
      </c>
      <c r="C1017" t="s">
        <v>181</v>
      </c>
      <c r="D1017" t="s">
        <v>188</v>
      </c>
      <c r="E1017" t="s">
        <v>241</v>
      </c>
      <c r="F1017" t="s">
        <v>220</v>
      </c>
      <c r="G1017" t="s">
        <v>243</v>
      </c>
      <c r="H1017" t="s">
        <v>221</v>
      </c>
    </row>
    <row r="1018" spans="1:8">
      <c r="A1018" s="25" t="s">
        <v>207</v>
      </c>
      <c r="B1018">
        <v>162</v>
      </c>
      <c r="C1018" t="s">
        <v>189</v>
      </c>
      <c r="D1018">
        <v>264</v>
      </c>
      <c r="E1018" s="1">
        <v>5.3600000000000002E-2</v>
      </c>
      <c r="F1018" s="1">
        <v>0.71899999999999997</v>
      </c>
      <c r="G1018" s="1">
        <v>6.9999999999999999E-4</v>
      </c>
      <c r="H1018" s="1">
        <v>0.2266</v>
      </c>
    </row>
    <row r="1019" spans="1:8">
      <c r="A1019" s="25" t="s">
        <v>208</v>
      </c>
      <c r="B1019">
        <v>82</v>
      </c>
      <c r="C1019" t="s">
        <v>189</v>
      </c>
      <c r="D1019">
        <v>264</v>
      </c>
      <c r="E1019" s="1">
        <v>0.20330000000000001</v>
      </c>
      <c r="F1019" s="1">
        <v>0.63200000000000001</v>
      </c>
      <c r="G1019" s="1">
        <v>1.6500000000000001E-2</v>
      </c>
      <c r="H1019" s="1">
        <v>0.1482</v>
      </c>
    </row>
    <row r="1020" spans="1:8">
      <c r="A1020" s="25" t="s">
        <v>209</v>
      </c>
      <c r="B1020">
        <v>20</v>
      </c>
      <c r="C1020" t="s">
        <v>189</v>
      </c>
      <c r="D1020">
        <v>264</v>
      </c>
      <c r="E1020" s="1">
        <v>1.5800000000000002E-2</v>
      </c>
      <c r="F1020" s="1">
        <v>0.84950000000000003</v>
      </c>
      <c r="H1020" s="1">
        <v>0.1348</v>
      </c>
    </row>
    <row r="1021" spans="1:8">
      <c r="A1021" s="25" t="s">
        <v>192</v>
      </c>
      <c r="B1021">
        <v>264</v>
      </c>
      <c r="C1021" t="s">
        <v>192</v>
      </c>
      <c r="D1021">
        <v>264</v>
      </c>
      <c r="E1021" s="1">
        <v>0.10059999999999999</v>
      </c>
      <c r="F1021" s="1">
        <v>0.69769999999999999</v>
      </c>
      <c r="G1021" s="1">
        <v>5.8999999999999999E-3</v>
      </c>
      <c r="H1021" s="1">
        <v>0.1958</v>
      </c>
    </row>
    <row r="1023" spans="1:8" ht="57.95">
      <c r="A1023" s="25" t="s">
        <v>440</v>
      </c>
    </row>
    <row r="1024" spans="1:8">
      <c r="A1024" s="25" t="s">
        <v>182</v>
      </c>
      <c r="B1024" t="s">
        <v>219</v>
      </c>
      <c r="C1024" t="s">
        <v>181</v>
      </c>
      <c r="D1024" t="s">
        <v>188</v>
      </c>
      <c r="E1024" t="s">
        <v>241</v>
      </c>
      <c r="F1024" t="s">
        <v>220</v>
      </c>
      <c r="G1024" t="s">
        <v>243</v>
      </c>
      <c r="H1024" t="s">
        <v>221</v>
      </c>
    </row>
    <row r="1025" spans="1:12">
      <c r="A1025" s="25" t="s">
        <v>211</v>
      </c>
      <c r="B1025">
        <v>92</v>
      </c>
      <c r="C1025" t="s">
        <v>189</v>
      </c>
      <c r="D1025">
        <v>264</v>
      </c>
      <c r="E1025" s="1">
        <v>6.8599999999999994E-2</v>
      </c>
      <c r="F1025" s="1">
        <v>0.64639999999999997</v>
      </c>
      <c r="G1025" s="1">
        <v>1.5E-3</v>
      </c>
      <c r="H1025" s="1">
        <v>0.28339999999999999</v>
      </c>
    </row>
    <row r="1026" spans="1:12">
      <c r="A1026" s="25" t="s">
        <v>212</v>
      </c>
      <c r="B1026">
        <v>109</v>
      </c>
      <c r="C1026" t="s">
        <v>189</v>
      </c>
      <c r="D1026">
        <v>264</v>
      </c>
      <c r="E1026" s="1">
        <v>0.1066</v>
      </c>
      <c r="F1026" s="1">
        <v>0.72250000000000003</v>
      </c>
      <c r="H1026" s="1">
        <v>0.1709</v>
      </c>
    </row>
    <row r="1027" spans="1:12">
      <c r="A1027" s="25" t="s">
        <v>213</v>
      </c>
      <c r="B1027">
        <v>63</v>
      </c>
      <c r="C1027" t="s">
        <v>189</v>
      </c>
      <c r="D1027">
        <v>264</v>
      </c>
      <c r="E1027" s="1">
        <v>0.1226</v>
      </c>
      <c r="F1027" s="1">
        <v>0.71379999999999999</v>
      </c>
      <c r="G1027" s="1">
        <v>1.7100000000000001E-2</v>
      </c>
      <c r="H1027" s="1">
        <v>0.14649999999999999</v>
      </c>
    </row>
    <row r="1028" spans="1:12">
      <c r="A1028" s="25" t="s">
        <v>192</v>
      </c>
      <c r="B1028">
        <v>264</v>
      </c>
      <c r="C1028" t="s">
        <v>192</v>
      </c>
      <c r="D1028">
        <v>264</v>
      </c>
      <c r="E1028" s="1">
        <v>0.10059999999999999</v>
      </c>
      <c r="F1028" s="1">
        <v>0.69769999999999999</v>
      </c>
      <c r="G1028" s="1">
        <v>5.8999999999999999E-3</v>
      </c>
      <c r="H1028" s="1">
        <v>0.1958</v>
      </c>
    </row>
    <row r="1030" spans="1:12" ht="43.5">
      <c r="A1030" s="25" t="s">
        <v>441</v>
      </c>
    </row>
    <row r="1031" spans="1:12">
      <c r="A1031" s="25" t="s">
        <v>182</v>
      </c>
      <c r="B1031" t="s">
        <v>219</v>
      </c>
      <c r="C1031" t="s">
        <v>181</v>
      </c>
      <c r="D1031" t="s">
        <v>188</v>
      </c>
      <c r="E1031" t="s">
        <v>442</v>
      </c>
      <c r="F1031" t="s">
        <v>443</v>
      </c>
      <c r="G1031" t="s">
        <v>269</v>
      </c>
      <c r="H1031" t="s">
        <v>444</v>
      </c>
      <c r="I1031" t="s">
        <v>243</v>
      </c>
      <c r="J1031" t="s">
        <v>445</v>
      </c>
      <c r="K1031" t="s">
        <v>446</v>
      </c>
      <c r="L1031" t="s">
        <v>447</v>
      </c>
    </row>
    <row r="1032" spans="1:12">
      <c r="A1032" s="25" t="s">
        <v>190</v>
      </c>
      <c r="B1032">
        <v>28</v>
      </c>
      <c r="C1032" t="s">
        <v>189</v>
      </c>
      <c r="D1032">
        <v>51</v>
      </c>
      <c r="E1032" s="1">
        <v>0.36890000000000001</v>
      </c>
      <c r="F1032" s="1">
        <v>0.23699999999999999</v>
      </c>
      <c r="H1032" s="1">
        <v>0.1447</v>
      </c>
      <c r="I1032" s="1">
        <v>0.1</v>
      </c>
      <c r="J1032" s="1">
        <v>6.0999999999999999E-2</v>
      </c>
      <c r="K1032" s="1">
        <v>6.25E-2</v>
      </c>
      <c r="L1032" s="1">
        <v>0.47470000000000001</v>
      </c>
    </row>
    <row r="1033" spans="1:12">
      <c r="A1033" s="25" t="s">
        <v>191</v>
      </c>
      <c r="B1033">
        <v>23</v>
      </c>
      <c r="C1033" t="s">
        <v>189</v>
      </c>
      <c r="D1033">
        <v>51</v>
      </c>
      <c r="E1033" s="1">
        <v>1.12E-2</v>
      </c>
      <c r="F1033" s="1">
        <v>0.49440000000000001</v>
      </c>
      <c r="G1033" s="1">
        <v>9.9699999999999997E-2</v>
      </c>
      <c r="J1033" s="1">
        <v>0.3947</v>
      </c>
      <c r="K1033" s="1">
        <v>1.12E-2</v>
      </c>
      <c r="L1033" s="1">
        <v>1.12E-2</v>
      </c>
    </row>
    <row r="1034" spans="1:12">
      <c r="A1034" s="25" t="s">
        <v>192</v>
      </c>
      <c r="B1034">
        <v>51</v>
      </c>
      <c r="C1034" t="s">
        <v>192</v>
      </c>
      <c r="D1034">
        <v>51</v>
      </c>
      <c r="E1034" s="1">
        <v>0.2152</v>
      </c>
      <c r="F1034" s="1">
        <v>0.34760000000000002</v>
      </c>
      <c r="G1034" s="1">
        <v>4.2900000000000001E-2</v>
      </c>
      <c r="H1034" s="1">
        <v>8.2500000000000004E-2</v>
      </c>
      <c r="I1034" s="1">
        <v>5.7000000000000002E-2</v>
      </c>
      <c r="J1034" s="1">
        <v>0.2044</v>
      </c>
      <c r="K1034" s="1">
        <v>4.0500000000000001E-2</v>
      </c>
      <c r="L1034" s="1">
        <v>0.27550000000000002</v>
      </c>
    </row>
    <row r="1036" spans="1:12" ht="57.95">
      <c r="A1036" s="25" t="s">
        <v>448</v>
      </c>
    </row>
    <row r="1037" spans="1:12">
      <c r="A1037" s="25" t="s">
        <v>182</v>
      </c>
      <c r="B1037" t="s">
        <v>219</v>
      </c>
      <c r="C1037" t="s">
        <v>181</v>
      </c>
      <c r="D1037" t="s">
        <v>188</v>
      </c>
      <c r="E1037" t="s">
        <v>442</v>
      </c>
      <c r="F1037" t="s">
        <v>443</v>
      </c>
      <c r="G1037" t="s">
        <v>269</v>
      </c>
      <c r="H1037" t="s">
        <v>444</v>
      </c>
      <c r="I1037" t="s">
        <v>243</v>
      </c>
      <c r="J1037" t="s">
        <v>445</v>
      </c>
      <c r="K1037" t="s">
        <v>446</v>
      </c>
      <c r="L1037" t="s">
        <v>447</v>
      </c>
    </row>
    <row r="1038" spans="1:12" ht="29.1">
      <c r="A1038" s="25" t="s">
        <v>194</v>
      </c>
      <c r="B1038">
        <v>34</v>
      </c>
      <c r="C1038" t="s">
        <v>189</v>
      </c>
      <c r="D1038">
        <v>51</v>
      </c>
      <c r="E1038" s="1">
        <v>0.25219999999999998</v>
      </c>
      <c r="F1038" s="1">
        <v>0.39510000000000001</v>
      </c>
      <c r="G1038" s="1">
        <v>1.04E-2</v>
      </c>
      <c r="H1038" s="1">
        <v>0.10290000000000001</v>
      </c>
      <c r="I1038" s="1">
        <v>7.1099999999999997E-2</v>
      </c>
      <c r="J1038" s="1">
        <v>0.10539999999999999</v>
      </c>
      <c r="K1038" s="1">
        <v>4.4400000000000002E-2</v>
      </c>
      <c r="L1038" s="1">
        <v>0.32750000000000001</v>
      </c>
    </row>
    <row r="1039" spans="1:12" ht="29.1">
      <c r="A1039" s="25" t="s">
        <v>195</v>
      </c>
      <c r="B1039">
        <v>6</v>
      </c>
      <c r="C1039" t="s">
        <v>189</v>
      </c>
      <c r="D1039">
        <v>51</v>
      </c>
      <c r="E1039" s="1">
        <v>6.3500000000000001E-2</v>
      </c>
      <c r="F1039" s="1">
        <v>1.72E-2</v>
      </c>
      <c r="J1039" s="1">
        <v>0.91920000000000002</v>
      </c>
      <c r="L1039" s="1">
        <v>6.3500000000000001E-2</v>
      </c>
    </row>
    <row r="1040" spans="1:12" ht="29.1">
      <c r="A1040" s="25" t="s">
        <v>196</v>
      </c>
      <c r="B1040">
        <v>11</v>
      </c>
      <c r="C1040" t="s">
        <v>189</v>
      </c>
      <c r="D1040">
        <v>51</v>
      </c>
      <c r="E1040" s="1">
        <v>6.8000000000000005E-2</v>
      </c>
      <c r="F1040" s="1">
        <v>0.40310000000000001</v>
      </c>
      <c r="G1040" s="1">
        <v>0.48609999999999998</v>
      </c>
      <c r="J1040" s="1">
        <v>4.2799999999999998E-2</v>
      </c>
      <c r="K1040" s="1">
        <v>6.8000000000000005E-2</v>
      </c>
      <c r="L1040" s="1">
        <v>6.8000000000000005E-2</v>
      </c>
    </row>
    <row r="1041" spans="1:12">
      <c r="A1041" s="25" t="s">
        <v>192</v>
      </c>
      <c r="B1041">
        <v>51</v>
      </c>
      <c r="C1041" t="s">
        <v>192</v>
      </c>
      <c r="D1041">
        <v>51</v>
      </c>
      <c r="E1041" s="1">
        <v>0.2152</v>
      </c>
      <c r="F1041" s="1">
        <v>0.34760000000000002</v>
      </c>
      <c r="G1041" s="1">
        <v>4.2900000000000001E-2</v>
      </c>
      <c r="H1041" s="1">
        <v>8.2500000000000004E-2</v>
      </c>
      <c r="I1041" s="1">
        <v>5.7000000000000002E-2</v>
      </c>
      <c r="J1041" s="1">
        <v>0.2044</v>
      </c>
      <c r="K1041" s="1">
        <v>4.0500000000000001E-2</v>
      </c>
      <c r="L1041" s="1">
        <v>0.27550000000000002</v>
      </c>
    </row>
    <row r="1043" spans="1:12" ht="57.95">
      <c r="A1043" s="25" t="s">
        <v>449</v>
      </c>
    </row>
    <row r="1044" spans="1:12">
      <c r="A1044" s="25" t="s">
        <v>182</v>
      </c>
      <c r="B1044" t="s">
        <v>219</v>
      </c>
      <c r="C1044" t="s">
        <v>181</v>
      </c>
      <c r="D1044" t="s">
        <v>188</v>
      </c>
      <c r="E1044" t="s">
        <v>442</v>
      </c>
      <c r="F1044" t="s">
        <v>443</v>
      </c>
      <c r="G1044" t="s">
        <v>269</v>
      </c>
      <c r="H1044" t="s">
        <v>444</v>
      </c>
      <c r="I1044" t="s">
        <v>243</v>
      </c>
      <c r="J1044" t="s">
        <v>445</v>
      </c>
      <c r="K1044" t="s">
        <v>446</v>
      </c>
      <c r="L1044" t="s">
        <v>447</v>
      </c>
    </row>
    <row r="1045" spans="1:12">
      <c r="A1045" s="25" t="s">
        <v>198</v>
      </c>
      <c r="B1045">
        <v>21</v>
      </c>
      <c r="C1045" t="s">
        <v>189</v>
      </c>
      <c r="D1045">
        <v>51</v>
      </c>
      <c r="E1045" s="1">
        <v>0.27750000000000002</v>
      </c>
      <c r="F1045" s="1">
        <v>0.26040000000000002</v>
      </c>
      <c r="G1045" s="1">
        <v>7.2999999999999995E-2</v>
      </c>
      <c r="H1045" s="1">
        <v>4.4400000000000002E-2</v>
      </c>
      <c r="J1045" s="1">
        <v>0.35489999999999999</v>
      </c>
      <c r="L1045" s="1">
        <v>0.43280000000000002</v>
      </c>
    </row>
    <row r="1046" spans="1:12">
      <c r="A1046" s="25" t="s">
        <v>199</v>
      </c>
      <c r="B1046">
        <v>30</v>
      </c>
      <c r="C1046" t="s">
        <v>189</v>
      </c>
      <c r="D1046">
        <v>51</v>
      </c>
      <c r="E1046" s="1">
        <v>0.1593</v>
      </c>
      <c r="F1046" s="1">
        <v>0.42580000000000001</v>
      </c>
      <c r="G1046" s="1">
        <v>1.5800000000000002E-2</v>
      </c>
      <c r="H1046" s="1">
        <v>0.1167</v>
      </c>
      <c r="I1046" s="1">
        <v>0.1081</v>
      </c>
      <c r="J1046" s="1">
        <v>6.9599999999999995E-2</v>
      </c>
      <c r="K1046" s="1">
        <v>7.6700000000000004E-2</v>
      </c>
      <c r="L1046" s="1">
        <v>0.13450000000000001</v>
      </c>
    </row>
    <row r="1047" spans="1:12">
      <c r="A1047" s="25" t="s">
        <v>192</v>
      </c>
      <c r="B1047">
        <v>51</v>
      </c>
      <c r="C1047" t="s">
        <v>192</v>
      </c>
      <c r="D1047">
        <v>51</v>
      </c>
      <c r="E1047" s="1">
        <v>0.2152</v>
      </c>
      <c r="F1047" s="1">
        <v>0.34760000000000002</v>
      </c>
      <c r="G1047" s="1">
        <v>4.2900000000000001E-2</v>
      </c>
      <c r="H1047" s="1">
        <v>8.2500000000000004E-2</v>
      </c>
      <c r="I1047" s="1">
        <v>5.7000000000000002E-2</v>
      </c>
      <c r="J1047" s="1">
        <v>0.2044</v>
      </c>
      <c r="K1047" s="1">
        <v>4.0500000000000001E-2</v>
      </c>
      <c r="L1047" s="1">
        <v>0.27550000000000002</v>
      </c>
    </row>
    <row r="1049" spans="1:12" ht="57.95">
      <c r="A1049" s="25" t="s">
        <v>450</v>
      </c>
    </row>
    <row r="1050" spans="1:12">
      <c r="A1050" s="25" t="s">
        <v>182</v>
      </c>
      <c r="B1050" t="s">
        <v>219</v>
      </c>
      <c r="C1050" t="s">
        <v>181</v>
      </c>
      <c r="D1050" t="s">
        <v>188</v>
      </c>
      <c r="E1050" t="s">
        <v>442</v>
      </c>
      <c r="F1050" t="s">
        <v>443</v>
      </c>
      <c r="G1050" t="s">
        <v>269</v>
      </c>
      <c r="H1050" t="s">
        <v>444</v>
      </c>
      <c r="I1050" t="s">
        <v>243</v>
      </c>
      <c r="J1050" t="s">
        <v>445</v>
      </c>
      <c r="K1050" t="s">
        <v>446</v>
      </c>
      <c r="L1050" t="s">
        <v>447</v>
      </c>
    </row>
    <row r="1051" spans="1:12">
      <c r="A1051" s="25" t="s">
        <v>201</v>
      </c>
      <c r="B1051">
        <v>3</v>
      </c>
      <c r="C1051" t="s">
        <v>189</v>
      </c>
      <c r="D1051">
        <v>51</v>
      </c>
      <c r="F1051" s="1">
        <v>0.89259999999999995</v>
      </c>
      <c r="J1051" s="1">
        <v>0.1074</v>
      </c>
    </row>
    <row r="1052" spans="1:12">
      <c r="A1052" s="25" t="s">
        <v>203</v>
      </c>
      <c r="B1052">
        <v>41</v>
      </c>
      <c r="C1052" t="s">
        <v>189</v>
      </c>
      <c r="D1052">
        <v>51</v>
      </c>
      <c r="E1052" s="1">
        <v>0.23630000000000001</v>
      </c>
      <c r="F1052" s="1">
        <v>0.33239999999999997</v>
      </c>
      <c r="G1052" s="1">
        <v>4.7100000000000003E-2</v>
      </c>
      <c r="H1052" s="1">
        <v>9.06E-2</v>
      </c>
      <c r="I1052" s="1">
        <v>6.2600000000000003E-2</v>
      </c>
      <c r="J1052" s="1">
        <v>0.18090000000000001</v>
      </c>
      <c r="K1052" s="1">
        <v>3.9100000000000003E-2</v>
      </c>
      <c r="L1052" s="1">
        <v>0.30259999999999998</v>
      </c>
    </row>
    <row r="1053" spans="1:12">
      <c r="A1053" s="25" t="s">
        <v>205</v>
      </c>
      <c r="B1053">
        <v>7</v>
      </c>
      <c r="C1053" t="s">
        <v>189</v>
      </c>
      <c r="D1053">
        <v>51</v>
      </c>
      <c r="F1053" s="1">
        <v>0.3216</v>
      </c>
      <c r="J1053" s="1">
        <v>0.59960000000000002</v>
      </c>
      <c r="K1053" s="1">
        <v>7.8799999999999995E-2</v>
      </c>
    </row>
    <row r="1054" spans="1:12">
      <c r="A1054" s="25" t="s">
        <v>192</v>
      </c>
      <c r="B1054">
        <v>51</v>
      </c>
      <c r="C1054" t="s">
        <v>192</v>
      </c>
      <c r="D1054">
        <v>51</v>
      </c>
      <c r="E1054" s="1">
        <v>0.2152</v>
      </c>
      <c r="F1054" s="1">
        <v>0.34760000000000002</v>
      </c>
      <c r="G1054" s="1">
        <v>4.2900000000000001E-2</v>
      </c>
      <c r="H1054" s="1">
        <v>8.2500000000000004E-2</v>
      </c>
      <c r="I1054" s="1">
        <v>5.7000000000000002E-2</v>
      </c>
      <c r="J1054" s="1">
        <v>0.2044</v>
      </c>
      <c r="K1054" s="1">
        <v>4.0500000000000001E-2</v>
      </c>
      <c r="L1054" s="1">
        <v>0.27550000000000002</v>
      </c>
    </row>
    <row r="1056" spans="1:12" ht="57.95">
      <c r="A1056" s="25" t="s">
        <v>451</v>
      </c>
    </row>
    <row r="1057" spans="1:19">
      <c r="A1057" s="25" t="s">
        <v>182</v>
      </c>
      <c r="B1057" t="s">
        <v>219</v>
      </c>
      <c r="C1057" t="s">
        <v>181</v>
      </c>
      <c r="D1057" t="s">
        <v>188</v>
      </c>
      <c r="E1057" t="s">
        <v>442</v>
      </c>
      <c r="F1057" t="s">
        <v>443</v>
      </c>
      <c r="G1057" t="s">
        <v>269</v>
      </c>
      <c r="H1057" t="s">
        <v>444</v>
      </c>
      <c r="I1057" t="s">
        <v>243</v>
      </c>
      <c r="J1057" t="s">
        <v>445</v>
      </c>
      <c r="K1057" t="s">
        <v>446</v>
      </c>
      <c r="L1057" t="s">
        <v>447</v>
      </c>
    </row>
    <row r="1058" spans="1:19">
      <c r="A1058" s="25" t="s">
        <v>207</v>
      </c>
      <c r="B1058">
        <v>33</v>
      </c>
      <c r="C1058" t="s">
        <v>189</v>
      </c>
      <c r="D1058">
        <v>51</v>
      </c>
      <c r="E1058" s="1">
        <v>0.19800000000000001</v>
      </c>
      <c r="F1058" s="1">
        <v>0.3947</v>
      </c>
      <c r="G1058" s="1">
        <v>4.9299999999999997E-2</v>
      </c>
      <c r="H1058" s="1">
        <v>7.4399999999999994E-2</v>
      </c>
      <c r="J1058" s="1">
        <v>0.1991</v>
      </c>
      <c r="K1058" s="1">
        <v>5.0599999999999999E-2</v>
      </c>
      <c r="L1058" s="1">
        <v>0.30780000000000002</v>
      </c>
    </row>
    <row r="1059" spans="1:19">
      <c r="A1059" s="25" t="s">
        <v>208</v>
      </c>
      <c r="B1059">
        <v>13</v>
      </c>
      <c r="C1059" t="s">
        <v>189</v>
      </c>
      <c r="D1059">
        <v>51</v>
      </c>
      <c r="E1059" s="1">
        <v>0.29509999999999997</v>
      </c>
      <c r="F1059" s="1">
        <v>0.15</v>
      </c>
      <c r="H1059" s="1">
        <v>0.1176</v>
      </c>
      <c r="I1059" s="1">
        <v>0.2225</v>
      </c>
      <c r="J1059" s="1">
        <v>0.2505</v>
      </c>
      <c r="K1059" s="1">
        <v>1.8800000000000001E-2</v>
      </c>
      <c r="L1059" s="1">
        <v>0.2286</v>
      </c>
    </row>
    <row r="1060" spans="1:19">
      <c r="A1060" s="25" t="s">
        <v>209</v>
      </c>
      <c r="B1060">
        <v>5</v>
      </c>
      <c r="C1060" t="s">
        <v>189</v>
      </c>
      <c r="D1060">
        <v>51</v>
      </c>
      <c r="F1060" s="1">
        <v>0.79379999999999995</v>
      </c>
      <c r="G1060" s="1">
        <v>0.20619999999999999</v>
      </c>
    </row>
    <row r="1061" spans="1:19">
      <c r="A1061" s="25" t="s">
        <v>192</v>
      </c>
      <c r="B1061">
        <v>51</v>
      </c>
      <c r="C1061" t="s">
        <v>192</v>
      </c>
      <c r="D1061">
        <v>51</v>
      </c>
      <c r="E1061" s="1">
        <v>0.2152</v>
      </c>
      <c r="F1061" s="1">
        <v>0.34760000000000002</v>
      </c>
      <c r="G1061" s="1">
        <v>4.2900000000000001E-2</v>
      </c>
      <c r="H1061" s="1">
        <v>8.2500000000000004E-2</v>
      </c>
      <c r="I1061" s="1">
        <v>5.7000000000000002E-2</v>
      </c>
      <c r="J1061" s="1">
        <v>0.2044</v>
      </c>
      <c r="K1061" s="1">
        <v>4.0500000000000001E-2</v>
      </c>
      <c r="L1061" s="1">
        <v>0.27550000000000002</v>
      </c>
    </row>
    <row r="1063" spans="1:19" ht="57.95">
      <c r="A1063" s="25" t="s">
        <v>452</v>
      </c>
    </row>
    <row r="1064" spans="1:19">
      <c r="A1064" s="25" t="s">
        <v>182</v>
      </c>
      <c r="B1064" t="s">
        <v>219</v>
      </c>
      <c r="C1064" t="s">
        <v>181</v>
      </c>
      <c r="D1064" t="s">
        <v>188</v>
      </c>
      <c r="E1064" t="s">
        <v>442</v>
      </c>
      <c r="F1064" t="s">
        <v>443</v>
      </c>
      <c r="G1064" t="s">
        <v>269</v>
      </c>
      <c r="H1064" t="s">
        <v>444</v>
      </c>
      <c r="I1064" t="s">
        <v>243</v>
      </c>
      <c r="J1064" t="s">
        <v>445</v>
      </c>
      <c r="K1064" t="s">
        <v>446</v>
      </c>
      <c r="L1064" t="s">
        <v>447</v>
      </c>
    </row>
    <row r="1065" spans="1:19">
      <c r="A1065" s="25" t="s">
        <v>211</v>
      </c>
      <c r="B1065">
        <v>21</v>
      </c>
      <c r="C1065" t="s">
        <v>189</v>
      </c>
      <c r="D1065">
        <v>51</v>
      </c>
      <c r="E1065" s="1">
        <v>0.2989</v>
      </c>
      <c r="F1065" s="1">
        <v>0.39600000000000002</v>
      </c>
      <c r="G1065" s="1">
        <v>4.02E-2</v>
      </c>
      <c r="H1065" s="1">
        <v>0.1283</v>
      </c>
      <c r="J1065" s="1">
        <v>0.1366</v>
      </c>
      <c r="L1065" s="1">
        <v>0.2989</v>
      </c>
    </row>
    <row r="1066" spans="1:19">
      <c r="A1066" s="25" t="s">
        <v>212</v>
      </c>
      <c r="B1066">
        <v>21</v>
      </c>
      <c r="C1066" t="s">
        <v>189</v>
      </c>
      <c r="D1066">
        <v>51</v>
      </c>
      <c r="E1066" s="1">
        <v>0.16830000000000001</v>
      </c>
      <c r="F1066" s="1">
        <v>0.3478</v>
      </c>
      <c r="G1066" s="1">
        <v>7.5999999999999998E-2</v>
      </c>
      <c r="H1066" s="1">
        <v>8.6599999999999996E-2</v>
      </c>
      <c r="I1066" s="1">
        <v>8.2000000000000003E-2</v>
      </c>
      <c r="J1066" s="1">
        <v>0.26550000000000001</v>
      </c>
      <c r="K1066" s="1">
        <v>1.3899999999999999E-2</v>
      </c>
      <c r="L1066" s="1">
        <v>0.188</v>
      </c>
    </row>
    <row r="1067" spans="1:19">
      <c r="A1067" s="25" t="s">
        <v>213</v>
      </c>
      <c r="B1067">
        <v>9</v>
      </c>
      <c r="C1067" t="s">
        <v>189</v>
      </c>
      <c r="D1067">
        <v>51</v>
      </c>
      <c r="E1067" s="1">
        <v>0.14169999999999999</v>
      </c>
      <c r="F1067" s="1">
        <v>0.26650000000000001</v>
      </c>
      <c r="I1067" s="1">
        <v>0.1169</v>
      </c>
      <c r="J1067" s="1">
        <v>0.23089999999999999</v>
      </c>
      <c r="K1067" s="1">
        <v>0.14610000000000001</v>
      </c>
      <c r="L1067" s="1">
        <v>0.3609</v>
      </c>
    </row>
    <row r="1068" spans="1:19">
      <c r="A1068" s="25" t="s">
        <v>192</v>
      </c>
      <c r="B1068">
        <v>51</v>
      </c>
      <c r="C1068" t="s">
        <v>192</v>
      </c>
      <c r="D1068">
        <v>51</v>
      </c>
      <c r="E1068" s="1">
        <v>0.2152</v>
      </c>
      <c r="F1068" s="1">
        <v>0.34760000000000002</v>
      </c>
      <c r="G1068" s="1">
        <v>4.2900000000000001E-2</v>
      </c>
      <c r="H1068" s="1">
        <v>8.2500000000000004E-2</v>
      </c>
      <c r="I1068" s="1">
        <v>5.7000000000000002E-2</v>
      </c>
      <c r="J1068" s="1">
        <v>0.2044</v>
      </c>
      <c r="K1068" s="1">
        <v>4.0500000000000001E-2</v>
      </c>
      <c r="L1068" s="1">
        <v>0.27550000000000002</v>
      </c>
    </row>
    <row r="1070" spans="1:19" ht="43.5">
      <c r="A1070" s="25" t="s">
        <v>453</v>
      </c>
    </row>
    <row r="1071" spans="1:19">
      <c r="A1071" s="25" t="s">
        <v>182</v>
      </c>
      <c r="B1071" t="s">
        <v>219</v>
      </c>
      <c r="C1071" t="s">
        <v>181</v>
      </c>
      <c r="D1071" t="s">
        <v>188</v>
      </c>
      <c r="E1071" t="s">
        <v>454</v>
      </c>
      <c r="F1071" t="s">
        <v>455</v>
      </c>
      <c r="G1071" t="s">
        <v>456</v>
      </c>
      <c r="H1071" t="s">
        <v>241</v>
      </c>
      <c r="I1071" t="s">
        <v>457</v>
      </c>
      <c r="J1071" t="s">
        <v>458</v>
      </c>
      <c r="K1071" t="s">
        <v>324</v>
      </c>
      <c r="L1071" t="s">
        <v>269</v>
      </c>
      <c r="M1071" t="s">
        <v>243</v>
      </c>
      <c r="N1071" t="s">
        <v>459</v>
      </c>
      <c r="O1071" t="s">
        <v>460</v>
      </c>
      <c r="P1071" t="s">
        <v>461</v>
      </c>
      <c r="Q1071" t="s">
        <v>462</v>
      </c>
      <c r="R1071" t="s">
        <v>463</v>
      </c>
      <c r="S1071" t="s">
        <v>464</v>
      </c>
    </row>
    <row r="1072" spans="1:19">
      <c r="A1072" s="25" t="s">
        <v>190</v>
      </c>
      <c r="B1072">
        <v>4067</v>
      </c>
      <c r="C1072" t="s">
        <v>189</v>
      </c>
      <c r="D1072">
        <v>8578</v>
      </c>
      <c r="E1072" s="1">
        <v>0.3614</v>
      </c>
      <c r="F1072" s="1">
        <v>0.13469999999999999</v>
      </c>
      <c r="G1072" s="1">
        <v>1.8E-3</v>
      </c>
      <c r="H1072" s="1">
        <v>8.0000000000000004E-4</v>
      </c>
      <c r="I1072" s="1">
        <v>0.10059999999999999</v>
      </c>
      <c r="J1072" s="1">
        <v>0.1091</v>
      </c>
      <c r="K1072" s="1">
        <v>0.47210000000000002</v>
      </c>
      <c r="L1072" s="1">
        <v>3.5999999999999999E-3</v>
      </c>
      <c r="M1072" s="1">
        <v>1E-3</v>
      </c>
      <c r="N1072" s="1">
        <v>6.4999999999999997E-3</v>
      </c>
      <c r="O1072" s="1">
        <v>9.1000000000000004E-3</v>
      </c>
      <c r="P1072" s="1">
        <v>6.7000000000000002E-3</v>
      </c>
      <c r="Q1072" s="1">
        <v>5.3100000000000001E-2</v>
      </c>
      <c r="R1072" s="1">
        <v>8.3799999999999999E-2</v>
      </c>
      <c r="S1072" s="1">
        <v>0.12909999999999999</v>
      </c>
    </row>
    <row r="1073" spans="1:19">
      <c r="A1073" s="25" t="s">
        <v>191</v>
      </c>
      <c r="B1073">
        <v>4467</v>
      </c>
      <c r="C1073" t="s">
        <v>189</v>
      </c>
      <c r="D1073">
        <v>8578</v>
      </c>
      <c r="E1073" s="1">
        <v>0.33679999999999999</v>
      </c>
      <c r="F1073" s="1">
        <v>0.15959999999999999</v>
      </c>
      <c r="G1073" s="1">
        <v>5.1999999999999998E-3</v>
      </c>
      <c r="H1073" s="1">
        <v>2E-3</v>
      </c>
      <c r="I1073" s="1">
        <v>1.5800000000000002E-2</v>
      </c>
      <c r="J1073" s="1">
        <v>7.7999999999999996E-3</v>
      </c>
      <c r="K1073" s="1">
        <v>0.59230000000000005</v>
      </c>
      <c r="L1073" s="1">
        <v>5.7999999999999996E-3</v>
      </c>
      <c r="M1073" s="1">
        <v>1.6999999999999999E-3</v>
      </c>
      <c r="N1073" s="1">
        <v>6.1999999999999998E-3</v>
      </c>
      <c r="O1073" s="1">
        <v>1.44E-2</v>
      </c>
      <c r="P1073" s="1">
        <v>1.7899999999999999E-2</v>
      </c>
      <c r="Q1073" s="1">
        <v>2.5700000000000001E-2</v>
      </c>
      <c r="R1073" s="1">
        <v>5.7500000000000002E-2</v>
      </c>
      <c r="S1073" s="1">
        <v>3.1300000000000001E-2</v>
      </c>
    </row>
    <row r="1074" spans="1:19">
      <c r="A1074" s="25" t="s">
        <v>192</v>
      </c>
      <c r="B1074">
        <v>8578</v>
      </c>
      <c r="C1074" t="s">
        <v>192</v>
      </c>
      <c r="D1074">
        <v>8578</v>
      </c>
      <c r="E1074" s="1">
        <v>0.34610000000000002</v>
      </c>
      <c r="F1074" s="1">
        <v>0.1497</v>
      </c>
      <c r="G1074" s="1">
        <v>3.8999999999999998E-3</v>
      </c>
      <c r="H1074" s="1">
        <v>1.5E-3</v>
      </c>
      <c r="I1074" s="1">
        <v>4.8800000000000003E-2</v>
      </c>
      <c r="J1074" s="1">
        <v>4.7199999999999999E-2</v>
      </c>
      <c r="K1074" s="1">
        <v>0.54569999999999996</v>
      </c>
      <c r="L1074" s="1">
        <v>5.0000000000000001E-3</v>
      </c>
      <c r="M1074" s="1">
        <v>1.4E-3</v>
      </c>
      <c r="N1074" s="1">
        <v>6.3E-3</v>
      </c>
      <c r="O1074" s="1">
        <v>1.24E-2</v>
      </c>
      <c r="P1074" s="1">
        <v>1.35E-2</v>
      </c>
      <c r="Q1074" s="1">
        <v>3.6299999999999999E-2</v>
      </c>
      <c r="R1074" s="1">
        <v>6.7699999999999996E-2</v>
      </c>
      <c r="S1074" s="1">
        <v>6.9400000000000003E-2</v>
      </c>
    </row>
    <row r="1076" spans="1:19" ht="43.5">
      <c r="A1076" s="25" t="s">
        <v>465</v>
      </c>
    </row>
    <row r="1077" spans="1:19">
      <c r="A1077" s="25" t="s">
        <v>182</v>
      </c>
      <c r="B1077" t="s">
        <v>219</v>
      </c>
      <c r="C1077" t="s">
        <v>181</v>
      </c>
      <c r="D1077" t="s">
        <v>188</v>
      </c>
      <c r="E1077" t="s">
        <v>454</v>
      </c>
      <c r="F1077" t="s">
        <v>455</v>
      </c>
      <c r="G1077" t="s">
        <v>456</v>
      </c>
      <c r="H1077" t="s">
        <v>241</v>
      </c>
      <c r="I1077" t="s">
        <v>457</v>
      </c>
      <c r="J1077" t="s">
        <v>458</v>
      </c>
      <c r="K1077" t="s">
        <v>324</v>
      </c>
      <c r="L1077" t="s">
        <v>269</v>
      </c>
      <c r="M1077" t="s">
        <v>243</v>
      </c>
      <c r="N1077" t="s">
        <v>459</v>
      </c>
      <c r="O1077" t="s">
        <v>460</v>
      </c>
      <c r="P1077" t="s">
        <v>461</v>
      </c>
      <c r="Q1077" t="s">
        <v>462</v>
      </c>
      <c r="R1077" t="s">
        <v>463</v>
      </c>
      <c r="S1077" t="s">
        <v>464</v>
      </c>
    </row>
    <row r="1078" spans="1:19" ht="29.1">
      <c r="A1078" s="25" t="s">
        <v>194</v>
      </c>
      <c r="B1078">
        <v>4987</v>
      </c>
      <c r="C1078" t="s">
        <v>189</v>
      </c>
      <c r="D1078">
        <v>8578</v>
      </c>
      <c r="E1078" s="1">
        <v>0.35549999999999998</v>
      </c>
      <c r="F1078" s="1">
        <v>0.15909999999999999</v>
      </c>
      <c r="G1078" s="1">
        <v>3.0000000000000001E-3</v>
      </c>
      <c r="H1078" s="1">
        <v>5.0000000000000001E-4</v>
      </c>
      <c r="I1078" s="1">
        <v>5.1999999999999998E-2</v>
      </c>
      <c r="J1078" s="1">
        <v>5.2600000000000001E-2</v>
      </c>
      <c r="K1078" s="1">
        <v>0.54239999999999999</v>
      </c>
      <c r="L1078" s="1">
        <v>3.8999999999999998E-3</v>
      </c>
      <c r="M1078" s="1">
        <v>2E-3</v>
      </c>
      <c r="N1078" s="1">
        <v>5.7999999999999996E-3</v>
      </c>
      <c r="O1078" s="1">
        <v>3.8E-3</v>
      </c>
      <c r="P1078" s="1">
        <v>1.6400000000000001E-2</v>
      </c>
      <c r="Q1078" s="1">
        <v>3.78E-2</v>
      </c>
      <c r="R1078" s="1">
        <v>7.4099999999999999E-2</v>
      </c>
      <c r="S1078" s="1">
        <v>6.8000000000000005E-2</v>
      </c>
    </row>
    <row r="1079" spans="1:19" ht="29.1">
      <c r="A1079" s="25" t="s">
        <v>195</v>
      </c>
      <c r="B1079">
        <v>2223</v>
      </c>
      <c r="C1079" t="s">
        <v>189</v>
      </c>
      <c r="D1079">
        <v>8578</v>
      </c>
      <c r="E1079" s="1">
        <v>0.33239999999999997</v>
      </c>
      <c r="F1079" s="1">
        <v>0.10920000000000001</v>
      </c>
      <c r="G1079" s="1">
        <v>7.4999999999999997E-3</v>
      </c>
      <c r="H1079" s="1">
        <v>2.5000000000000001E-3</v>
      </c>
      <c r="I1079" s="1">
        <v>4.6399999999999997E-2</v>
      </c>
      <c r="J1079" s="1">
        <v>4.3799999999999999E-2</v>
      </c>
      <c r="K1079" s="1">
        <v>0.54959999999999998</v>
      </c>
      <c r="L1079" s="1">
        <v>4.0000000000000001E-3</v>
      </c>
      <c r="N1079" s="1">
        <v>7.3000000000000001E-3</v>
      </c>
      <c r="O1079" s="1">
        <v>1.15E-2</v>
      </c>
      <c r="P1079" s="1">
        <v>8.5000000000000006E-3</v>
      </c>
      <c r="Q1079" s="1">
        <v>2.8500000000000001E-2</v>
      </c>
      <c r="R1079" s="1">
        <v>5.5300000000000002E-2</v>
      </c>
      <c r="S1079" s="1">
        <v>8.7999999999999995E-2</v>
      </c>
    </row>
    <row r="1080" spans="1:19" ht="29.1">
      <c r="A1080" s="25" t="s">
        <v>196</v>
      </c>
      <c r="B1080">
        <v>1324</v>
      </c>
      <c r="C1080" t="s">
        <v>189</v>
      </c>
      <c r="D1080">
        <v>8578</v>
      </c>
      <c r="E1080" s="1">
        <v>0.3054</v>
      </c>
      <c r="F1080" s="1">
        <v>0.16120000000000001</v>
      </c>
      <c r="G1080" s="1">
        <v>3.8999999999999998E-3</v>
      </c>
      <c r="H1080" s="1">
        <v>7.1000000000000004E-3</v>
      </c>
      <c r="I1080" s="1">
        <v>2.9399999999999999E-2</v>
      </c>
      <c r="J1080" s="1">
        <v>1.3899999999999999E-2</v>
      </c>
      <c r="K1080" s="1">
        <v>0.55989999999999995</v>
      </c>
      <c r="L1080" s="1">
        <v>1.49E-2</v>
      </c>
      <c r="N1080" s="1">
        <v>8.0999999999999996E-3</v>
      </c>
      <c r="O1080" s="1">
        <v>7.9000000000000001E-2</v>
      </c>
      <c r="P1080" s="1">
        <v>1.9E-3</v>
      </c>
      <c r="Q1080" s="1">
        <v>4.1300000000000003E-2</v>
      </c>
      <c r="R1080" s="1">
        <v>4.4600000000000001E-2</v>
      </c>
      <c r="S1080" s="1">
        <v>4.2000000000000003E-2</v>
      </c>
    </row>
    <row r="1081" spans="1:19">
      <c r="A1081" s="25" t="s">
        <v>192</v>
      </c>
      <c r="B1081">
        <v>8578</v>
      </c>
      <c r="C1081" t="s">
        <v>192</v>
      </c>
      <c r="D1081">
        <v>8578</v>
      </c>
      <c r="E1081" s="1">
        <v>0.34610000000000002</v>
      </c>
      <c r="F1081" s="1">
        <v>0.1497</v>
      </c>
      <c r="G1081" s="1">
        <v>3.8999999999999998E-3</v>
      </c>
      <c r="H1081" s="1">
        <v>1.5E-3</v>
      </c>
      <c r="I1081" s="1">
        <v>4.8800000000000003E-2</v>
      </c>
      <c r="J1081" s="1">
        <v>4.7199999999999999E-2</v>
      </c>
      <c r="K1081" s="1">
        <v>0.54569999999999996</v>
      </c>
      <c r="L1081" s="1">
        <v>5.0000000000000001E-3</v>
      </c>
      <c r="M1081" s="1">
        <v>1.4E-3</v>
      </c>
      <c r="N1081" s="1">
        <v>6.3E-3</v>
      </c>
      <c r="O1081" s="1">
        <v>1.24E-2</v>
      </c>
      <c r="P1081" s="1">
        <v>1.35E-2</v>
      </c>
      <c r="Q1081" s="1">
        <v>3.6299999999999999E-2</v>
      </c>
      <c r="R1081" s="1">
        <v>6.7699999999999996E-2</v>
      </c>
      <c r="S1081" s="1">
        <v>6.9400000000000003E-2</v>
      </c>
    </row>
    <row r="1083" spans="1:19" ht="43.5">
      <c r="A1083" s="25" t="s">
        <v>466</v>
      </c>
    </row>
    <row r="1084" spans="1:19">
      <c r="A1084" s="25" t="s">
        <v>182</v>
      </c>
      <c r="B1084" t="s">
        <v>219</v>
      </c>
      <c r="C1084" t="s">
        <v>181</v>
      </c>
      <c r="D1084" t="s">
        <v>188</v>
      </c>
      <c r="E1084" t="s">
        <v>454</v>
      </c>
      <c r="F1084" t="s">
        <v>455</v>
      </c>
      <c r="G1084" t="s">
        <v>456</v>
      </c>
      <c r="H1084" t="s">
        <v>241</v>
      </c>
      <c r="I1084" t="s">
        <v>457</v>
      </c>
      <c r="J1084" t="s">
        <v>458</v>
      </c>
      <c r="K1084" t="s">
        <v>324</v>
      </c>
      <c r="L1084" t="s">
        <v>269</v>
      </c>
      <c r="M1084" t="s">
        <v>243</v>
      </c>
      <c r="N1084" t="s">
        <v>459</v>
      </c>
      <c r="O1084" t="s">
        <v>460</v>
      </c>
      <c r="P1084" t="s">
        <v>461</v>
      </c>
      <c r="Q1084" t="s">
        <v>462</v>
      </c>
      <c r="R1084" t="s">
        <v>463</v>
      </c>
      <c r="S1084" t="s">
        <v>464</v>
      </c>
    </row>
    <row r="1085" spans="1:19">
      <c r="A1085" s="25" t="s">
        <v>198</v>
      </c>
      <c r="B1085">
        <v>2117</v>
      </c>
      <c r="C1085" t="s">
        <v>189</v>
      </c>
      <c r="D1085">
        <v>8578</v>
      </c>
      <c r="E1085" s="1">
        <v>0.54490000000000005</v>
      </c>
      <c r="F1085" s="1">
        <v>0.23269999999999999</v>
      </c>
      <c r="G1085" s="1">
        <v>5.7000000000000002E-3</v>
      </c>
      <c r="H1085" s="1">
        <v>4.4000000000000003E-3</v>
      </c>
      <c r="I1085" s="1">
        <v>7.9299999999999995E-2</v>
      </c>
      <c r="J1085" s="1">
        <v>7.2900000000000006E-2</v>
      </c>
      <c r="K1085" s="1">
        <v>0.31380000000000002</v>
      </c>
      <c r="L1085" s="1">
        <v>9.1999999999999998E-3</v>
      </c>
      <c r="M1085" s="1">
        <v>8.0000000000000004E-4</v>
      </c>
      <c r="N1085" s="1">
        <v>1.5100000000000001E-2</v>
      </c>
      <c r="O1085" s="1">
        <v>1.89E-2</v>
      </c>
      <c r="P1085" s="1">
        <v>1.9199999999999998E-2</v>
      </c>
      <c r="Q1085" s="1">
        <v>6.0999999999999999E-2</v>
      </c>
      <c r="R1085" s="1">
        <v>9.5299999999999996E-2</v>
      </c>
      <c r="S1085" s="1">
        <v>0.13950000000000001</v>
      </c>
    </row>
    <row r="1086" spans="1:19">
      <c r="A1086" s="25" t="s">
        <v>199</v>
      </c>
      <c r="B1086">
        <v>6461</v>
      </c>
      <c r="C1086" t="s">
        <v>189</v>
      </c>
      <c r="D1086">
        <v>8578</v>
      </c>
      <c r="E1086" s="1">
        <v>0.29310000000000003</v>
      </c>
      <c r="F1086" s="1">
        <v>0.12759999999999999</v>
      </c>
      <c r="G1086" s="1">
        <v>3.5000000000000001E-3</v>
      </c>
      <c r="H1086" s="1">
        <v>8.0000000000000004E-4</v>
      </c>
      <c r="I1086" s="1">
        <v>4.07E-2</v>
      </c>
      <c r="J1086" s="1">
        <v>4.0399999999999998E-2</v>
      </c>
      <c r="K1086" s="1">
        <v>0.60760000000000003</v>
      </c>
      <c r="L1086" s="1">
        <v>3.8E-3</v>
      </c>
      <c r="M1086" s="1">
        <v>1.6000000000000001E-3</v>
      </c>
      <c r="N1086" s="1">
        <v>4.0000000000000001E-3</v>
      </c>
      <c r="O1086" s="1">
        <v>1.06E-2</v>
      </c>
      <c r="P1086" s="1">
        <v>1.2E-2</v>
      </c>
      <c r="Q1086" s="1">
        <v>2.9700000000000001E-2</v>
      </c>
      <c r="R1086" s="1">
        <v>6.0400000000000002E-2</v>
      </c>
      <c r="S1086" s="1">
        <v>5.0700000000000002E-2</v>
      </c>
    </row>
    <row r="1087" spans="1:19">
      <c r="A1087" s="25" t="s">
        <v>192</v>
      </c>
      <c r="B1087">
        <v>8578</v>
      </c>
      <c r="C1087" t="s">
        <v>192</v>
      </c>
      <c r="D1087">
        <v>8578</v>
      </c>
      <c r="E1087" s="1">
        <v>0.34610000000000002</v>
      </c>
      <c r="F1087" s="1">
        <v>0.1497</v>
      </c>
      <c r="G1087" s="1">
        <v>3.8999999999999998E-3</v>
      </c>
      <c r="H1087" s="1">
        <v>1.5E-3</v>
      </c>
      <c r="I1087" s="1">
        <v>4.8800000000000003E-2</v>
      </c>
      <c r="J1087" s="1">
        <v>4.7199999999999999E-2</v>
      </c>
      <c r="K1087" s="1">
        <v>0.54569999999999996</v>
      </c>
      <c r="L1087" s="1">
        <v>5.0000000000000001E-3</v>
      </c>
      <c r="M1087" s="1">
        <v>1.4E-3</v>
      </c>
      <c r="N1087" s="1">
        <v>6.3E-3</v>
      </c>
      <c r="O1087" s="1">
        <v>1.24E-2</v>
      </c>
      <c r="P1087" s="1">
        <v>1.35E-2</v>
      </c>
      <c r="Q1087" s="1">
        <v>3.6299999999999999E-2</v>
      </c>
      <c r="R1087" s="1">
        <v>6.7699999999999996E-2</v>
      </c>
      <c r="S1087" s="1">
        <v>6.9400000000000003E-2</v>
      </c>
    </row>
    <row r="1089" spans="1:19" ht="43.5">
      <c r="A1089" s="25" t="s">
        <v>467</v>
      </c>
    </row>
    <row r="1090" spans="1:19">
      <c r="A1090" s="25" t="s">
        <v>182</v>
      </c>
      <c r="B1090" t="s">
        <v>219</v>
      </c>
      <c r="C1090" t="s">
        <v>181</v>
      </c>
      <c r="D1090" t="s">
        <v>188</v>
      </c>
      <c r="E1090" t="s">
        <v>454</v>
      </c>
      <c r="F1090" t="s">
        <v>455</v>
      </c>
      <c r="G1090" t="s">
        <v>456</v>
      </c>
      <c r="H1090" t="s">
        <v>241</v>
      </c>
      <c r="I1090" t="s">
        <v>457</v>
      </c>
      <c r="J1090" t="s">
        <v>458</v>
      </c>
      <c r="K1090" t="s">
        <v>324</v>
      </c>
      <c r="L1090" t="s">
        <v>269</v>
      </c>
      <c r="M1090" t="s">
        <v>243</v>
      </c>
      <c r="N1090" t="s">
        <v>459</v>
      </c>
      <c r="O1090" t="s">
        <v>460</v>
      </c>
      <c r="P1090" t="s">
        <v>461</v>
      </c>
      <c r="Q1090" t="s">
        <v>462</v>
      </c>
      <c r="R1090" t="s">
        <v>463</v>
      </c>
      <c r="S1090" t="s">
        <v>464</v>
      </c>
    </row>
    <row r="1091" spans="1:19">
      <c r="A1091" s="25" t="s">
        <v>201</v>
      </c>
      <c r="B1091">
        <v>604</v>
      </c>
      <c r="C1091" t="s">
        <v>189</v>
      </c>
      <c r="D1091">
        <v>8578</v>
      </c>
      <c r="E1091" s="1">
        <v>0.33910000000000001</v>
      </c>
      <c r="F1091" s="1">
        <v>0.17449999999999999</v>
      </c>
      <c r="G1091" s="1">
        <v>1.61E-2</v>
      </c>
      <c r="H1091" s="1">
        <v>1.4E-3</v>
      </c>
      <c r="I1091" s="1">
        <v>4.6199999999999998E-2</v>
      </c>
      <c r="J1091" s="1">
        <v>1.38E-2</v>
      </c>
      <c r="K1091" s="1">
        <v>0.57020000000000004</v>
      </c>
      <c r="L1091" s="1">
        <v>4.0000000000000002E-4</v>
      </c>
      <c r="N1091" s="1">
        <v>1.0800000000000001E-2</v>
      </c>
      <c r="O1091" s="1">
        <v>2.2200000000000001E-2</v>
      </c>
      <c r="P1091" s="1">
        <v>7.7999999999999996E-3</v>
      </c>
      <c r="Q1091" s="1">
        <v>3.3599999999999998E-2</v>
      </c>
      <c r="R1091" s="1">
        <v>6.7900000000000002E-2</v>
      </c>
      <c r="S1091" s="1">
        <v>5.9200000000000003E-2</v>
      </c>
    </row>
    <row r="1092" spans="1:19">
      <c r="A1092" s="25" t="s">
        <v>202</v>
      </c>
      <c r="B1092">
        <v>87</v>
      </c>
      <c r="C1092" t="s">
        <v>189</v>
      </c>
      <c r="D1092">
        <v>8578</v>
      </c>
      <c r="E1092" s="1">
        <v>0.37890000000000001</v>
      </c>
      <c r="F1092" s="1">
        <v>0.11210000000000001</v>
      </c>
      <c r="G1092" s="1">
        <v>1.8800000000000001E-2</v>
      </c>
      <c r="I1092" s="1">
        <v>8.4599999999999995E-2</v>
      </c>
      <c r="J1092" s="1">
        <v>9.5999999999999992E-3</v>
      </c>
      <c r="K1092" s="1">
        <v>0.43540000000000001</v>
      </c>
      <c r="L1092" s="1">
        <v>4.8999999999999998E-3</v>
      </c>
      <c r="N1092" s="1">
        <v>1.8800000000000001E-2</v>
      </c>
      <c r="O1092" s="1">
        <v>0.1303</v>
      </c>
      <c r="P1092" s="1">
        <v>3.6700000000000003E-2</v>
      </c>
      <c r="Q1092" s="1">
        <v>0.14480000000000001</v>
      </c>
      <c r="R1092" s="1">
        <v>0.1094</v>
      </c>
      <c r="S1092" s="1">
        <v>8.8000000000000005E-3</v>
      </c>
    </row>
    <row r="1093" spans="1:19">
      <c r="A1093" s="25" t="s">
        <v>203</v>
      </c>
      <c r="B1093">
        <v>6671</v>
      </c>
      <c r="C1093" t="s">
        <v>189</v>
      </c>
      <c r="D1093">
        <v>8578</v>
      </c>
      <c r="E1093" s="1">
        <v>0.35920000000000002</v>
      </c>
      <c r="F1093" s="1">
        <v>0.14580000000000001</v>
      </c>
      <c r="G1093" s="1">
        <v>3.2000000000000002E-3</v>
      </c>
      <c r="H1093" s="1">
        <v>1.6000000000000001E-3</v>
      </c>
      <c r="I1093" s="1">
        <v>5.3100000000000001E-2</v>
      </c>
      <c r="J1093" s="1">
        <v>5.5100000000000003E-2</v>
      </c>
      <c r="K1093" s="1">
        <v>0.53410000000000002</v>
      </c>
      <c r="L1093" s="1">
        <v>3.0999999999999999E-3</v>
      </c>
      <c r="M1093" s="1">
        <v>1.5E-3</v>
      </c>
      <c r="N1093" s="1">
        <v>5.7000000000000002E-3</v>
      </c>
      <c r="O1093" s="1">
        <v>8.3000000000000001E-3</v>
      </c>
      <c r="P1093" s="1">
        <v>1.49E-2</v>
      </c>
      <c r="Q1093" s="1">
        <v>3.6499999999999998E-2</v>
      </c>
      <c r="R1093" s="1">
        <v>6.5600000000000006E-2</v>
      </c>
      <c r="S1093" s="1">
        <v>7.6899999999999996E-2</v>
      </c>
    </row>
    <row r="1094" spans="1:19">
      <c r="A1094" s="25" t="s">
        <v>204</v>
      </c>
      <c r="B1094">
        <v>22</v>
      </c>
      <c r="C1094" t="s">
        <v>189</v>
      </c>
      <c r="D1094">
        <v>8578</v>
      </c>
      <c r="E1094" s="1">
        <v>0.4511</v>
      </c>
      <c r="F1094" s="1">
        <v>0.1547</v>
      </c>
      <c r="J1094" s="1">
        <v>1.3599999999999999E-2</v>
      </c>
      <c r="K1094" s="1">
        <v>0.44819999999999999</v>
      </c>
      <c r="M1094" s="1">
        <v>9.11E-2</v>
      </c>
      <c r="N1094" s="1">
        <v>1.3599999999999999E-2</v>
      </c>
      <c r="Q1094" s="1">
        <v>2.06E-2</v>
      </c>
      <c r="R1094" s="1">
        <v>6.0299999999999999E-2</v>
      </c>
      <c r="S1094" s="1">
        <v>9.7299999999999998E-2</v>
      </c>
    </row>
    <row r="1095" spans="1:19">
      <c r="A1095" s="25" t="s">
        <v>205</v>
      </c>
      <c r="B1095">
        <v>1194</v>
      </c>
      <c r="C1095" t="s">
        <v>189</v>
      </c>
      <c r="D1095">
        <v>8578</v>
      </c>
      <c r="E1095" s="1">
        <v>0.26979999999999998</v>
      </c>
      <c r="F1095" s="1">
        <v>0.16209999999999999</v>
      </c>
      <c r="G1095" s="1">
        <v>1.8E-3</v>
      </c>
      <c r="H1095" s="1">
        <v>1.6000000000000001E-3</v>
      </c>
      <c r="I1095" s="1">
        <v>2.4299999999999999E-2</v>
      </c>
      <c r="J1095" s="1">
        <v>0.02</v>
      </c>
      <c r="K1095" s="1">
        <v>0.60760000000000003</v>
      </c>
      <c r="L1095" s="1">
        <v>1.84E-2</v>
      </c>
      <c r="M1095" s="1">
        <v>5.9999999999999995E-4</v>
      </c>
      <c r="N1095" s="1">
        <v>7.0000000000000001E-3</v>
      </c>
      <c r="O1095" s="1">
        <v>2.6499999999999999E-2</v>
      </c>
      <c r="P1095" s="1">
        <v>7.4999999999999997E-3</v>
      </c>
      <c r="Q1095" s="1">
        <v>3.2399999999999998E-2</v>
      </c>
      <c r="R1095" s="1">
        <v>7.8700000000000006E-2</v>
      </c>
      <c r="S1095" s="1">
        <v>3.2599999999999997E-2</v>
      </c>
    </row>
    <row r="1096" spans="1:19">
      <c r="A1096" s="25" t="s">
        <v>192</v>
      </c>
      <c r="B1096">
        <v>8578</v>
      </c>
      <c r="C1096" t="s">
        <v>192</v>
      </c>
      <c r="D1096">
        <v>8578</v>
      </c>
      <c r="E1096" s="1">
        <v>0.34610000000000002</v>
      </c>
      <c r="F1096" s="1">
        <v>0.1497</v>
      </c>
      <c r="G1096" s="1">
        <v>3.8999999999999998E-3</v>
      </c>
      <c r="H1096" s="1">
        <v>1.5E-3</v>
      </c>
      <c r="I1096" s="1">
        <v>4.8800000000000003E-2</v>
      </c>
      <c r="J1096" s="1">
        <v>4.7199999999999999E-2</v>
      </c>
      <c r="K1096" s="1">
        <v>0.54569999999999996</v>
      </c>
      <c r="L1096" s="1">
        <v>5.0000000000000001E-3</v>
      </c>
      <c r="M1096" s="1">
        <v>1.4E-3</v>
      </c>
      <c r="N1096" s="1">
        <v>6.3E-3</v>
      </c>
      <c r="O1096" s="1">
        <v>1.24E-2</v>
      </c>
      <c r="P1096" s="1">
        <v>1.35E-2</v>
      </c>
      <c r="Q1096" s="1">
        <v>3.6299999999999999E-2</v>
      </c>
      <c r="R1096" s="1">
        <v>6.7699999999999996E-2</v>
      </c>
      <c r="S1096" s="1">
        <v>6.9400000000000003E-2</v>
      </c>
    </row>
    <row r="1098" spans="1:19" ht="43.5">
      <c r="A1098" s="25" t="s">
        <v>468</v>
      </c>
    </row>
    <row r="1099" spans="1:19">
      <c r="A1099" s="25" t="s">
        <v>182</v>
      </c>
      <c r="B1099" t="s">
        <v>219</v>
      </c>
      <c r="C1099" t="s">
        <v>181</v>
      </c>
      <c r="D1099" t="s">
        <v>188</v>
      </c>
      <c r="E1099" t="s">
        <v>454</v>
      </c>
      <c r="F1099" t="s">
        <v>455</v>
      </c>
      <c r="G1099" t="s">
        <v>456</v>
      </c>
      <c r="H1099" t="s">
        <v>241</v>
      </c>
      <c r="I1099" t="s">
        <v>457</v>
      </c>
      <c r="J1099" t="s">
        <v>458</v>
      </c>
      <c r="K1099" t="s">
        <v>324</v>
      </c>
      <c r="L1099" t="s">
        <v>269</v>
      </c>
      <c r="M1099" t="s">
        <v>243</v>
      </c>
      <c r="N1099" t="s">
        <v>459</v>
      </c>
      <c r="O1099" t="s">
        <v>460</v>
      </c>
      <c r="P1099" t="s">
        <v>461</v>
      </c>
      <c r="Q1099" t="s">
        <v>462</v>
      </c>
      <c r="R1099" t="s">
        <v>463</v>
      </c>
      <c r="S1099" t="s">
        <v>464</v>
      </c>
    </row>
    <row r="1100" spans="1:19">
      <c r="A1100" s="25" t="s">
        <v>207</v>
      </c>
      <c r="B1100">
        <v>5985</v>
      </c>
      <c r="C1100" t="s">
        <v>189</v>
      </c>
      <c r="D1100">
        <v>8578</v>
      </c>
      <c r="E1100" s="1">
        <v>0.31740000000000002</v>
      </c>
      <c r="F1100" s="1">
        <v>0.14530000000000001</v>
      </c>
      <c r="G1100" s="1">
        <v>5.1000000000000004E-3</v>
      </c>
      <c r="H1100" s="1">
        <v>1.6999999999999999E-3</v>
      </c>
      <c r="I1100" s="1">
        <v>4.8099999999999997E-2</v>
      </c>
      <c r="J1100" s="1">
        <v>4.3099999999999999E-2</v>
      </c>
      <c r="K1100" s="1">
        <v>0.57650000000000001</v>
      </c>
      <c r="L1100" s="1">
        <v>4.7999999999999996E-3</v>
      </c>
      <c r="M1100" s="1">
        <v>5.9999999999999995E-4</v>
      </c>
      <c r="N1100" s="1">
        <v>4.7000000000000002E-3</v>
      </c>
      <c r="O1100" s="1">
        <v>1.3299999999999999E-2</v>
      </c>
      <c r="P1100" s="1">
        <v>1.23E-2</v>
      </c>
      <c r="Q1100" s="1">
        <v>3.7999999999999999E-2</v>
      </c>
      <c r="R1100" s="1">
        <v>6.9099999999999995E-2</v>
      </c>
      <c r="S1100" s="1">
        <v>6.1100000000000002E-2</v>
      </c>
    </row>
    <row r="1101" spans="1:19">
      <c r="A1101" s="25" t="s">
        <v>208</v>
      </c>
      <c r="B1101">
        <v>1755</v>
      </c>
      <c r="C1101" t="s">
        <v>189</v>
      </c>
      <c r="D1101">
        <v>8578</v>
      </c>
      <c r="E1101" s="1">
        <v>0.47449999999999998</v>
      </c>
      <c r="F1101" s="1">
        <v>0.17269999999999999</v>
      </c>
      <c r="G1101" s="1">
        <v>1E-3</v>
      </c>
      <c r="H1101" s="1">
        <v>1.2999999999999999E-3</v>
      </c>
      <c r="I1101" s="1">
        <v>5.1999999999999998E-2</v>
      </c>
      <c r="J1101" s="1">
        <v>5.11E-2</v>
      </c>
      <c r="K1101" s="1">
        <v>0.43369999999999997</v>
      </c>
      <c r="L1101" s="1">
        <v>7.1999999999999998E-3</v>
      </c>
      <c r="M1101" s="1">
        <v>4.4000000000000003E-3</v>
      </c>
      <c r="N1101" s="1">
        <v>1.12E-2</v>
      </c>
      <c r="O1101" s="1">
        <v>1.09E-2</v>
      </c>
      <c r="P1101" s="1">
        <v>1.7899999999999999E-2</v>
      </c>
      <c r="Q1101" s="1">
        <v>2.76E-2</v>
      </c>
      <c r="R1101" s="1">
        <v>6.25E-2</v>
      </c>
      <c r="S1101" s="1">
        <v>9.0499999999999997E-2</v>
      </c>
    </row>
    <row r="1102" spans="1:19">
      <c r="A1102" s="25" t="s">
        <v>209</v>
      </c>
      <c r="B1102">
        <v>838</v>
      </c>
      <c r="C1102" t="s">
        <v>189</v>
      </c>
      <c r="D1102">
        <v>8578</v>
      </c>
      <c r="E1102" s="1">
        <v>0.26719999999999999</v>
      </c>
      <c r="F1102" s="1">
        <v>0.13</v>
      </c>
      <c r="G1102" s="1">
        <v>1.9E-3</v>
      </c>
      <c r="H1102" s="1">
        <v>1.1000000000000001E-3</v>
      </c>
      <c r="I1102" s="1">
        <v>4.6899999999999997E-2</v>
      </c>
      <c r="J1102" s="1">
        <v>7.1400000000000005E-2</v>
      </c>
      <c r="K1102" s="1">
        <v>0.56840000000000002</v>
      </c>
      <c r="L1102" s="1">
        <v>8.0000000000000004E-4</v>
      </c>
      <c r="M1102" s="1">
        <v>1.6000000000000001E-3</v>
      </c>
      <c r="N1102" s="1">
        <v>7.6E-3</v>
      </c>
      <c r="O1102" s="1">
        <v>8.3000000000000001E-3</v>
      </c>
      <c r="P1102" s="1">
        <v>1.32E-2</v>
      </c>
      <c r="Q1102" s="1">
        <v>4.41E-2</v>
      </c>
      <c r="R1102" s="1">
        <v>6.9500000000000006E-2</v>
      </c>
      <c r="S1102" s="1">
        <v>8.5699999999999998E-2</v>
      </c>
    </row>
    <row r="1103" spans="1:19">
      <c r="A1103" s="25" t="s">
        <v>192</v>
      </c>
      <c r="B1103">
        <v>8578</v>
      </c>
      <c r="C1103" t="s">
        <v>192</v>
      </c>
      <c r="D1103">
        <v>8578</v>
      </c>
      <c r="E1103" s="1">
        <v>0.34610000000000002</v>
      </c>
      <c r="F1103" s="1">
        <v>0.1497</v>
      </c>
      <c r="G1103" s="1">
        <v>3.8999999999999998E-3</v>
      </c>
      <c r="H1103" s="1">
        <v>1.5E-3</v>
      </c>
      <c r="I1103" s="1">
        <v>4.8800000000000003E-2</v>
      </c>
      <c r="J1103" s="1">
        <v>4.7199999999999999E-2</v>
      </c>
      <c r="K1103" s="1">
        <v>0.54569999999999996</v>
      </c>
      <c r="L1103" s="1">
        <v>5.0000000000000001E-3</v>
      </c>
      <c r="M1103" s="1">
        <v>1.4E-3</v>
      </c>
      <c r="N1103" s="1">
        <v>6.3E-3</v>
      </c>
      <c r="O1103" s="1">
        <v>1.24E-2</v>
      </c>
      <c r="P1103" s="1">
        <v>1.35E-2</v>
      </c>
      <c r="Q1103" s="1">
        <v>3.6299999999999999E-2</v>
      </c>
      <c r="R1103" s="1">
        <v>6.7699999999999996E-2</v>
      </c>
      <c r="S1103" s="1">
        <v>6.9400000000000003E-2</v>
      </c>
    </row>
    <row r="1105" spans="1:19" ht="43.5">
      <c r="A1105" s="25" t="s">
        <v>469</v>
      </c>
    </row>
    <row r="1106" spans="1:19">
      <c r="A1106" s="25" t="s">
        <v>182</v>
      </c>
      <c r="B1106" t="s">
        <v>219</v>
      </c>
      <c r="C1106" t="s">
        <v>181</v>
      </c>
      <c r="D1106" t="s">
        <v>188</v>
      </c>
      <c r="E1106" t="s">
        <v>454</v>
      </c>
      <c r="F1106" t="s">
        <v>455</v>
      </c>
      <c r="G1106" t="s">
        <v>456</v>
      </c>
      <c r="H1106" t="s">
        <v>241</v>
      </c>
      <c r="I1106" t="s">
        <v>457</v>
      </c>
      <c r="J1106" t="s">
        <v>458</v>
      </c>
      <c r="K1106" t="s">
        <v>324</v>
      </c>
      <c r="L1106" t="s">
        <v>269</v>
      </c>
      <c r="M1106" t="s">
        <v>243</v>
      </c>
      <c r="N1106" t="s">
        <v>459</v>
      </c>
      <c r="O1106" t="s">
        <v>460</v>
      </c>
      <c r="P1106" t="s">
        <v>461</v>
      </c>
      <c r="Q1106" t="s">
        <v>462</v>
      </c>
      <c r="R1106" t="s">
        <v>463</v>
      </c>
      <c r="S1106" t="s">
        <v>464</v>
      </c>
    </row>
    <row r="1107" spans="1:19">
      <c r="A1107" s="25" t="s">
        <v>211</v>
      </c>
      <c r="B1107">
        <v>4209</v>
      </c>
      <c r="C1107" t="s">
        <v>189</v>
      </c>
      <c r="D1107">
        <v>8578</v>
      </c>
      <c r="E1107" s="1">
        <v>0.30520000000000003</v>
      </c>
      <c r="F1107" s="1">
        <v>0.13200000000000001</v>
      </c>
      <c r="G1107" s="1">
        <v>3.8999999999999998E-3</v>
      </c>
      <c r="H1107" s="1">
        <v>1.6000000000000001E-3</v>
      </c>
      <c r="I1107" s="1">
        <v>4.48E-2</v>
      </c>
      <c r="J1107" s="1">
        <v>4.4200000000000003E-2</v>
      </c>
      <c r="K1107" s="1">
        <v>0.59289999999999998</v>
      </c>
      <c r="L1107" s="1">
        <v>3.5000000000000001E-3</v>
      </c>
      <c r="M1107" s="1">
        <v>2.0000000000000001E-4</v>
      </c>
      <c r="N1107" s="1">
        <v>5.7000000000000002E-3</v>
      </c>
      <c r="O1107" s="1">
        <v>1.29E-2</v>
      </c>
      <c r="P1107" s="1">
        <v>1.1299999999999999E-2</v>
      </c>
      <c r="Q1107" s="1">
        <v>3.5900000000000001E-2</v>
      </c>
      <c r="R1107" s="1">
        <v>5.7200000000000001E-2</v>
      </c>
      <c r="S1107" s="1">
        <v>6.5199999999999994E-2</v>
      </c>
    </row>
    <row r="1108" spans="1:19">
      <c r="A1108" s="25" t="s">
        <v>212</v>
      </c>
      <c r="B1108">
        <v>2778</v>
      </c>
      <c r="C1108" t="s">
        <v>189</v>
      </c>
      <c r="D1108">
        <v>8578</v>
      </c>
      <c r="E1108" s="1">
        <v>0.43919999999999998</v>
      </c>
      <c r="F1108" s="1">
        <v>0.18279999999999999</v>
      </c>
      <c r="G1108" s="1">
        <v>4.4999999999999997E-3</v>
      </c>
      <c r="H1108" s="1">
        <v>1E-3</v>
      </c>
      <c r="I1108" s="1">
        <v>5.04E-2</v>
      </c>
      <c r="J1108" s="1">
        <v>5.0599999999999999E-2</v>
      </c>
      <c r="K1108" s="1">
        <v>0.46089999999999998</v>
      </c>
      <c r="L1108" s="1">
        <v>4.4999999999999997E-3</v>
      </c>
      <c r="N1108" s="1">
        <v>1.0200000000000001E-2</v>
      </c>
      <c r="O1108" s="1">
        <v>1.29E-2</v>
      </c>
      <c r="P1108" s="1">
        <v>1.4999999999999999E-2</v>
      </c>
      <c r="Q1108" s="1">
        <v>3.7699999999999997E-2</v>
      </c>
      <c r="R1108" s="1">
        <v>8.1299999999999997E-2</v>
      </c>
      <c r="S1108" s="1">
        <v>8.3900000000000002E-2</v>
      </c>
    </row>
    <row r="1109" spans="1:19">
      <c r="A1109" s="25" t="s">
        <v>213</v>
      </c>
      <c r="B1109">
        <v>1591</v>
      </c>
      <c r="C1109" t="s">
        <v>189</v>
      </c>
      <c r="D1109">
        <v>8578</v>
      </c>
      <c r="E1109" s="1">
        <v>0.29830000000000001</v>
      </c>
      <c r="F1109" s="1">
        <v>0.1404</v>
      </c>
      <c r="G1109" s="1">
        <v>3.0999999999999999E-3</v>
      </c>
      <c r="H1109" s="1">
        <v>2.0999999999999999E-3</v>
      </c>
      <c r="I1109" s="1">
        <v>5.5800000000000002E-2</v>
      </c>
      <c r="J1109" s="1">
        <v>4.9399999999999999E-2</v>
      </c>
      <c r="K1109" s="1">
        <v>0.56559999999999999</v>
      </c>
      <c r="L1109" s="1">
        <v>9.1999999999999998E-3</v>
      </c>
      <c r="M1109" s="1">
        <v>6.7000000000000002E-3</v>
      </c>
      <c r="N1109" s="1">
        <v>1.8E-3</v>
      </c>
      <c r="O1109" s="1">
        <v>1.0200000000000001E-2</v>
      </c>
      <c r="P1109" s="1">
        <v>1.67E-2</v>
      </c>
      <c r="Q1109" s="1">
        <v>3.5400000000000001E-2</v>
      </c>
      <c r="R1109" s="1">
        <v>7.1800000000000003E-2</v>
      </c>
      <c r="S1109" s="1">
        <v>5.67E-2</v>
      </c>
    </row>
    <row r="1110" spans="1:19">
      <c r="A1110" s="25" t="s">
        <v>192</v>
      </c>
      <c r="B1110">
        <v>8578</v>
      </c>
      <c r="C1110" t="s">
        <v>192</v>
      </c>
      <c r="D1110">
        <v>8578</v>
      </c>
      <c r="E1110" s="1">
        <v>0.34610000000000002</v>
      </c>
      <c r="F1110" s="1">
        <v>0.1497</v>
      </c>
      <c r="G1110" s="1">
        <v>3.8999999999999998E-3</v>
      </c>
      <c r="H1110" s="1">
        <v>1.5E-3</v>
      </c>
      <c r="I1110" s="1">
        <v>4.8800000000000003E-2</v>
      </c>
      <c r="J1110" s="1">
        <v>4.7199999999999999E-2</v>
      </c>
      <c r="K1110" s="1">
        <v>0.54569999999999996</v>
      </c>
      <c r="L1110" s="1">
        <v>5.0000000000000001E-3</v>
      </c>
      <c r="M1110" s="1">
        <v>1.4E-3</v>
      </c>
      <c r="N1110" s="1">
        <v>6.3E-3</v>
      </c>
      <c r="O1110" s="1">
        <v>1.24E-2</v>
      </c>
      <c r="P1110" s="1">
        <v>1.35E-2</v>
      </c>
      <c r="Q1110" s="1">
        <v>3.6299999999999999E-2</v>
      </c>
      <c r="R1110" s="1">
        <v>6.7699999999999996E-2</v>
      </c>
      <c r="S1110" s="1">
        <v>6.9400000000000003E-2</v>
      </c>
    </row>
    <row r="1112" spans="1:19" ht="57.95">
      <c r="A1112" s="25" t="s">
        <v>470</v>
      </c>
    </row>
    <row r="1113" spans="1:19">
      <c r="A1113" s="25" t="s">
        <v>182</v>
      </c>
      <c r="B1113" t="s">
        <v>219</v>
      </c>
      <c r="C1113" t="s">
        <v>181</v>
      </c>
      <c r="D1113" t="s">
        <v>188</v>
      </c>
      <c r="E1113" t="s">
        <v>241</v>
      </c>
      <c r="F1113" t="s">
        <v>220</v>
      </c>
      <c r="G1113" t="s">
        <v>243</v>
      </c>
      <c r="H1113" t="s">
        <v>221</v>
      </c>
    </row>
    <row r="1114" spans="1:19">
      <c r="A1114" s="25" t="s">
        <v>190</v>
      </c>
      <c r="B1114">
        <v>2296</v>
      </c>
      <c r="C1114" t="s">
        <v>189</v>
      </c>
      <c r="D1114">
        <v>5176</v>
      </c>
      <c r="E1114" s="1">
        <v>0.11840000000000001</v>
      </c>
      <c r="F1114" s="1">
        <v>0.249</v>
      </c>
      <c r="G1114" s="1">
        <v>2.9999999999999997E-4</v>
      </c>
      <c r="H1114" s="1">
        <v>0.63229999999999997</v>
      </c>
    </row>
    <row r="1115" spans="1:19">
      <c r="A1115" s="25" t="s">
        <v>191</v>
      </c>
      <c r="B1115">
        <v>2840</v>
      </c>
      <c r="C1115" t="s">
        <v>189</v>
      </c>
      <c r="D1115">
        <v>5176</v>
      </c>
      <c r="E1115" s="1">
        <v>8.2699999999999996E-2</v>
      </c>
      <c r="F1115" s="1">
        <v>0.13780000000000001</v>
      </c>
      <c r="G1115" s="1">
        <v>1.8E-3</v>
      </c>
      <c r="H1115" s="1">
        <v>0.77769999999999995</v>
      </c>
    </row>
    <row r="1116" spans="1:19">
      <c r="A1116" s="25" t="s">
        <v>192</v>
      </c>
      <c r="B1116">
        <v>5176</v>
      </c>
      <c r="C1116" t="s">
        <v>192</v>
      </c>
      <c r="D1116">
        <v>5176</v>
      </c>
      <c r="E1116" s="1">
        <v>9.5200000000000007E-2</v>
      </c>
      <c r="F1116" s="1">
        <v>0.1769</v>
      </c>
      <c r="G1116" s="1">
        <v>1.1999999999999999E-3</v>
      </c>
      <c r="H1116" s="1">
        <v>0.72670000000000001</v>
      </c>
    </row>
    <row r="1118" spans="1:19" ht="72.599999999999994">
      <c r="A1118" s="25" t="s">
        <v>471</v>
      </c>
    </row>
    <row r="1119" spans="1:19">
      <c r="A1119" s="25" t="s">
        <v>182</v>
      </c>
      <c r="B1119" t="s">
        <v>219</v>
      </c>
      <c r="C1119" t="s">
        <v>181</v>
      </c>
      <c r="D1119" t="s">
        <v>188</v>
      </c>
      <c r="E1119" t="s">
        <v>241</v>
      </c>
      <c r="F1119" t="s">
        <v>220</v>
      </c>
      <c r="G1119" t="s">
        <v>243</v>
      </c>
      <c r="H1119" t="s">
        <v>221</v>
      </c>
    </row>
    <row r="1120" spans="1:19" ht="29.1">
      <c r="A1120" s="25" t="s">
        <v>194</v>
      </c>
      <c r="B1120">
        <v>2821</v>
      </c>
      <c r="C1120" t="s">
        <v>189</v>
      </c>
      <c r="D1120">
        <v>5176</v>
      </c>
      <c r="E1120" s="1">
        <v>9.5399999999999999E-2</v>
      </c>
      <c r="F1120" s="1">
        <v>0.15890000000000001</v>
      </c>
      <c r="G1120" s="1">
        <v>4.0000000000000002E-4</v>
      </c>
      <c r="H1120" s="1">
        <v>0.74529999999999996</v>
      </c>
    </row>
    <row r="1121" spans="1:8" ht="29.1">
      <c r="A1121" s="25" t="s">
        <v>195</v>
      </c>
      <c r="B1121">
        <v>1301</v>
      </c>
      <c r="C1121" t="s">
        <v>189</v>
      </c>
      <c r="D1121">
        <v>5176</v>
      </c>
      <c r="E1121" s="1">
        <v>8.2900000000000001E-2</v>
      </c>
      <c r="F1121" s="1">
        <v>0.22459999999999999</v>
      </c>
      <c r="G1121" s="1">
        <v>4.1999999999999997E-3</v>
      </c>
      <c r="H1121" s="1">
        <v>0.68840000000000001</v>
      </c>
    </row>
    <row r="1122" spans="1:8" ht="29.1">
      <c r="A1122" s="25" t="s">
        <v>196</v>
      </c>
      <c r="B1122">
        <v>1014</v>
      </c>
      <c r="C1122" t="s">
        <v>189</v>
      </c>
      <c r="D1122">
        <v>5176</v>
      </c>
      <c r="E1122" s="1">
        <v>0.1168</v>
      </c>
      <c r="F1122" s="1">
        <v>0.20830000000000001</v>
      </c>
      <c r="G1122" s="1">
        <v>1.6999999999999999E-3</v>
      </c>
      <c r="H1122" s="1">
        <v>0.67320000000000002</v>
      </c>
    </row>
    <row r="1123" spans="1:8">
      <c r="A1123" s="25" t="s">
        <v>192</v>
      </c>
      <c r="B1123">
        <v>5176</v>
      </c>
      <c r="C1123" t="s">
        <v>192</v>
      </c>
      <c r="D1123">
        <v>5176</v>
      </c>
      <c r="E1123" s="1">
        <v>9.5200000000000007E-2</v>
      </c>
      <c r="F1123" s="1">
        <v>0.1769</v>
      </c>
      <c r="G1123" s="1">
        <v>1.1999999999999999E-3</v>
      </c>
      <c r="H1123" s="1">
        <v>0.72670000000000001</v>
      </c>
    </row>
    <row r="1125" spans="1:8" ht="57.95">
      <c r="A1125" s="25" t="s">
        <v>472</v>
      </c>
    </row>
    <row r="1126" spans="1:8">
      <c r="A1126" s="25" t="s">
        <v>182</v>
      </c>
      <c r="B1126" t="s">
        <v>219</v>
      </c>
      <c r="C1126" t="s">
        <v>181</v>
      </c>
      <c r="D1126" t="s">
        <v>188</v>
      </c>
      <c r="E1126" t="s">
        <v>241</v>
      </c>
      <c r="F1126" t="s">
        <v>220</v>
      </c>
      <c r="G1126" t="s">
        <v>243</v>
      </c>
      <c r="H1126" t="s">
        <v>221</v>
      </c>
    </row>
    <row r="1127" spans="1:8">
      <c r="A1127" s="25" t="s">
        <v>198</v>
      </c>
      <c r="B1127">
        <v>734</v>
      </c>
      <c r="C1127" t="s">
        <v>189</v>
      </c>
      <c r="D1127">
        <v>5176</v>
      </c>
      <c r="E1127" s="1">
        <v>0.1399</v>
      </c>
      <c r="F1127" s="1">
        <v>0.2356</v>
      </c>
      <c r="G1127" s="1">
        <v>8.9999999999999998E-4</v>
      </c>
      <c r="H1127" s="1">
        <v>0.62350000000000005</v>
      </c>
    </row>
    <row r="1128" spans="1:8">
      <c r="A1128" s="25" t="s">
        <v>199</v>
      </c>
      <c r="B1128">
        <v>4442</v>
      </c>
      <c r="C1128" t="s">
        <v>189</v>
      </c>
      <c r="D1128">
        <v>5176</v>
      </c>
      <c r="E1128" s="1">
        <v>8.9800000000000005E-2</v>
      </c>
      <c r="F1128" s="1">
        <v>0.16980000000000001</v>
      </c>
      <c r="G1128" s="1">
        <v>1.2999999999999999E-3</v>
      </c>
      <c r="H1128" s="1">
        <v>0.73919999999999997</v>
      </c>
    </row>
    <row r="1129" spans="1:8">
      <c r="A1129" s="25" t="s">
        <v>192</v>
      </c>
      <c r="B1129">
        <v>5176</v>
      </c>
      <c r="C1129" t="s">
        <v>192</v>
      </c>
      <c r="D1129">
        <v>5176</v>
      </c>
      <c r="E1129" s="1">
        <v>9.5200000000000007E-2</v>
      </c>
      <c r="F1129" s="1">
        <v>0.1769</v>
      </c>
      <c r="G1129" s="1">
        <v>1.1999999999999999E-3</v>
      </c>
      <c r="H1129" s="1">
        <v>0.72670000000000001</v>
      </c>
    </row>
    <row r="1131" spans="1:8" ht="57.95">
      <c r="A1131" s="25" t="s">
        <v>473</v>
      </c>
    </row>
    <row r="1132" spans="1:8">
      <c r="A1132" s="25" t="s">
        <v>182</v>
      </c>
      <c r="B1132" t="s">
        <v>219</v>
      </c>
      <c r="C1132" t="s">
        <v>181</v>
      </c>
      <c r="D1132" t="s">
        <v>188</v>
      </c>
      <c r="E1132" t="s">
        <v>241</v>
      </c>
      <c r="F1132" t="s">
        <v>220</v>
      </c>
      <c r="G1132" t="s">
        <v>243</v>
      </c>
      <c r="H1132" t="s">
        <v>221</v>
      </c>
    </row>
    <row r="1133" spans="1:8">
      <c r="A1133" s="25" t="s">
        <v>201</v>
      </c>
      <c r="B1133">
        <v>510</v>
      </c>
      <c r="C1133" t="s">
        <v>189</v>
      </c>
      <c r="D1133">
        <v>5176</v>
      </c>
      <c r="E1133" s="1">
        <v>8.3400000000000002E-2</v>
      </c>
      <c r="F1133" s="1">
        <v>0.15060000000000001</v>
      </c>
      <c r="G1133" s="1">
        <v>1.4E-3</v>
      </c>
      <c r="H1133" s="1">
        <v>0.76449999999999996</v>
      </c>
    </row>
    <row r="1134" spans="1:8">
      <c r="A1134" s="25" t="s">
        <v>202</v>
      </c>
      <c r="B1134">
        <v>74</v>
      </c>
      <c r="C1134" t="s">
        <v>189</v>
      </c>
      <c r="D1134">
        <v>5176</v>
      </c>
      <c r="E1134" s="1">
        <v>0.12470000000000001</v>
      </c>
      <c r="F1134" s="1">
        <v>0.1971</v>
      </c>
      <c r="G1134" s="1">
        <v>4.0000000000000001E-3</v>
      </c>
      <c r="H1134" s="1">
        <v>0.67420000000000002</v>
      </c>
    </row>
    <row r="1135" spans="1:8">
      <c r="A1135" s="25" t="s">
        <v>203</v>
      </c>
      <c r="B1135">
        <v>3532</v>
      </c>
      <c r="C1135" t="s">
        <v>189</v>
      </c>
      <c r="D1135">
        <v>5176</v>
      </c>
      <c r="E1135" s="1">
        <v>0.10879999999999999</v>
      </c>
      <c r="F1135" s="1">
        <v>0.185</v>
      </c>
      <c r="G1135" s="1">
        <v>1.5E-3</v>
      </c>
      <c r="H1135" s="1">
        <v>0.70479999999999998</v>
      </c>
    </row>
    <row r="1136" spans="1:8">
      <c r="A1136" s="25" t="s">
        <v>204</v>
      </c>
      <c r="B1136">
        <v>14</v>
      </c>
      <c r="C1136" t="s">
        <v>189</v>
      </c>
      <c r="D1136">
        <v>5176</v>
      </c>
      <c r="E1136" s="1">
        <v>3.1399999999999997E-2</v>
      </c>
      <c r="F1136" s="1">
        <v>0.51490000000000002</v>
      </c>
      <c r="H1136" s="1">
        <v>0.45369999999999999</v>
      </c>
    </row>
    <row r="1137" spans="1:8">
      <c r="A1137" s="25" t="s">
        <v>205</v>
      </c>
      <c r="B1137">
        <v>1046</v>
      </c>
      <c r="C1137" t="s">
        <v>189</v>
      </c>
      <c r="D1137">
        <v>5176</v>
      </c>
      <c r="E1137" s="1">
        <v>5.1999999999999998E-2</v>
      </c>
      <c r="F1137" s="1">
        <v>0.157</v>
      </c>
      <c r="G1137" s="1">
        <v>2.0000000000000001E-4</v>
      </c>
      <c r="H1137" s="1">
        <v>0.79079999999999995</v>
      </c>
    </row>
    <row r="1138" spans="1:8">
      <c r="A1138" s="25" t="s">
        <v>192</v>
      </c>
      <c r="B1138">
        <v>5176</v>
      </c>
      <c r="C1138" t="s">
        <v>192</v>
      </c>
      <c r="D1138">
        <v>5176</v>
      </c>
      <c r="E1138" s="1">
        <v>9.5200000000000007E-2</v>
      </c>
      <c r="F1138" s="1">
        <v>0.1769</v>
      </c>
      <c r="G1138" s="1">
        <v>1.1999999999999999E-3</v>
      </c>
      <c r="H1138" s="1">
        <v>0.72670000000000001</v>
      </c>
    </row>
    <row r="1140" spans="1:8" ht="57.95">
      <c r="A1140" s="25" t="s">
        <v>474</v>
      </c>
    </row>
    <row r="1141" spans="1:8">
      <c r="A1141" s="25" t="s">
        <v>182</v>
      </c>
      <c r="B1141" t="s">
        <v>219</v>
      </c>
      <c r="C1141" t="s">
        <v>181</v>
      </c>
      <c r="D1141" t="s">
        <v>188</v>
      </c>
      <c r="E1141" t="s">
        <v>241</v>
      </c>
      <c r="F1141" t="s">
        <v>220</v>
      </c>
      <c r="G1141" t="s">
        <v>243</v>
      </c>
      <c r="H1141" t="s">
        <v>221</v>
      </c>
    </row>
    <row r="1142" spans="1:8">
      <c r="A1142" s="25" t="s">
        <v>207</v>
      </c>
      <c r="B1142">
        <v>4075</v>
      </c>
      <c r="C1142" t="s">
        <v>189</v>
      </c>
      <c r="D1142">
        <v>5176</v>
      </c>
      <c r="E1142" s="1">
        <v>9.5500000000000002E-2</v>
      </c>
      <c r="F1142" s="1">
        <v>0.1714</v>
      </c>
      <c r="G1142" s="1">
        <v>1.4E-3</v>
      </c>
      <c r="H1142" s="1">
        <v>0.73170000000000002</v>
      </c>
    </row>
    <row r="1143" spans="1:8">
      <c r="A1143" s="25" t="s">
        <v>208</v>
      </c>
      <c r="B1143">
        <v>189</v>
      </c>
      <c r="C1143" t="s">
        <v>189</v>
      </c>
      <c r="D1143">
        <v>5176</v>
      </c>
      <c r="E1143" s="1">
        <v>3.1E-2</v>
      </c>
      <c r="F1143" s="1">
        <v>0.18079999999999999</v>
      </c>
      <c r="G1143" s="1">
        <v>1E-3</v>
      </c>
      <c r="H1143" s="1">
        <v>0.78720000000000001</v>
      </c>
    </row>
    <row r="1144" spans="1:8">
      <c r="A1144" s="25" t="s">
        <v>209</v>
      </c>
      <c r="B1144">
        <v>912</v>
      </c>
      <c r="C1144" t="s">
        <v>189</v>
      </c>
      <c r="D1144">
        <v>5176</v>
      </c>
      <c r="E1144" s="1">
        <v>0.1125</v>
      </c>
      <c r="F1144" s="1">
        <v>0.20449999999999999</v>
      </c>
      <c r="G1144" s="1">
        <v>2.9999999999999997E-4</v>
      </c>
      <c r="H1144" s="1">
        <v>0.68269999999999997</v>
      </c>
    </row>
    <row r="1145" spans="1:8">
      <c r="A1145" s="25" t="s">
        <v>192</v>
      </c>
      <c r="B1145">
        <v>5176</v>
      </c>
      <c r="C1145" t="s">
        <v>192</v>
      </c>
      <c r="D1145">
        <v>5176</v>
      </c>
      <c r="E1145" s="1">
        <v>9.5200000000000007E-2</v>
      </c>
      <c r="F1145" s="1">
        <v>0.1769</v>
      </c>
      <c r="G1145" s="1">
        <v>1.1999999999999999E-3</v>
      </c>
      <c r="H1145" s="1">
        <v>0.72670000000000001</v>
      </c>
    </row>
    <row r="1147" spans="1:8" ht="57.95">
      <c r="A1147" s="25" t="s">
        <v>475</v>
      </c>
    </row>
    <row r="1148" spans="1:8">
      <c r="A1148" s="25" t="s">
        <v>182</v>
      </c>
      <c r="B1148" t="s">
        <v>219</v>
      </c>
      <c r="C1148" t="s">
        <v>181</v>
      </c>
      <c r="D1148" t="s">
        <v>188</v>
      </c>
      <c r="E1148" t="s">
        <v>241</v>
      </c>
      <c r="F1148" t="s">
        <v>220</v>
      </c>
      <c r="G1148" t="s">
        <v>243</v>
      </c>
      <c r="H1148" t="s">
        <v>221</v>
      </c>
    </row>
    <row r="1149" spans="1:8">
      <c r="A1149" s="25" t="s">
        <v>211</v>
      </c>
      <c r="B1149">
        <v>2960</v>
      </c>
      <c r="C1149" t="s">
        <v>189</v>
      </c>
      <c r="D1149">
        <v>5176</v>
      </c>
      <c r="E1149" s="1">
        <v>8.0799999999999997E-2</v>
      </c>
      <c r="F1149" s="1">
        <v>0.16569999999999999</v>
      </c>
      <c r="G1149" s="1">
        <v>1.8E-3</v>
      </c>
      <c r="H1149" s="1">
        <v>0.75170000000000003</v>
      </c>
    </row>
    <row r="1150" spans="1:8">
      <c r="A1150" s="25" t="s">
        <v>212</v>
      </c>
      <c r="B1150">
        <v>1442</v>
      </c>
      <c r="C1150" t="s">
        <v>189</v>
      </c>
      <c r="D1150">
        <v>5176</v>
      </c>
      <c r="E1150" s="1">
        <v>6.83E-2</v>
      </c>
      <c r="F1150" s="1">
        <v>0.2107</v>
      </c>
      <c r="G1150" s="1">
        <v>6.9999999999999999E-4</v>
      </c>
      <c r="H1150" s="1">
        <v>0.72030000000000005</v>
      </c>
    </row>
    <row r="1151" spans="1:8">
      <c r="A1151" s="25" t="s">
        <v>213</v>
      </c>
      <c r="B1151">
        <v>774</v>
      </c>
      <c r="C1151" t="s">
        <v>189</v>
      </c>
      <c r="D1151">
        <v>5176</v>
      </c>
      <c r="E1151" s="1">
        <v>0.18179999999999999</v>
      </c>
      <c r="F1151" s="1">
        <v>0.16239999999999999</v>
      </c>
      <c r="G1151" s="1">
        <v>2.0000000000000001E-4</v>
      </c>
      <c r="H1151" s="1">
        <v>0.65559999999999996</v>
      </c>
    </row>
    <row r="1152" spans="1:8">
      <c r="A1152" s="25" t="s">
        <v>192</v>
      </c>
      <c r="B1152">
        <v>5176</v>
      </c>
      <c r="C1152" t="s">
        <v>192</v>
      </c>
      <c r="D1152">
        <v>5176</v>
      </c>
      <c r="E1152" s="1">
        <v>9.5200000000000007E-2</v>
      </c>
      <c r="F1152" s="1">
        <v>0.1769</v>
      </c>
      <c r="G1152" s="1">
        <v>1.1999999999999999E-3</v>
      </c>
      <c r="H1152" s="1">
        <v>0.72670000000000001</v>
      </c>
    </row>
    <row r="1154" spans="1:8" ht="43.5">
      <c r="A1154" s="25" t="s">
        <v>476</v>
      </c>
    </row>
    <row r="1155" spans="1:8">
      <c r="A1155" s="25" t="s">
        <v>182</v>
      </c>
      <c r="B1155" t="s">
        <v>219</v>
      </c>
      <c r="C1155" t="s">
        <v>181</v>
      </c>
      <c r="D1155" t="s">
        <v>188</v>
      </c>
      <c r="E1155" t="s">
        <v>241</v>
      </c>
      <c r="F1155" t="s">
        <v>220</v>
      </c>
      <c r="G1155" t="s">
        <v>243</v>
      </c>
      <c r="H1155" t="s">
        <v>221</v>
      </c>
    </row>
    <row r="1156" spans="1:8">
      <c r="A1156" s="25" t="s">
        <v>190</v>
      </c>
      <c r="B1156">
        <v>4898</v>
      </c>
      <c r="C1156" t="s">
        <v>189</v>
      </c>
      <c r="D1156">
        <v>10418</v>
      </c>
      <c r="E1156" s="1">
        <v>6.8999999999999999E-3</v>
      </c>
      <c r="F1156" s="1">
        <v>0.55189999999999995</v>
      </c>
      <c r="G1156" s="1">
        <v>8.0000000000000004E-4</v>
      </c>
      <c r="H1156" s="1">
        <v>0.4405</v>
      </c>
    </row>
    <row r="1157" spans="1:8">
      <c r="A1157" s="25" t="s">
        <v>191</v>
      </c>
      <c r="B1157">
        <v>5464</v>
      </c>
      <c r="C1157" t="s">
        <v>189</v>
      </c>
      <c r="D1157">
        <v>10418</v>
      </c>
      <c r="E1157" s="1">
        <v>6.8999999999999999E-3</v>
      </c>
      <c r="F1157" s="1">
        <v>0.55279999999999996</v>
      </c>
      <c r="G1157" s="1">
        <v>2.0999999999999999E-3</v>
      </c>
      <c r="H1157" s="1">
        <v>0.43819999999999998</v>
      </c>
    </row>
    <row r="1158" spans="1:8">
      <c r="A1158" s="25" t="s">
        <v>192</v>
      </c>
      <c r="B1158">
        <v>10418</v>
      </c>
      <c r="C1158" t="s">
        <v>192</v>
      </c>
      <c r="D1158">
        <v>10418</v>
      </c>
      <c r="E1158" s="1">
        <v>6.8999999999999999E-3</v>
      </c>
      <c r="F1158" s="1">
        <v>0.55210000000000004</v>
      </c>
      <c r="G1158" s="1">
        <v>1.6000000000000001E-3</v>
      </c>
      <c r="H1158" s="1">
        <v>0.4395</v>
      </c>
    </row>
    <row r="1160" spans="1:8" ht="57.95">
      <c r="A1160" s="25" t="s">
        <v>477</v>
      </c>
    </row>
    <row r="1161" spans="1:8">
      <c r="A1161" s="25" t="s">
        <v>182</v>
      </c>
      <c r="B1161" t="s">
        <v>219</v>
      </c>
      <c r="C1161" t="s">
        <v>181</v>
      </c>
      <c r="D1161" t="s">
        <v>188</v>
      </c>
      <c r="E1161" t="s">
        <v>241</v>
      </c>
      <c r="F1161" t="s">
        <v>220</v>
      </c>
      <c r="G1161" t="s">
        <v>243</v>
      </c>
      <c r="H1161" t="s">
        <v>221</v>
      </c>
    </row>
    <row r="1162" spans="1:8" ht="29.1">
      <c r="A1162" s="25" t="s">
        <v>194</v>
      </c>
      <c r="B1162">
        <v>5948</v>
      </c>
      <c r="C1162" t="s">
        <v>189</v>
      </c>
      <c r="D1162">
        <v>10418</v>
      </c>
      <c r="E1162" s="1">
        <v>6.4999999999999997E-3</v>
      </c>
      <c r="F1162" s="1">
        <v>0.57850000000000001</v>
      </c>
      <c r="G1162" s="1">
        <v>1.9E-3</v>
      </c>
      <c r="H1162" s="1">
        <v>0.41310000000000002</v>
      </c>
    </row>
    <row r="1163" spans="1:8" ht="29.1">
      <c r="A1163" s="25" t="s">
        <v>195</v>
      </c>
      <c r="B1163">
        <v>2698</v>
      </c>
      <c r="C1163" t="s">
        <v>189</v>
      </c>
      <c r="D1163">
        <v>10418</v>
      </c>
      <c r="E1163" s="1">
        <v>7.6E-3</v>
      </c>
      <c r="F1163" s="1">
        <v>0.57079999999999997</v>
      </c>
      <c r="G1163" s="1">
        <v>8.9999999999999998E-4</v>
      </c>
      <c r="H1163" s="1">
        <v>0.42080000000000001</v>
      </c>
    </row>
    <row r="1164" spans="1:8" ht="29.1">
      <c r="A1164" s="25" t="s">
        <v>196</v>
      </c>
      <c r="B1164">
        <v>1716</v>
      </c>
      <c r="C1164" t="s">
        <v>189</v>
      </c>
      <c r="D1164">
        <v>10418</v>
      </c>
      <c r="E1164" s="1">
        <v>8.3999999999999995E-3</v>
      </c>
      <c r="F1164" s="1">
        <v>0.31680000000000003</v>
      </c>
      <c r="G1164" s="1">
        <v>5.9999999999999995E-4</v>
      </c>
      <c r="H1164" s="1">
        <v>0.67430000000000001</v>
      </c>
    </row>
    <row r="1165" spans="1:8">
      <c r="A1165" s="25" t="s">
        <v>192</v>
      </c>
      <c r="B1165">
        <v>10418</v>
      </c>
      <c r="C1165" t="s">
        <v>192</v>
      </c>
      <c r="D1165">
        <v>10418</v>
      </c>
      <c r="E1165" s="1">
        <v>6.8999999999999999E-3</v>
      </c>
      <c r="F1165" s="1">
        <v>0.55210000000000004</v>
      </c>
      <c r="G1165" s="1">
        <v>1.6000000000000001E-3</v>
      </c>
      <c r="H1165" s="1">
        <v>0.4395</v>
      </c>
    </row>
    <row r="1167" spans="1:8" ht="43.5">
      <c r="A1167" s="25" t="s">
        <v>478</v>
      </c>
    </row>
    <row r="1168" spans="1:8">
      <c r="A1168" s="25" t="s">
        <v>182</v>
      </c>
      <c r="B1168" t="s">
        <v>219</v>
      </c>
      <c r="C1168" t="s">
        <v>181</v>
      </c>
      <c r="D1168" t="s">
        <v>188</v>
      </c>
      <c r="E1168" t="s">
        <v>241</v>
      </c>
      <c r="F1168" t="s">
        <v>220</v>
      </c>
      <c r="G1168" t="s">
        <v>243</v>
      </c>
      <c r="H1168" t="s">
        <v>221</v>
      </c>
    </row>
    <row r="1169" spans="1:8">
      <c r="A1169" s="25" t="s">
        <v>198</v>
      </c>
      <c r="B1169">
        <v>2261</v>
      </c>
      <c r="C1169" t="s">
        <v>189</v>
      </c>
      <c r="D1169">
        <v>10418</v>
      </c>
      <c r="E1169" s="1">
        <v>1.09E-2</v>
      </c>
      <c r="F1169" s="1">
        <v>0.3659</v>
      </c>
      <c r="G1169" s="1">
        <v>4.7999999999999996E-3</v>
      </c>
      <c r="H1169" s="1">
        <v>0.61839999999999995</v>
      </c>
    </row>
    <row r="1170" spans="1:8">
      <c r="A1170" s="25" t="s">
        <v>199</v>
      </c>
      <c r="B1170">
        <v>8157</v>
      </c>
      <c r="C1170" t="s">
        <v>189</v>
      </c>
      <c r="D1170">
        <v>10418</v>
      </c>
      <c r="E1170" s="1">
        <v>6.0000000000000001E-3</v>
      </c>
      <c r="F1170" s="1">
        <v>0.59379999999999999</v>
      </c>
      <c r="G1170" s="1">
        <v>8.9999999999999998E-4</v>
      </c>
      <c r="H1170" s="1">
        <v>0.39929999999999999</v>
      </c>
    </row>
    <row r="1171" spans="1:8">
      <c r="A1171" s="25" t="s">
        <v>192</v>
      </c>
      <c r="B1171">
        <v>10418</v>
      </c>
      <c r="C1171" t="s">
        <v>192</v>
      </c>
      <c r="D1171">
        <v>10418</v>
      </c>
      <c r="E1171" s="1">
        <v>6.8999999999999999E-3</v>
      </c>
      <c r="F1171" s="1">
        <v>0.55210000000000004</v>
      </c>
      <c r="G1171" s="1">
        <v>1.6000000000000001E-3</v>
      </c>
      <c r="H1171" s="1">
        <v>0.4395</v>
      </c>
    </row>
    <row r="1173" spans="1:8" ht="43.5">
      <c r="A1173" s="25" t="s">
        <v>479</v>
      </c>
    </row>
    <row r="1174" spans="1:8">
      <c r="A1174" s="25" t="s">
        <v>182</v>
      </c>
      <c r="B1174" t="s">
        <v>219</v>
      </c>
      <c r="C1174" t="s">
        <v>181</v>
      </c>
      <c r="D1174" t="s">
        <v>188</v>
      </c>
      <c r="E1174" t="s">
        <v>241</v>
      </c>
      <c r="F1174" t="s">
        <v>220</v>
      </c>
      <c r="G1174" t="s">
        <v>243</v>
      </c>
      <c r="H1174" t="s">
        <v>221</v>
      </c>
    </row>
    <row r="1175" spans="1:8">
      <c r="A1175" s="25" t="s">
        <v>201</v>
      </c>
      <c r="B1175">
        <v>766</v>
      </c>
      <c r="C1175" t="s">
        <v>189</v>
      </c>
      <c r="D1175">
        <v>10418</v>
      </c>
      <c r="E1175" s="1">
        <v>4.7999999999999996E-3</v>
      </c>
      <c r="F1175" s="1">
        <v>0.4214</v>
      </c>
      <c r="G1175" s="1">
        <v>4.0000000000000002E-4</v>
      </c>
      <c r="H1175" s="1">
        <v>0.57340000000000002</v>
      </c>
    </row>
    <row r="1176" spans="1:8">
      <c r="A1176" s="25" t="s">
        <v>202</v>
      </c>
      <c r="B1176">
        <v>110</v>
      </c>
      <c r="C1176" t="s">
        <v>189</v>
      </c>
      <c r="D1176">
        <v>10418</v>
      </c>
      <c r="E1176" s="1">
        <v>4.6899999999999997E-2</v>
      </c>
      <c r="F1176" s="1">
        <v>0.17369999999999999</v>
      </c>
      <c r="H1176" s="1">
        <v>0.77949999999999997</v>
      </c>
    </row>
    <row r="1177" spans="1:8">
      <c r="A1177" s="25" t="s">
        <v>203</v>
      </c>
      <c r="B1177">
        <v>8028</v>
      </c>
      <c r="C1177" t="s">
        <v>189</v>
      </c>
      <c r="D1177">
        <v>10418</v>
      </c>
      <c r="E1177" s="1">
        <v>5.7999999999999996E-3</v>
      </c>
      <c r="F1177" s="1">
        <v>0.57279999999999998</v>
      </c>
      <c r="G1177" s="1">
        <v>1.5E-3</v>
      </c>
      <c r="H1177" s="1">
        <v>0.4199</v>
      </c>
    </row>
    <row r="1178" spans="1:8">
      <c r="A1178" s="25" t="s">
        <v>204</v>
      </c>
      <c r="B1178">
        <v>31</v>
      </c>
      <c r="C1178" t="s">
        <v>189</v>
      </c>
      <c r="D1178">
        <v>10418</v>
      </c>
      <c r="F1178" s="1">
        <v>0.34010000000000001</v>
      </c>
      <c r="G1178" s="1">
        <v>2.1700000000000001E-2</v>
      </c>
      <c r="H1178" s="1">
        <v>0.63829999999999998</v>
      </c>
    </row>
    <row r="1179" spans="1:8">
      <c r="A1179" s="25" t="s">
        <v>205</v>
      </c>
      <c r="B1179">
        <v>1483</v>
      </c>
      <c r="C1179" t="s">
        <v>189</v>
      </c>
      <c r="D1179">
        <v>10418</v>
      </c>
      <c r="E1179" s="1">
        <v>1.23E-2</v>
      </c>
      <c r="F1179" s="1">
        <v>0.51839999999999997</v>
      </c>
      <c r="G1179" s="1">
        <v>2.8E-3</v>
      </c>
      <c r="H1179" s="1">
        <v>0.46660000000000001</v>
      </c>
    </row>
    <row r="1180" spans="1:8">
      <c r="A1180" s="25" t="s">
        <v>192</v>
      </c>
      <c r="B1180">
        <v>10418</v>
      </c>
      <c r="C1180" t="s">
        <v>192</v>
      </c>
      <c r="D1180">
        <v>10418</v>
      </c>
      <c r="E1180" s="1">
        <v>6.8999999999999999E-3</v>
      </c>
      <c r="F1180" s="1">
        <v>0.55210000000000004</v>
      </c>
      <c r="G1180" s="1">
        <v>1.6000000000000001E-3</v>
      </c>
      <c r="H1180" s="1">
        <v>0.4395</v>
      </c>
    </row>
    <row r="1182" spans="1:8" ht="43.5">
      <c r="A1182" s="25" t="s">
        <v>480</v>
      </c>
    </row>
    <row r="1183" spans="1:8">
      <c r="A1183" s="25" t="s">
        <v>182</v>
      </c>
      <c r="B1183" t="s">
        <v>219</v>
      </c>
      <c r="C1183" t="s">
        <v>181</v>
      </c>
      <c r="D1183" t="s">
        <v>188</v>
      </c>
      <c r="E1183" t="s">
        <v>241</v>
      </c>
      <c r="F1183" t="s">
        <v>220</v>
      </c>
      <c r="G1183" t="s">
        <v>243</v>
      </c>
      <c r="H1183" t="s">
        <v>221</v>
      </c>
    </row>
    <row r="1184" spans="1:8">
      <c r="A1184" s="25" t="s">
        <v>207</v>
      </c>
      <c r="B1184">
        <v>7243</v>
      </c>
      <c r="C1184" t="s">
        <v>189</v>
      </c>
      <c r="D1184">
        <v>10418</v>
      </c>
      <c r="E1184" s="1">
        <v>7.0000000000000001E-3</v>
      </c>
      <c r="F1184" s="1">
        <v>0.54600000000000004</v>
      </c>
      <c r="G1184" s="1">
        <v>2.0999999999999999E-3</v>
      </c>
      <c r="H1184" s="1">
        <v>0.44479999999999997</v>
      </c>
    </row>
    <row r="1185" spans="1:8">
      <c r="A1185" s="25" t="s">
        <v>208</v>
      </c>
      <c r="B1185">
        <v>2241</v>
      </c>
      <c r="C1185" t="s">
        <v>189</v>
      </c>
      <c r="D1185">
        <v>10418</v>
      </c>
      <c r="E1185" s="1">
        <v>4.7999999999999996E-3</v>
      </c>
      <c r="F1185" s="1">
        <v>0.58230000000000004</v>
      </c>
      <c r="G1185" s="1">
        <v>2.9999999999999997E-4</v>
      </c>
      <c r="H1185" s="1">
        <v>0.41249999999999998</v>
      </c>
    </row>
    <row r="1186" spans="1:8">
      <c r="A1186" s="25" t="s">
        <v>209</v>
      </c>
      <c r="B1186">
        <v>934</v>
      </c>
      <c r="C1186" t="s">
        <v>189</v>
      </c>
      <c r="D1186">
        <v>10418</v>
      </c>
      <c r="E1186" s="1">
        <v>1.17E-2</v>
      </c>
      <c r="F1186" s="1">
        <v>0.51890000000000003</v>
      </c>
      <c r="G1186" s="1">
        <v>5.9999999999999995E-4</v>
      </c>
      <c r="H1186" s="1">
        <v>0.46879999999999999</v>
      </c>
    </row>
    <row r="1187" spans="1:8">
      <c r="A1187" s="25" t="s">
        <v>192</v>
      </c>
      <c r="B1187">
        <v>10418</v>
      </c>
      <c r="C1187" t="s">
        <v>192</v>
      </c>
      <c r="D1187">
        <v>10418</v>
      </c>
      <c r="E1187" s="1">
        <v>6.8999999999999999E-3</v>
      </c>
      <c r="F1187" s="1">
        <v>0.55210000000000004</v>
      </c>
      <c r="G1187" s="1">
        <v>1.6000000000000001E-3</v>
      </c>
      <c r="H1187" s="1">
        <v>0.4395</v>
      </c>
    </row>
    <row r="1189" spans="1:8" ht="43.5">
      <c r="A1189" s="25" t="s">
        <v>481</v>
      </c>
    </row>
    <row r="1190" spans="1:8">
      <c r="A1190" s="25" t="s">
        <v>182</v>
      </c>
      <c r="B1190" t="s">
        <v>219</v>
      </c>
      <c r="C1190" t="s">
        <v>181</v>
      </c>
      <c r="D1190" t="s">
        <v>188</v>
      </c>
      <c r="E1190" t="s">
        <v>241</v>
      </c>
      <c r="F1190" t="s">
        <v>220</v>
      </c>
      <c r="G1190" t="s">
        <v>243</v>
      </c>
      <c r="H1190" t="s">
        <v>221</v>
      </c>
    </row>
    <row r="1191" spans="1:8">
      <c r="A1191" s="25" t="s">
        <v>211</v>
      </c>
      <c r="B1191">
        <v>4969</v>
      </c>
      <c r="C1191" t="s">
        <v>189</v>
      </c>
      <c r="D1191">
        <v>10418</v>
      </c>
      <c r="E1191" s="1">
        <v>6.8999999999999999E-3</v>
      </c>
      <c r="F1191" s="1">
        <v>0.54849999999999999</v>
      </c>
      <c r="G1191" s="1">
        <v>8.0000000000000004E-4</v>
      </c>
      <c r="H1191" s="1">
        <v>0.44379999999999997</v>
      </c>
    </row>
    <row r="1192" spans="1:8">
      <c r="A1192" s="25" t="s">
        <v>212</v>
      </c>
      <c r="B1192">
        <v>3366</v>
      </c>
      <c r="C1192" t="s">
        <v>189</v>
      </c>
      <c r="D1192">
        <v>10418</v>
      </c>
      <c r="E1192" s="1">
        <v>4.3E-3</v>
      </c>
      <c r="F1192" s="1">
        <v>0.4909</v>
      </c>
      <c r="G1192" s="1">
        <v>3.3E-3</v>
      </c>
      <c r="H1192" s="1">
        <v>0.50149999999999995</v>
      </c>
    </row>
    <row r="1193" spans="1:8">
      <c r="A1193" s="25" t="s">
        <v>213</v>
      </c>
      <c r="B1193">
        <v>2083</v>
      </c>
      <c r="C1193" t="s">
        <v>189</v>
      </c>
      <c r="D1193">
        <v>10418</v>
      </c>
      <c r="E1193" s="1">
        <v>1.06E-2</v>
      </c>
      <c r="F1193" s="1">
        <v>0.64649999999999996</v>
      </c>
      <c r="G1193" s="1">
        <v>8.9999999999999998E-4</v>
      </c>
      <c r="H1193" s="1">
        <v>0.34189999999999998</v>
      </c>
    </row>
    <row r="1194" spans="1:8">
      <c r="A1194" s="25" t="s">
        <v>192</v>
      </c>
      <c r="B1194">
        <v>10418</v>
      </c>
      <c r="C1194" t="s">
        <v>192</v>
      </c>
      <c r="D1194">
        <v>10418</v>
      </c>
      <c r="E1194" s="1">
        <v>6.8999999999999999E-3</v>
      </c>
      <c r="F1194" s="1">
        <v>0.55210000000000004</v>
      </c>
      <c r="G1194" s="1">
        <v>1.6000000000000001E-3</v>
      </c>
      <c r="H1194" s="1">
        <v>0.4395</v>
      </c>
    </row>
    <row r="1196" spans="1:8" ht="43.5">
      <c r="A1196" s="25" t="s">
        <v>482</v>
      </c>
    </row>
    <row r="1197" spans="1:8">
      <c r="A1197" s="25" t="s">
        <v>182</v>
      </c>
      <c r="B1197" t="s">
        <v>219</v>
      </c>
      <c r="C1197" t="s">
        <v>181</v>
      </c>
      <c r="D1197" t="s">
        <v>188</v>
      </c>
      <c r="E1197" t="s">
        <v>241</v>
      </c>
      <c r="F1197" t="s">
        <v>220</v>
      </c>
      <c r="G1197" t="s">
        <v>243</v>
      </c>
      <c r="H1197" t="s">
        <v>221</v>
      </c>
    </row>
    <row r="1198" spans="1:8">
      <c r="A1198" s="25" t="s">
        <v>190</v>
      </c>
      <c r="B1198">
        <v>4891</v>
      </c>
      <c r="C1198" t="s">
        <v>189</v>
      </c>
      <c r="D1198">
        <v>10413</v>
      </c>
      <c r="E1198" s="1">
        <v>5.5999999999999999E-3</v>
      </c>
      <c r="F1198" s="1">
        <v>0.59719999999999995</v>
      </c>
      <c r="G1198" s="1">
        <v>5.9999999999999995E-4</v>
      </c>
      <c r="H1198" s="1">
        <v>0.39660000000000001</v>
      </c>
    </row>
    <row r="1199" spans="1:8">
      <c r="A1199" s="25" t="s">
        <v>191</v>
      </c>
      <c r="B1199">
        <v>5465</v>
      </c>
      <c r="C1199" t="s">
        <v>189</v>
      </c>
      <c r="D1199">
        <v>10413</v>
      </c>
      <c r="E1199" s="1">
        <v>6.6E-3</v>
      </c>
      <c r="F1199" s="1">
        <v>0.59330000000000005</v>
      </c>
      <c r="G1199" s="1">
        <v>1.5E-3</v>
      </c>
      <c r="H1199" s="1">
        <v>0.3987</v>
      </c>
    </row>
    <row r="1200" spans="1:8">
      <c r="A1200" s="25" t="s">
        <v>192</v>
      </c>
      <c r="B1200">
        <v>10413</v>
      </c>
      <c r="C1200" t="s">
        <v>192</v>
      </c>
      <c r="D1200">
        <v>10413</v>
      </c>
      <c r="E1200" s="1">
        <v>6.1999999999999998E-3</v>
      </c>
      <c r="F1200" s="1">
        <v>0.59450000000000003</v>
      </c>
      <c r="G1200" s="1">
        <v>1.1999999999999999E-3</v>
      </c>
      <c r="H1200" s="1">
        <v>0.39810000000000001</v>
      </c>
    </row>
    <row r="1202" spans="1:8" ht="57.95">
      <c r="A1202" s="25" t="s">
        <v>483</v>
      </c>
    </row>
    <row r="1203" spans="1:8">
      <c r="A1203" s="25" t="s">
        <v>182</v>
      </c>
      <c r="B1203" t="s">
        <v>219</v>
      </c>
      <c r="C1203" t="s">
        <v>181</v>
      </c>
      <c r="D1203" t="s">
        <v>188</v>
      </c>
      <c r="E1203" t="s">
        <v>241</v>
      </c>
      <c r="F1203" t="s">
        <v>220</v>
      </c>
      <c r="G1203" t="s">
        <v>243</v>
      </c>
      <c r="H1203" t="s">
        <v>221</v>
      </c>
    </row>
    <row r="1204" spans="1:8" ht="29.1">
      <c r="A1204" s="25" t="s">
        <v>194</v>
      </c>
      <c r="B1204">
        <v>5941</v>
      </c>
      <c r="C1204" t="s">
        <v>189</v>
      </c>
      <c r="D1204">
        <v>10413</v>
      </c>
      <c r="E1204" s="1">
        <v>7.6E-3</v>
      </c>
      <c r="F1204" s="1">
        <v>0.61170000000000002</v>
      </c>
      <c r="G1204" s="1">
        <v>1.4E-3</v>
      </c>
      <c r="H1204" s="1">
        <v>0.37930000000000003</v>
      </c>
    </row>
    <row r="1205" spans="1:8" ht="29.1">
      <c r="A1205" s="25" t="s">
        <v>195</v>
      </c>
      <c r="B1205">
        <v>2698</v>
      </c>
      <c r="C1205" t="s">
        <v>189</v>
      </c>
      <c r="D1205">
        <v>10413</v>
      </c>
      <c r="E1205" s="1">
        <v>2.8E-3</v>
      </c>
      <c r="F1205" s="1">
        <v>0.64</v>
      </c>
      <c r="G1205" s="1">
        <v>2.0000000000000001E-4</v>
      </c>
      <c r="H1205" s="1">
        <v>0.35709999999999997</v>
      </c>
    </row>
    <row r="1206" spans="1:8" ht="29.1">
      <c r="A1206" s="25" t="s">
        <v>196</v>
      </c>
      <c r="B1206">
        <v>1717</v>
      </c>
      <c r="C1206" t="s">
        <v>189</v>
      </c>
      <c r="D1206">
        <v>10413</v>
      </c>
      <c r="E1206" s="1">
        <v>3.3E-3</v>
      </c>
      <c r="F1206" s="1">
        <v>0.3735</v>
      </c>
      <c r="G1206" s="1">
        <v>6.9999999999999999E-4</v>
      </c>
      <c r="H1206" s="1">
        <v>0.62250000000000005</v>
      </c>
    </row>
    <row r="1207" spans="1:8">
      <c r="A1207" s="25" t="s">
        <v>192</v>
      </c>
      <c r="B1207">
        <v>10413</v>
      </c>
      <c r="C1207" t="s">
        <v>192</v>
      </c>
      <c r="D1207">
        <v>10413</v>
      </c>
      <c r="E1207" s="1">
        <v>6.1999999999999998E-3</v>
      </c>
      <c r="F1207" s="1">
        <v>0.59450000000000003</v>
      </c>
      <c r="G1207" s="1">
        <v>1.1999999999999999E-3</v>
      </c>
      <c r="H1207" s="1">
        <v>0.39810000000000001</v>
      </c>
    </row>
    <row r="1209" spans="1:8" ht="57.95">
      <c r="A1209" s="25" t="s">
        <v>484</v>
      </c>
    </row>
    <row r="1210" spans="1:8">
      <c r="A1210" s="25" t="s">
        <v>182</v>
      </c>
      <c r="B1210" t="s">
        <v>219</v>
      </c>
      <c r="C1210" t="s">
        <v>181</v>
      </c>
      <c r="D1210" t="s">
        <v>188</v>
      </c>
      <c r="E1210" t="s">
        <v>241</v>
      </c>
      <c r="F1210" t="s">
        <v>220</v>
      </c>
      <c r="G1210" t="s">
        <v>243</v>
      </c>
      <c r="H1210" t="s">
        <v>221</v>
      </c>
    </row>
    <row r="1211" spans="1:8">
      <c r="A1211" s="25" t="s">
        <v>198</v>
      </c>
      <c r="B1211">
        <v>2261</v>
      </c>
      <c r="C1211" t="s">
        <v>189</v>
      </c>
      <c r="D1211">
        <v>10413</v>
      </c>
      <c r="E1211" s="1">
        <v>1.41E-2</v>
      </c>
      <c r="F1211" s="1">
        <v>0.39539999999999997</v>
      </c>
      <c r="G1211" s="1">
        <v>4.5999999999999999E-3</v>
      </c>
      <c r="H1211" s="1">
        <v>0.58589999999999998</v>
      </c>
    </row>
    <row r="1212" spans="1:8">
      <c r="A1212" s="25" t="s">
        <v>199</v>
      </c>
      <c r="B1212">
        <v>8152</v>
      </c>
      <c r="C1212" t="s">
        <v>189</v>
      </c>
      <c r="D1212">
        <v>10413</v>
      </c>
      <c r="E1212" s="1">
        <v>4.4999999999999997E-3</v>
      </c>
      <c r="F1212" s="1">
        <v>0.63919999999999999</v>
      </c>
      <c r="G1212" s="1">
        <v>4.0000000000000002E-4</v>
      </c>
      <c r="H1212" s="1">
        <v>0.35589999999999999</v>
      </c>
    </row>
    <row r="1213" spans="1:8">
      <c r="A1213" s="25" t="s">
        <v>192</v>
      </c>
      <c r="B1213">
        <v>10413</v>
      </c>
      <c r="C1213" t="s">
        <v>192</v>
      </c>
      <c r="D1213">
        <v>10413</v>
      </c>
      <c r="E1213" s="1">
        <v>6.1999999999999998E-3</v>
      </c>
      <c r="F1213" s="1">
        <v>0.59450000000000003</v>
      </c>
      <c r="G1213" s="1">
        <v>1.1999999999999999E-3</v>
      </c>
      <c r="H1213" s="1">
        <v>0.39810000000000001</v>
      </c>
    </row>
    <row r="1215" spans="1:8" ht="57.95">
      <c r="A1215" s="25" t="s">
        <v>485</v>
      </c>
    </row>
    <row r="1216" spans="1:8">
      <c r="A1216" s="25" t="s">
        <v>182</v>
      </c>
      <c r="B1216" t="s">
        <v>219</v>
      </c>
      <c r="C1216" t="s">
        <v>181</v>
      </c>
      <c r="D1216" t="s">
        <v>188</v>
      </c>
      <c r="E1216" t="s">
        <v>241</v>
      </c>
      <c r="F1216" t="s">
        <v>220</v>
      </c>
      <c r="G1216" t="s">
        <v>243</v>
      </c>
      <c r="H1216" t="s">
        <v>221</v>
      </c>
    </row>
    <row r="1217" spans="1:8">
      <c r="A1217" s="25" t="s">
        <v>201</v>
      </c>
      <c r="B1217">
        <v>766</v>
      </c>
      <c r="C1217" t="s">
        <v>189</v>
      </c>
      <c r="D1217">
        <v>10413</v>
      </c>
      <c r="E1217" s="1">
        <v>1.8499999999999999E-2</v>
      </c>
      <c r="F1217" s="1">
        <v>0.47039999999999998</v>
      </c>
      <c r="H1217" s="1">
        <v>0.5111</v>
      </c>
    </row>
    <row r="1218" spans="1:8">
      <c r="A1218" s="25" t="s">
        <v>202</v>
      </c>
      <c r="B1218">
        <v>110</v>
      </c>
      <c r="C1218" t="s">
        <v>189</v>
      </c>
      <c r="D1218">
        <v>10413</v>
      </c>
      <c r="F1218" s="1">
        <v>0.31640000000000001</v>
      </c>
      <c r="H1218" s="1">
        <v>0.68359999999999999</v>
      </c>
    </row>
    <row r="1219" spans="1:8">
      <c r="A1219" s="25" t="s">
        <v>203</v>
      </c>
      <c r="B1219">
        <v>8023</v>
      </c>
      <c r="C1219" t="s">
        <v>189</v>
      </c>
      <c r="D1219">
        <v>10413</v>
      </c>
      <c r="E1219" s="1">
        <v>4.8999999999999998E-3</v>
      </c>
      <c r="F1219" s="1">
        <v>0.61229999999999996</v>
      </c>
      <c r="G1219" s="1">
        <v>1.4E-3</v>
      </c>
      <c r="H1219" s="1">
        <v>0.38140000000000002</v>
      </c>
    </row>
    <row r="1220" spans="1:8">
      <c r="A1220" s="25" t="s">
        <v>204</v>
      </c>
      <c r="B1220">
        <v>31</v>
      </c>
      <c r="C1220" t="s">
        <v>189</v>
      </c>
      <c r="D1220">
        <v>10413</v>
      </c>
      <c r="F1220" s="1">
        <v>0.50880000000000003</v>
      </c>
      <c r="H1220" s="1">
        <v>0.49120000000000003</v>
      </c>
    </row>
    <row r="1221" spans="1:8">
      <c r="A1221" s="25" t="s">
        <v>205</v>
      </c>
      <c r="B1221">
        <v>1483</v>
      </c>
      <c r="C1221" t="s">
        <v>189</v>
      </c>
      <c r="D1221">
        <v>10413</v>
      </c>
      <c r="E1221" s="1">
        <v>8.0999999999999996E-3</v>
      </c>
      <c r="F1221" s="1">
        <v>0.56869999999999998</v>
      </c>
      <c r="G1221" s="1">
        <v>2.9999999999999997E-4</v>
      </c>
      <c r="H1221" s="1">
        <v>0.4229</v>
      </c>
    </row>
    <row r="1222" spans="1:8">
      <c r="A1222" s="25" t="s">
        <v>192</v>
      </c>
      <c r="B1222">
        <v>10413</v>
      </c>
      <c r="C1222" t="s">
        <v>192</v>
      </c>
      <c r="D1222">
        <v>10413</v>
      </c>
      <c r="E1222" s="1">
        <v>6.1999999999999998E-3</v>
      </c>
      <c r="F1222" s="1">
        <v>0.59450000000000003</v>
      </c>
      <c r="G1222" s="1">
        <v>1.1999999999999999E-3</v>
      </c>
      <c r="H1222" s="1">
        <v>0.39810000000000001</v>
      </c>
    </row>
    <row r="1224" spans="1:8" ht="43.5">
      <c r="A1224" s="25" t="s">
        <v>486</v>
      </c>
    </row>
    <row r="1225" spans="1:8">
      <c r="A1225" s="25" t="s">
        <v>182</v>
      </c>
      <c r="B1225" t="s">
        <v>219</v>
      </c>
      <c r="C1225" t="s">
        <v>181</v>
      </c>
      <c r="D1225" t="s">
        <v>188</v>
      </c>
      <c r="E1225" t="s">
        <v>241</v>
      </c>
      <c r="F1225" t="s">
        <v>220</v>
      </c>
      <c r="G1225" t="s">
        <v>243</v>
      </c>
      <c r="H1225" t="s">
        <v>221</v>
      </c>
    </row>
    <row r="1226" spans="1:8">
      <c r="A1226" s="25" t="s">
        <v>207</v>
      </c>
      <c r="B1226">
        <v>7242</v>
      </c>
      <c r="C1226" t="s">
        <v>189</v>
      </c>
      <c r="D1226">
        <v>10413</v>
      </c>
      <c r="E1226" s="1">
        <v>7.4999999999999997E-3</v>
      </c>
      <c r="F1226" s="1">
        <v>0.58850000000000002</v>
      </c>
      <c r="G1226" s="1">
        <v>1.6000000000000001E-3</v>
      </c>
      <c r="H1226" s="1">
        <v>0.40239999999999998</v>
      </c>
    </row>
    <row r="1227" spans="1:8">
      <c r="A1227" s="25" t="s">
        <v>208</v>
      </c>
      <c r="B1227">
        <v>2239</v>
      </c>
      <c r="C1227" t="s">
        <v>189</v>
      </c>
      <c r="D1227">
        <v>10413</v>
      </c>
      <c r="E1227" s="1">
        <v>4.0000000000000001E-3</v>
      </c>
      <c r="F1227" s="1">
        <v>0.61880000000000002</v>
      </c>
      <c r="G1227" s="1">
        <v>2.0000000000000001E-4</v>
      </c>
      <c r="H1227" s="1">
        <v>0.37690000000000001</v>
      </c>
    </row>
    <row r="1228" spans="1:8">
      <c r="A1228" s="25" t="s">
        <v>209</v>
      </c>
      <c r="B1228">
        <v>932</v>
      </c>
      <c r="C1228" t="s">
        <v>189</v>
      </c>
      <c r="D1228">
        <v>10413</v>
      </c>
      <c r="E1228" s="1">
        <v>1.6999999999999999E-3</v>
      </c>
      <c r="F1228" s="1">
        <v>0.57809999999999995</v>
      </c>
      <c r="H1228" s="1">
        <v>0.42020000000000002</v>
      </c>
    </row>
    <row r="1229" spans="1:8">
      <c r="A1229" s="25" t="s">
        <v>192</v>
      </c>
      <c r="B1229">
        <v>10413</v>
      </c>
      <c r="C1229" t="s">
        <v>192</v>
      </c>
      <c r="D1229">
        <v>10413</v>
      </c>
      <c r="E1229" s="1">
        <v>6.1999999999999998E-3</v>
      </c>
      <c r="F1229" s="1">
        <v>0.59450000000000003</v>
      </c>
      <c r="G1229" s="1">
        <v>1.1999999999999999E-3</v>
      </c>
      <c r="H1229" s="1">
        <v>0.39810000000000001</v>
      </c>
    </row>
    <row r="1231" spans="1:8" ht="43.5">
      <c r="A1231" s="25" t="s">
        <v>487</v>
      </c>
    </row>
    <row r="1232" spans="1:8">
      <c r="A1232" s="25" t="s">
        <v>182</v>
      </c>
      <c r="B1232" t="s">
        <v>219</v>
      </c>
      <c r="C1232" t="s">
        <v>181</v>
      </c>
      <c r="D1232" t="s">
        <v>188</v>
      </c>
      <c r="E1232" t="s">
        <v>241</v>
      </c>
      <c r="F1232" t="s">
        <v>220</v>
      </c>
      <c r="G1232" t="s">
        <v>243</v>
      </c>
      <c r="H1232" t="s">
        <v>221</v>
      </c>
    </row>
    <row r="1233" spans="1:8">
      <c r="A1233" s="25" t="s">
        <v>211</v>
      </c>
      <c r="B1233">
        <v>4962</v>
      </c>
      <c r="C1233" t="s">
        <v>189</v>
      </c>
      <c r="D1233">
        <v>10413</v>
      </c>
      <c r="E1233" s="1">
        <v>6.0000000000000001E-3</v>
      </c>
      <c r="F1233" s="1">
        <v>0.60850000000000004</v>
      </c>
      <c r="G1233" s="1">
        <v>2.9999999999999997E-4</v>
      </c>
      <c r="H1233" s="1">
        <v>0.38519999999999999</v>
      </c>
    </row>
    <row r="1234" spans="1:8">
      <c r="A1234" s="25" t="s">
        <v>212</v>
      </c>
      <c r="B1234">
        <v>3371</v>
      </c>
      <c r="C1234" t="s">
        <v>189</v>
      </c>
      <c r="D1234">
        <v>10413</v>
      </c>
      <c r="E1234" s="1">
        <v>5.3E-3</v>
      </c>
      <c r="F1234" s="1">
        <v>0.52680000000000005</v>
      </c>
      <c r="G1234" s="1">
        <v>2.7000000000000001E-3</v>
      </c>
      <c r="H1234" s="1">
        <v>0.4652</v>
      </c>
    </row>
    <row r="1235" spans="1:8">
      <c r="A1235" s="25" t="s">
        <v>213</v>
      </c>
      <c r="B1235">
        <v>2080</v>
      </c>
      <c r="C1235" t="s">
        <v>189</v>
      </c>
      <c r="D1235">
        <v>10413</v>
      </c>
      <c r="E1235" s="1">
        <v>8.0999999999999996E-3</v>
      </c>
      <c r="F1235" s="1">
        <v>0.66080000000000005</v>
      </c>
      <c r="G1235" s="1">
        <v>8.0000000000000004E-4</v>
      </c>
      <c r="H1235" s="1">
        <v>0.33019999999999999</v>
      </c>
    </row>
    <row r="1236" spans="1:8">
      <c r="A1236" s="25" t="s">
        <v>192</v>
      </c>
      <c r="B1236">
        <v>10413</v>
      </c>
      <c r="C1236" t="s">
        <v>192</v>
      </c>
      <c r="D1236">
        <v>10413</v>
      </c>
      <c r="E1236" s="1">
        <v>6.1999999999999998E-3</v>
      </c>
      <c r="F1236" s="1">
        <v>0.59450000000000003</v>
      </c>
      <c r="G1236" s="1">
        <v>1.1999999999999999E-3</v>
      </c>
      <c r="H1236" s="1">
        <v>0.39810000000000001</v>
      </c>
    </row>
    <row r="1238" spans="1:8" ht="43.5">
      <c r="A1238" s="25" t="s">
        <v>488</v>
      </c>
    </row>
    <row r="1239" spans="1:8">
      <c r="A1239" s="25" t="s">
        <v>182</v>
      </c>
      <c r="B1239" t="s">
        <v>219</v>
      </c>
      <c r="C1239" t="s">
        <v>181</v>
      </c>
      <c r="D1239" t="s">
        <v>188</v>
      </c>
      <c r="E1239" t="s">
        <v>241</v>
      </c>
      <c r="F1239" t="s">
        <v>220</v>
      </c>
      <c r="G1239" t="s">
        <v>243</v>
      </c>
      <c r="H1239" t="s">
        <v>221</v>
      </c>
    </row>
    <row r="1240" spans="1:8">
      <c r="A1240" s="25" t="s">
        <v>190</v>
      </c>
      <c r="B1240">
        <v>4890</v>
      </c>
      <c r="C1240" t="s">
        <v>189</v>
      </c>
      <c r="D1240">
        <v>10410</v>
      </c>
      <c r="E1240" s="1">
        <v>3.0999999999999999E-3</v>
      </c>
      <c r="F1240" s="1">
        <v>0.45610000000000001</v>
      </c>
      <c r="G1240" s="1">
        <v>1.1000000000000001E-3</v>
      </c>
      <c r="H1240" s="1">
        <v>0.53979999999999995</v>
      </c>
    </row>
    <row r="1241" spans="1:8">
      <c r="A1241" s="25" t="s">
        <v>191</v>
      </c>
      <c r="B1241">
        <v>5463</v>
      </c>
      <c r="C1241" t="s">
        <v>189</v>
      </c>
      <c r="D1241">
        <v>10410</v>
      </c>
      <c r="E1241" s="1">
        <v>3.5000000000000001E-3</v>
      </c>
      <c r="F1241" s="1">
        <v>0.44940000000000002</v>
      </c>
      <c r="G1241" s="1">
        <v>2.5000000000000001E-3</v>
      </c>
      <c r="H1241" s="1">
        <v>0.54449999999999998</v>
      </c>
    </row>
    <row r="1242" spans="1:8">
      <c r="A1242" s="25" t="s">
        <v>192</v>
      </c>
      <c r="B1242">
        <v>10410</v>
      </c>
      <c r="C1242" t="s">
        <v>192</v>
      </c>
      <c r="D1242">
        <v>10410</v>
      </c>
      <c r="E1242" s="1">
        <v>3.3999999999999998E-3</v>
      </c>
      <c r="F1242" s="1">
        <v>0.4516</v>
      </c>
      <c r="G1242" s="1">
        <v>2E-3</v>
      </c>
      <c r="H1242" s="1">
        <v>0.54300000000000004</v>
      </c>
    </row>
    <row r="1244" spans="1:8" ht="57.95">
      <c r="A1244" s="25" t="s">
        <v>489</v>
      </c>
    </row>
    <row r="1245" spans="1:8">
      <c r="A1245" s="25" t="s">
        <v>182</v>
      </c>
      <c r="B1245" t="s">
        <v>219</v>
      </c>
      <c r="C1245" t="s">
        <v>181</v>
      </c>
      <c r="D1245" t="s">
        <v>188</v>
      </c>
      <c r="E1245" t="s">
        <v>241</v>
      </c>
      <c r="F1245" t="s">
        <v>220</v>
      </c>
      <c r="G1245" t="s">
        <v>243</v>
      </c>
      <c r="H1245" t="s">
        <v>221</v>
      </c>
    </row>
    <row r="1246" spans="1:8" ht="29.1">
      <c r="A1246" s="25" t="s">
        <v>194</v>
      </c>
      <c r="B1246">
        <v>5939</v>
      </c>
      <c r="C1246" t="s">
        <v>189</v>
      </c>
      <c r="D1246">
        <v>10410</v>
      </c>
      <c r="E1246" s="1">
        <v>2.8999999999999998E-3</v>
      </c>
      <c r="F1246" s="1">
        <v>0.47449999999999998</v>
      </c>
      <c r="G1246" s="1">
        <v>2.5999999999999999E-3</v>
      </c>
      <c r="H1246" s="1">
        <v>0.52</v>
      </c>
    </row>
    <row r="1247" spans="1:8" ht="29.1">
      <c r="A1247" s="25" t="s">
        <v>195</v>
      </c>
      <c r="B1247">
        <v>2698</v>
      </c>
      <c r="C1247" t="s">
        <v>189</v>
      </c>
      <c r="D1247">
        <v>10410</v>
      </c>
      <c r="E1247" s="1">
        <v>5.7000000000000002E-3</v>
      </c>
      <c r="F1247" s="1">
        <v>0.4778</v>
      </c>
      <c r="G1247" s="1">
        <v>4.0000000000000002E-4</v>
      </c>
      <c r="H1247" s="1">
        <v>0.5161</v>
      </c>
    </row>
    <row r="1248" spans="1:8" ht="29.1">
      <c r="A1248" s="25" t="s">
        <v>196</v>
      </c>
      <c r="B1248">
        <v>1716</v>
      </c>
      <c r="C1248" t="s">
        <v>189</v>
      </c>
      <c r="D1248">
        <v>10410</v>
      </c>
      <c r="E1248" s="1">
        <v>2.5000000000000001E-3</v>
      </c>
      <c r="F1248" s="1">
        <v>0.22850000000000001</v>
      </c>
      <c r="G1248" s="1">
        <v>2.0000000000000001E-4</v>
      </c>
      <c r="H1248" s="1">
        <v>0.76880000000000004</v>
      </c>
    </row>
    <row r="1249" spans="1:8">
      <c r="A1249" s="25" t="s">
        <v>192</v>
      </c>
      <c r="B1249">
        <v>10410</v>
      </c>
      <c r="C1249" t="s">
        <v>192</v>
      </c>
      <c r="D1249">
        <v>10410</v>
      </c>
      <c r="E1249" s="1">
        <v>3.3999999999999998E-3</v>
      </c>
      <c r="F1249" s="1">
        <v>0.4516</v>
      </c>
      <c r="G1249" s="1">
        <v>2E-3</v>
      </c>
      <c r="H1249" s="1">
        <v>0.54300000000000004</v>
      </c>
    </row>
    <row r="1251" spans="1:8" ht="43.5">
      <c r="A1251" s="25" t="s">
        <v>490</v>
      </c>
    </row>
    <row r="1252" spans="1:8">
      <c r="A1252" s="25" t="s">
        <v>182</v>
      </c>
      <c r="B1252" t="s">
        <v>219</v>
      </c>
      <c r="C1252" t="s">
        <v>181</v>
      </c>
      <c r="D1252" t="s">
        <v>188</v>
      </c>
      <c r="E1252" t="s">
        <v>241</v>
      </c>
      <c r="F1252" t="s">
        <v>220</v>
      </c>
      <c r="G1252" t="s">
        <v>243</v>
      </c>
      <c r="H1252" t="s">
        <v>221</v>
      </c>
    </row>
    <row r="1253" spans="1:8">
      <c r="A1253" s="25" t="s">
        <v>198</v>
      </c>
      <c r="B1253">
        <v>2258</v>
      </c>
      <c r="C1253" t="s">
        <v>189</v>
      </c>
      <c r="D1253">
        <v>10410</v>
      </c>
      <c r="E1253" s="1">
        <v>5.7999999999999996E-3</v>
      </c>
      <c r="F1253" s="1">
        <v>0.2984</v>
      </c>
      <c r="G1253" s="1">
        <v>9.2999999999999992E-3</v>
      </c>
      <c r="H1253" s="1">
        <v>0.6865</v>
      </c>
    </row>
    <row r="1254" spans="1:8">
      <c r="A1254" s="25" t="s">
        <v>199</v>
      </c>
      <c r="B1254">
        <v>8152</v>
      </c>
      <c r="C1254" t="s">
        <v>189</v>
      </c>
      <c r="D1254">
        <v>10410</v>
      </c>
      <c r="E1254" s="1">
        <v>2.8999999999999998E-3</v>
      </c>
      <c r="F1254" s="1">
        <v>0.48599999999999999</v>
      </c>
      <c r="G1254" s="1">
        <v>2.9999999999999997E-4</v>
      </c>
      <c r="H1254" s="1">
        <v>0.51080000000000003</v>
      </c>
    </row>
    <row r="1255" spans="1:8">
      <c r="A1255" s="25" t="s">
        <v>192</v>
      </c>
      <c r="B1255">
        <v>10410</v>
      </c>
      <c r="C1255" t="s">
        <v>192</v>
      </c>
      <c r="D1255">
        <v>10410</v>
      </c>
      <c r="E1255" s="1">
        <v>3.3999999999999998E-3</v>
      </c>
      <c r="F1255" s="1">
        <v>0.4516</v>
      </c>
      <c r="G1255" s="1">
        <v>2E-3</v>
      </c>
      <c r="H1255" s="1">
        <v>0.54300000000000004</v>
      </c>
    </row>
    <row r="1257" spans="1:8" ht="43.5">
      <c r="A1257" s="25" t="s">
        <v>491</v>
      </c>
    </row>
    <row r="1258" spans="1:8">
      <c r="A1258" s="25" t="s">
        <v>182</v>
      </c>
      <c r="B1258" t="s">
        <v>219</v>
      </c>
      <c r="C1258" t="s">
        <v>181</v>
      </c>
      <c r="D1258" t="s">
        <v>188</v>
      </c>
      <c r="E1258" t="s">
        <v>241</v>
      </c>
      <c r="F1258" t="s">
        <v>220</v>
      </c>
      <c r="G1258" t="s">
        <v>243</v>
      </c>
      <c r="H1258" t="s">
        <v>221</v>
      </c>
    </row>
    <row r="1259" spans="1:8">
      <c r="A1259" s="25" t="s">
        <v>201</v>
      </c>
      <c r="B1259">
        <v>766</v>
      </c>
      <c r="C1259" t="s">
        <v>189</v>
      </c>
      <c r="D1259">
        <v>10410</v>
      </c>
      <c r="E1259" s="1">
        <v>3.3E-3</v>
      </c>
      <c r="F1259" s="1">
        <v>0.3528</v>
      </c>
      <c r="G1259" s="1">
        <v>1.04E-2</v>
      </c>
      <c r="H1259" s="1">
        <v>0.63349999999999995</v>
      </c>
    </row>
    <row r="1260" spans="1:8">
      <c r="A1260" s="25" t="s">
        <v>202</v>
      </c>
      <c r="B1260">
        <v>110</v>
      </c>
      <c r="C1260" t="s">
        <v>189</v>
      </c>
      <c r="D1260">
        <v>10410</v>
      </c>
      <c r="F1260" s="1">
        <v>0.18790000000000001</v>
      </c>
      <c r="H1260" s="1">
        <v>0.81210000000000004</v>
      </c>
    </row>
    <row r="1261" spans="1:8">
      <c r="A1261" s="25" t="s">
        <v>203</v>
      </c>
      <c r="B1261">
        <v>8022</v>
      </c>
      <c r="C1261" t="s">
        <v>189</v>
      </c>
      <c r="D1261">
        <v>10410</v>
      </c>
      <c r="E1261" s="1">
        <v>3.3999999999999998E-3</v>
      </c>
      <c r="F1261" s="1">
        <v>0.47260000000000002</v>
      </c>
      <c r="G1261" s="1">
        <v>1.5E-3</v>
      </c>
      <c r="H1261" s="1">
        <v>0.52249999999999996</v>
      </c>
    </row>
    <row r="1262" spans="1:8">
      <c r="A1262" s="25" t="s">
        <v>204</v>
      </c>
      <c r="B1262">
        <v>31</v>
      </c>
      <c r="C1262" t="s">
        <v>189</v>
      </c>
      <c r="D1262">
        <v>10410</v>
      </c>
      <c r="F1262" s="1">
        <v>0.3715</v>
      </c>
      <c r="H1262" s="1">
        <v>0.62849999999999995</v>
      </c>
    </row>
    <row r="1263" spans="1:8">
      <c r="A1263" s="25" t="s">
        <v>205</v>
      </c>
      <c r="B1263">
        <v>1481</v>
      </c>
      <c r="C1263" t="s">
        <v>189</v>
      </c>
      <c r="D1263">
        <v>10410</v>
      </c>
      <c r="E1263" s="1">
        <v>3.5999999999999999E-3</v>
      </c>
      <c r="F1263" s="1">
        <v>0.39429999999999998</v>
      </c>
      <c r="G1263" s="1">
        <v>2.9999999999999997E-4</v>
      </c>
      <c r="H1263" s="1">
        <v>0.6018</v>
      </c>
    </row>
    <row r="1264" spans="1:8">
      <c r="A1264" s="25" t="s">
        <v>192</v>
      </c>
      <c r="B1264">
        <v>10410</v>
      </c>
      <c r="C1264" t="s">
        <v>192</v>
      </c>
      <c r="D1264">
        <v>10410</v>
      </c>
      <c r="E1264" s="1">
        <v>3.3999999999999998E-3</v>
      </c>
      <c r="F1264" s="1">
        <v>0.4516</v>
      </c>
      <c r="G1264" s="1">
        <v>2E-3</v>
      </c>
      <c r="H1264" s="1">
        <v>0.54300000000000004</v>
      </c>
    </row>
    <row r="1266" spans="1:8" ht="43.5">
      <c r="A1266" s="25" t="s">
        <v>492</v>
      </c>
    </row>
    <row r="1267" spans="1:8">
      <c r="A1267" s="25" t="s">
        <v>182</v>
      </c>
      <c r="B1267" t="s">
        <v>219</v>
      </c>
      <c r="C1267" t="s">
        <v>181</v>
      </c>
      <c r="D1267" t="s">
        <v>188</v>
      </c>
      <c r="E1267" t="s">
        <v>241</v>
      </c>
      <c r="F1267" t="s">
        <v>220</v>
      </c>
      <c r="G1267" t="s">
        <v>243</v>
      </c>
      <c r="H1267" t="s">
        <v>221</v>
      </c>
    </row>
    <row r="1268" spans="1:8">
      <c r="A1268" s="25" t="s">
        <v>207</v>
      </c>
      <c r="B1268">
        <v>7240</v>
      </c>
      <c r="C1268" t="s">
        <v>189</v>
      </c>
      <c r="D1268">
        <v>10410</v>
      </c>
      <c r="E1268" s="1">
        <v>3.8999999999999998E-3</v>
      </c>
      <c r="F1268" s="1">
        <v>0.43890000000000001</v>
      </c>
      <c r="G1268" s="1">
        <v>2.8E-3</v>
      </c>
      <c r="H1268" s="1">
        <v>0.55449999999999999</v>
      </c>
    </row>
    <row r="1269" spans="1:8">
      <c r="A1269" s="25" t="s">
        <v>208</v>
      </c>
      <c r="B1269">
        <v>2238</v>
      </c>
      <c r="C1269" t="s">
        <v>189</v>
      </c>
      <c r="D1269">
        <v>10410</v>
      </c>
      <c r="E1269" s="1">
        <v>2.7000000000000001E-3</v>
      </c>
      <c r="F1269" s="1">
        <v>0.49669999999999997</v>
      </c>
      <c r="H1269" s="1">
        <v>0.50060000000000004</v>
      </c>
    </row>
    <row r="1270" spans="1:8">
      <c r="A1270" s="25" t="s">
        <v>209</v>
      </c>
      <c r="B1270">
        <v>932</v>
      </c>
      <c r="C1270" t="s">
        <v>189</v>
      </c>
      <c r="D1270">
        <v>10410</v>
      </c>
      <c r="E1270" s="1">
        <v>1.1999999999999999E-3</v>
      </c>
      <c r="F1270" s="1">
        <v>0.43569999999999998</v>
      </c>
      <c r="G1270" s="1">
        <v>5.9999999999999995E-4</v>
      </c>
      <c r="H1270" s="1">
        <v>0.5625</v>
      </c>
    </row>
    <row r="1271" spans="1:8">
      <c r="A1271" s="25" t="s">
        <v>192</v>
      </c>
      <c r="B1271">
        <v>10410</v>
      </c>
      <c r="C1271" t="s">
        <v>192</v>
      </c>
      <c r="D1271">
        <v>10410</v>
      </c>
      <c r="E1271" s="1">
        <v>3.3999999999999998E-3</v>
      </c>
      <c r="F1271" s="1">
        <v>0.4516</v>
      </c>
      <c r="G1271" s="1">
        <v>2E-3</v>
      </c>
      <c r="H1271" s="1">
        <v>0.54300000000000004</v>
      </c>
    </row>
    <row r="1273" spans="1:8" ht="43.5">
      <c r="A1273" s="25" t="s">
        <v>493</v>
      </c>
    </row>
    <row r="1274" spans="1:8">
      <c r="A1274" s="25" t="s">
        <v>182</v>
      </c>
      <c r="B1274" t="s">
        <v>219</v>
      </c>
      <c r="C1274" t="s">
        <v>181</v>
      </c>
      <c r="D1274" t="s">
        <v>188</v>
      </c>
      <c r="E1274" t="s">
        <v>241</v>
      </c>
      <c r="F1274" t="s">
        <v>220</v>
      </c>
      <c r="G1274" t="s">
        <v>243</v>
      </c>
      <c r="H1274" t="s">
        <v>221</v>
      </c>
    </row>
    <row r="1275" spans="1:8">
      <c r="A1275" s="25" t="s">
        <v>211</v>
      </c>
      <c r="B1275">
        <v>4960</v>
      </c>
      <c r="C1275" t="s">
        <v>189</v>
      </c>
      <c r="D1275">
        <v>10410</v>
      </c>
      <c r="E1275" s="1">
        <v>3.0000000000000001E-3</v>
      </c>
      <c r="F1275" s="1">
        <v>0.44369999999999998</v>
      </c>
      <c r="G1275" s="1">
        <v>2.5999999999999999E-3</v>
      </c>
      <c r="H1275" s="1">
        <v>0.55069999999999997</v>
      </c>
    </row>
    <row r="1276" spans="1:8">
      <c r="A1276" s="25" t="s">
        <v>212</v>
      </c>
      <c r="B1276">
        <v>3371</v>
      </c>
      <c r="C1276" t="s">
        <v>189</v>
      </c>
      <c r="D1276">
        <v>10410</v>
      </c>
      <c r="E1276" s="1">
        <v>4.3E-3</v>
      </c>
      <c r="F1276" s="1">
        <v>0.4032</v>
      </c>
      <c r="G1276" s="1">
        <v>2.3999999999999998E-3</v>
      </c>
      <c r="H1276" s="1">
        <v>0.59009999999999996</v>
      </c>
    </row>
    <row r="1277" spans="1:8">
      <c r="A1277" s="25" t="s">
        <v>213</v>
      </c>
      <c r="B1277">
        <v>2079</v>
      </c>
      <c r="C1277" t="s">
        <v>189</v>
      </c>
      <c r="D1277">
        <v>10410</v>
      </c>
      <c r="E1277" s="1">
        <v>2.8999999999999998E-3</v>
      </c>
      <c r="F1277" s="1">
        <v>0.53779999999999994</v>
      </c>
      <c r="H1277" s="1">
        <v>0.45929999999999999</v>
      </c>
    </row>
    <row r="1278" spans="1:8">
      <c r="A1278" s="25" t="s">
        <v>192</v>
      </c>
      <c r="B1278">
        <v>10410</v>
      </c>
      <c r="C1278" t="s">
        <v>192</v>
      </c>
      <c r="D1278">
        <v>10410</v>
      </c>
      <c r="E1278" s="1">
        <v>3.3999999999999998E-3</v>
      </c>
      <c r="F1278" s="1">
        <v>0.4516</v>
      </c>
      <c r="G1278" s="1">
        <v>2E-3</v>
      </c>
      <c r="H1278" s="1">
        <v>0.54300000000000004</v>
      </c>
    </row>
    <row r="1280" spans="1:8" ht="43.5">
      <c r="A1280" s="25" t="s">
        <v>494</v>
      </c>
    </row>
    <row r="1281" spans="1:11">
      <c r="A1281" s="25" t="s">
        <v>182</v>
      </c>
      <c r="B1281" t="s">
        <v>219</v>
      </c>
      <c r="C1281" t="s">
        <v>181</v>
      </c>
      <c r="D1281" t="s">
        <v>188</v>
      </c>
      <c r="E1281" t="s">
        <v>241</v>
      </c>
      <c r="F1281" t="s">
        <v>324</v>
      </c>
      <c r="G1281" t="s">
        <v>243</v>
      </c>
      <c r="H1281" t="s">
        <v>495</v>
      </c>
      <c r="I1281" t="s">
        <v>496</v>
      </c>
      <c r="J1281" t="s">
        <v>497</v>
      </c>
      <c r="K1281" t="s">
        <v>498</v>
      </c>
    </row>
    <row r="1282" spans="1:11">
      <c r="A1282" s="25" t="s">
        <v>190</v>
      </c>
      <c r="B1282">
        <v>4903</v>
      </c>
      <c r="C1282" t="s">
        <v>189</v>
      </c>
      <c r="D1282">
        <v>10434</v>
      </c>
      <c r="E1282" s="1">
        <v>1.1999999999999999E-3</v>
      </c>
      <c r="F1282" s="1">
        <v>0.78669999999999995</v>
      </c>
      <c r="G1282" s="1">
        <v>1.1999999999999999E-3</v>
      </c>
      <c r="H1282" s="1">
        <v>3.1800000000000002E-2</v>
      </c>
      <c r="I1282" s="1">
        <v>1.4999999999999999E-2</v>
      </c>
      <c r="J1282" s="1">
        <v>7.6799999999999993E-2</v>
      </c>
      <c r="K1282" s="1">
        <v>9.2200000000000004E-2</v>
      </c>
    </row>
    <row r="1283" spans="1:11">
      <c r="A1283" s="25" t="s">
        <v>191</v>
      </c>
      <c r="B1283">
        <v>5474</v>
      </c>
      <c r="C1283" t="s">
        <v>189</v>
      </c>
      <c r="D1283">
        <v>10434</v>
      </c>
      <c r="E1283" s="1">
        <v>1.2999999999999999E-3</v>
      </c>
      <c r="F1283" s="1">
        <v>0.82699999999999996</v>
      </c>
      <c r="G1283" s="1">
        <v>5.0000000000000001E-4</v>
      </c>
      <c r="H1283" s="1">
        <v>2.4299999999999999E-2</v>
      </c>
      <c r="I1283" s="1">
        <v>1.4999999999999999E-2</v>
      </c>
      <c r="J1283" s="1">
        <v>6.1600000000000002E-2</v>
      </c>
      <c r="K1283" s="1">
        <v>7.6100000000000001E-2</v>
      </c>
    </row>
    <row r="1284" spans="1:11">
      <c r="A1284" s="25" t="s">
        <v>192</v>
      </c>
      <c r="B1284">
        <v>10434</v>
      </c>
      <c r="C1284" t="s">
        <v>192</v>
      </c>
      <c r="D1284">
        <v>10434</v>
      </c>
      <c r="E1284" s="1">
        <v>1.2999999999999999E-3</v>
      </c>
      <c r="F1284" s="1">
        <v>0.8115</v>
      </c>
      <c r="G1284" s="1">
        <v>8.0000000000000004E-4</v>
      </c>
      <c r="H1284" s="1">
        <v>2.7199999999999998E-2</v>
      </c>
      <c r="I1284" s="1">
        <v>1.4999999999999999E-2</v>
      </c>
      <c r="J1284" s="1">
        <v>6.7500000000000004E-2</v>
      </c>
      <c r="K1284" s="1">
        <v>8.2299999999999998E-2</v>
      </c>
    </row>
    <row r="1286" spans="1:11" ht="57.95">
      <c r="A1286" s="25" t="s">
        <v>499</v>
      </c>
    </row>
    <row r="1287" spans="1:11">
      <c r="A1287" s="25" t="s">
        <v>182</v>
      </c>
      <c r="B1287" t="s">
        <v>219</v>
      </c>
      <c r="C1287" t="s">
        <v>181</v>
      </c>
      <c r="D1287" t="s">
        <v>188</v>
      </c>
      <c r="E1287" t="s">
        <v>241</v>
      </c>
      <c r="F1287" t="s">
        <v>324</v>
      </c>
      <c r="G1287" t="s">
        <v>243</v>
      </c>
      <c r="H1287" t="s">
        <v>495</v>
      </c>
      <c r="I1287" t="s">
        <v>496</v>
      </c>
      <c r="J1287" t="s">
        <v>497</v>
      </c>
      <c r="K1287" t="s">
        <v>498</v>
      </c>
    </row>
    <row r="1288" spans="1:11" ht="29.1">
      <c r="A1288" s="25" t="s">
        <v>194</v>
      </c>
      <c r="B1288">
        <v>5954</v>
      </c>
      <c r="C1288" t="s">
        <v>189</v>
      </c>
      <c r="D1288">
        <v>10434</v>
      </c>
      <c r="E1288" s="1">
        <v>1.6000000000000001E-3</v>
      </c>
      <c r="F1288" s="1">
        <v>0.81110000000000004</v>
      </c>
      <c r="G1288" s="1">
        <v>1E-3</v>
      </c>
      <c r="H1288" s="1">
        <v>2.8899999999999999E-2</v>
      </c>
      <c r="I1288" s="1">
        <v>1.3299999999999999E-2</v>
      </c>
      <c r="J1288" s="1">
        <v>6.4000000000000001E-2</v>
      </c>
      <c r="K1288" s="1">
        <v>8.4900000000000003E-2</v>
      </c>
    </row>
    <row r="1289" spans="1:11" ht="29.1">
      <c r="A1289" s="25" t="s">
        <v>195</v>
      </c>
      <c r="B1289">
        <v>2703</v>
      </c>
      <c r="C1289" t="s">
        <v>189</v>
      </c>
      <c r="D1289">
        <v>10434</v>
      </c>
      <c r="E1289" s="1">
        <v>1E-4</v>
      </c>
      <c r="F1289" s="1">
        <v>0.81289999999999996</v>
      </c>
      <c r="G1289" s="1">
        <v>2.9999999999999997E-4</v>
      </c>
      <c r="H1289" s="1">
        <v>2.5399999999999999E-2</v>
      </c>
      <c r="I1289" s="1">
        <v>1.7299999999999999E-2</v>
      </c>
      <c r="J1289" s="1">
        <v>7.3899999999999993E-2</v>
      </c>
      <c r="K1289" s="1">
        <v>7.5600000000000001E-2</v>
      </c>
    </row>
    <row r="1290" spans="1:11" ht="29.1">
      <c r="A1290" s="25" t="s">
        <v>196</v>
      </c>
      <c r="B1290">
        <v>1720</v>
      </c>
      <c r="C1290" t="s">
        <v>189</v>
      </c>
      <c r="D1290">
        <v>10434</v>
      </c>
      <c r="E1290" s="1">
        <v>1.2999999999999999E-3</v>
      </c>
      <c r="F1290" s="1">
        <v>0.81269999999999998</v>
      </c>
      <c r="H1290" s="1">
        <v>1.8100000000000002E-2</v>
      </c>
      <c r="I1290" s="1">
        <v>2.3300000000000001E-2</v>
      </c>
      <c r="J1290" s="1">
        <v>7.9899999999999999E-2</v>
      </c>
      <c r="K1290" s="1">
        <v>7.6100000000000001E-2</v>
      </c>
    </row>
    <row r="1291" spans="1:11">
      <c r="A1291" s="25" t="s">
        <v>192</v>
      </c>
      <c r="B1291">
        <v>10434</v>
      </c>
      <c r="C1291" t="s">
        <v>192</v>
      </c>
      <c r="D1291">
        <v>10434</v>
      </c>
      <c r="E1291" s="1">
        <v>1.2999999999999999E-3</v>
      </c>
      <c r="F1291" s="1">
        <v>0.8115</v>
      </c>
      <c r="G1291" s="1">
        <v>8.0000000000000004E-4</v>
      </c>
      <c r="H1291" s="1">
        <v>2.7199999999999998E-2</v>
      </c>
      <c r="I1291" s="1">
        <v>1.4999999999999999E-2</v>
      </c>
      <c r="J1291" s="1">
        <v>6.7500000000000004E-2</v>
      </c>
      <c r="K1291" s="1">
        <v>8.2299999999999998E-2</v>
      </c>
    </row>
    <row r="1293" spans="1:11" ht="43.5">
      <c r="A1293" s="25" t="s">
        <v>500</v>
      </c>
    </row>
    <row r="1294" spans="1:11">
      <c r="A1294" s="25" t="s">
        <v>182</v>
      </c>
      <c r="B1294" t="s">
        <v>219</v>
      </c>
      <c r="C1294" t="s">
        <v>181</v>
      </c>
      <c r="D1294" t="s">
        <v>188</v>
      </c>
      <c r="E1294" t="s">
        <v>241</v>
      </c>
      <c r="F1294" t="s">
        <v>324</v>
      </c>
      <c r="G1294" t="s">
        <v>243</v>
      </c>
      <c r="H1294" t="s">
        <v>495</v>
      </c>
      <c r="I1294" t="s">
        <v>496</v>
      </c>
      <c r="J1294" t="s">
        <v>497</v>
      </c>
      <c r="K1294" t="s">
        <v>498</v>
      </c>
    </row>
    <row r="1295" spans="1:11">
      <c r="A1295" s="25" t="s">
        <v>198</v>
      </c>
      <c r="B1295">
        <v>2264</v>
      </c>
      <c r="C1295" t="s">
        <v>189</v>
      </c>
      <c r="D1295">
        <v>10434</v>
      </c>
      <c r="E1295" s="1">
        <v>8.9999999999999998E-4</v>
      </c>
      <c r="F1295" s="1">
        <v>0.5736</v>
      </c>
      <c r="G1295" s="1">
        <v>1.2999999999999999E-3</v>
      </c>
      <c r="H1295" s="1">
        <v>6.8699999999999997E-2</v>
      </c>
      <c r="I1295" s="1">
        <v>5.8700000000000002E-2</v>
      </c>
      <c r="J1295" s="1">
        <v>0.15629999999999999</v>
      </c>
      <c r="K1295" s="1">
        <v>0.156</v>
      </c>
    </row>
    <row r="1296" spans="1:11">
      <c r="A1296" s="25" t="s">
        <v>199</v>
      </c>
      <c r="B1296">
        <v>8170</v>
      </c>
      <c r="C1296" t="s">
        <v>189</v>
      </c>
      <c r="D1296">
        <v>10434</v>
      </c>
      <c r="E1296" s="1">
        <v>1.4E-3</v>
      </c>
      <c r="F1296" s="1">
        <v>0.86480000000000001</v>
      </c>
      <c r="G1296" s="1">
        <v>6.9999999999999999E-4</v>
      </c>
      <c r="H1296" s="1">
        <v>1.7899999999999999E-2</v>
      </c>
      <c r="I1296" s="1">
        <v>5.1999999999999998E-3</v>
      </c>
      <c r="J1296" s="1">
        <v>4.7600000000000003E-2</v>
      </c>
      <c r="K1296" s="1">
        <v>6.5799999999999997E-2</v>
      </c>
    </row>
    <row r="1297" spans="1:11">
      <c r="A1297" s="25" t="s">
        <v>192</v>
      </c>
      <c r="B1297">
        <v>10434</v>
      </c>
      <c r="C1297" t="s">
        <v>192</v>
      </c>
      <c r="D1297">
        <v>10434</v>
      </c>
      <c r="E1297" s="1">
        <v>1.2999999999999999E-3</v>
      </c>
      <c r="F1297" s="1">
        <v>0.8115</v>
      </c>
      <c r="G1297" s="1">
        <v>8.0000000000000004E-4</v>
      </c>
      <c r="H1297" s="1">
        <v>2.7199999999999998E-2</v>
      </c>
      <c r="I1297" s="1">
        <v>1.4999999999999999E-2</v>
      </c>
      <c r="J1297" s="1">
        <v>6.7500000000000004E-2</v>
      </c>
      <c r="K1297" s="1">
        <v>8.2299999999999998E-2</v>
      </c>
    </row>
    <row r="1299" spans="1:11" ht="43.5">
      <c r="A1299" s="25" t="s">
        <v>501</v>
      </c>
    </row>
    <row r="1300" spans="1:11">
      <c r="A1300" s="25" t="s">
        <v>182</v>
      </c>
      <c r="B1300" t="s">
        <v>219</v>
      </c>
      <c r="C1300" t="s">
        <v>181</v>
      </c>
      <c r="D1300" t="s">
        <v>188</v>
      </c>
      <c r="E1300" t="s">
        <v>241</v>
      </c>
      <c r="F1300" t="s">
        <v>324</v>
      </c>
      <c r="G1300" t="s">
        <v>243</v>
      </c>
      <c r="H1300" t="s">
        <v>495</v>
      </c>
      <c r="I1300" t="s">
        <v>496</v>
      </c>
      <c r="J1300" t="s">
        <v>497</v>
      </c>
      <c r="K1300" t="s">
        <v>498</v>
      </c>
    </row>
    <row r="1301" spans="1:11">
      <c r="A1301" s="25" t="s">
        <v>201</v>
      </c>
      <c r="B1301">
        <v>767</v>
      </c>
      <c r="C1301" t="s">
        <v>189</v>
      </c>
      <c r="D1301">
        <v>10434</v>
      </c>
      <c r="F1301" s="1">
        <v>0.79169999999999996</v>
      </c>
      <c r="H1301" s="1">
        <v>3.0800000000000001E-2</v>
      </c>
      <c r="I1301" s="1">
        <v>2.75E-2</v>
      </c>
      <c r="J1301" s="1">
        <v>8.1100000000000005E-2</v>
      </c>
      <c r="K1301" s="1">
        <v>7.5499999999999998E-2</v>
      </c>
    </row>
    <row r="1302" spans="1:11">
      <c r="A1302" s="25" t="s">
        <v>202</v>
      </c>
      <c r="B1302">
        <v>110</v>
      </c>
      <c r="C1302" t="s">
        <v>189</v>
      </c>
      <c r="D1302">
        <v>10434</v>
      </c>
      <c r="F1302" s="1">
        <v>0.76280000000000003</v>
      </c>
      <c r="H1302" s="1">
        <v>5.2200000000000003E-2</v>
      </c>
      <c r="I1302" s="1">
        <v>4.0000000000000001E-3</v>
      </c>
      <c r="J1302" s="1">
        <v>8.7499999999999994E-2</v>
      </c>
      <c r="K1302" s="1">
        <v>0.1321</v>
      </c>
    </row>
    <row r="1303" spans="1:11">
      <c r="A1303" s="25" t="s">
        <v>203</v>
      </c>
      <c r="B1303">
        <v>8042</v>
      </c>
      <c r="C1303" t="s">
        <v>189</v>
      </c>
      <c r="D1303">
        <v>10434</v>
      </c>
      <c r="E1303" s="1">
        <v>5.9999999999999995E-4</v>
      </c>
      <c r="F1303" s="1">
        <v>0.80630000000000002</v>
      </c>
      <c r="G1303" s="1">
        <v>8.0000000000000004E-4</v>
      </c>
      <c r="H1303" s="1">
        <v>2.5999999999999999E-2</v>
      </c>
      <c r="I1303" s="1">
        <v>1.4800000000000001E-2</v>
      </c>
      <c r="J1303" s="1">
        <v>6.9900000000000004E-2</v>
      </c>
      <c r="K1303" s="1">
        <v>8.6999999999999994E-2</v>
      </c>
    </row>
    <row r="1304" spans="1:11">
      <c r="A1304" s="25" t="s">
        <v>204</v>
      </c>
      <c r="B1304">
        <v>31</v>
      </c>
      <c r="C1304" t="s">
        <v>189</v>
      </c>
      <c r="D1304">
        <v>10434</v>
      </c>
      <c r="F1304" s="1">
        <v>0.82569999999999999</v>
      </c>
      <c r="I1304" s="1">
        <v>6.0999999999999999E-2</v>
      </c>
      <c r="J1304" s="1">
        <v>1.6400000000000001E-2</v>
      </c>
      <c r="K1304" s="1">
        <v>9.69E-2</v>
      </c>
    </row>
    <row r="1305" spans="1:11">
      <c r="A1305" s="25" t="s">
        <v>205</v>
      </c>
      <c r="B1305">
        <v>1484</v>
      </c>
      <c r="C1305" t="s">
        <v>189</v>
      </c>
      <c r="D1305">
        <v>10434</v>
      </c>
      <c r="E1305" s="1">
        <v>5.8999999999999999E-3</v>
      </c>
      <c r="F1305" s="1">
        <v>0.85299999999999998</v>
      </c>
      <c r="G1305" s="1">
        <v>1E-3</v>
      </c>
      <c r="H1305" s="1">
        <v>3.15E-2</v>
      </c>
      <c r="I1305" s="1">
        <v>1.01E-2</v>
      </c>
      <c r="J1305" s="1">
        <v>4.6899999999999997E-2</v>
      </c>
      <c r="K1305" s="1">
        <v>5.6500000000000002E-2</v>
      </c>
    </row>
    <row r="1306" spans="1:11">
      <c r="A1306" s="25" t="s">
        <v>192</v>
      </c>
      <c r="B1306">
        <v>10434</v>
      </c>
      <c r="C1306" t="s">
        <v>192</v>
      </c>
      <c r="D1306">
        <v>10434</v>
      </c>
      <c r="E1306" s="1">
        <v>1.2999999999999999E-3</v>
      </c>
      <c r="F1306" s="1">
        <v>0.8115</v>
      </c>
      <c r="G1306" s="1">
        <v>8.0000000000000004E-4</v>
      </c>
      <c r="H1306" s="1">
        <v>2.7199999999999998E-2</v>
      </c>
      <c r="I1306" s="1">
        <v>1.4999999999999999E-2</v>
      </c>
      <c r="J1306" s="1">
        <v>6.7500000000000004E-2</v>
      </c>
      <c r="K1306" s="1">
        <v>8.2299999999999998E-2</v>
      </c>
    </row>
    <row r="1308" spans="1:11" ht="43.5">
      <c r="A1308" s="25" t="s">
        <v>502</v>
      </c>
    </row>
    <row r="1309" spans="1:11">
      <c r="A1309" s="25" t="s">
        <v>182</v>
      </c>
      <c r="B1309" t="s">
        <v>219</v>
      </c>
      <c r="C1309" t="s">
        <v>181</v>
      </c>
      <c r="D1309" t="s">
        <v>188</v>
      </c>
      <c r="E1309" t="s">
        <v>241</v>
      </c>
      <c r="F1309" t="s">
        <v>324</v>
      </c>
      <c r="G1309" t="s">
        <v>243</v>
      </c>
      <c r="H1309" t="s">
        <v>495</v>
      </c>
      <c r="I1309" t="s">
        <v>496</v>
      </c>
      <c r="J1309" t="s">
        <v>497</v>
      </c>
      <c r="K1309" t="s">
        <v>498</v>
      </c>
    </row>
    <row r="1310" spans="1:11">
      <c r="A1310" s="25" t="s">
        <v>207</v>
      </c>
      <c r="B1310">
        <v>7254</v>
      </c>
      <c r="C1310" t="s">
        <v>189</v>
      </c>
      <c r="D1310">
        <v>10434</v>
      </c>
      <c r="E1310" s="1">
        <v>5.9999999999999995E-4</v>
      </c>
      <c r="F1310" s="1">
        <v>0.79890000000000005</v>
      </c>
      <c r="G1310" s="1">
        <v>6.9999999999999999E-4</v>
      </c>
      <c r="H1310" s="1">
        <v>2.8400000000000002E-2</v>
      </c>
      <c r="I1310" s="1">
        <v>1.61E-2</v>
      </c>
      <c r="J1310" s="1">
        <v>7.3200000000000001E-2</v>
      </c>
      <c r="K1310" s="1">
        <v>8.8400000000000006E-2</v>
      </c>
    </row>
    <row r="1311" spans="1:11">
      <c r="A1311" s="25" t="s">
        <v>208</v>
      </c>
      <c r="B1311">
        <v>2245</v>
      </c>
      <c r="C1311" t="s">
        <v>189</v>
      </c>
      <c r="D1311">
        <v>10434</v>
      </c>
      <c r="E1311" s="1">
        <v>3.7000000000000002E-3</v>
      </c>
      <c r="F1311" s="1">
        <v>0.87370000000000003</v>
      </c>
      <c r="G1311" s="1">
        <v>1E-3</v>
      </c>
      <c r="H1311" s="1">
        <v>1.7100000000000001E-2</v>
      </c>
      <c r="I1311" s="1">
        <v>7.1000000000000004E-3</v>
      </c>
      <c r="J1311" s="1">
        <v>4.53E-2</v>
      </c>
      <c r="K1311" s="1">
        <v>5.21E-2</v>
      </c>
    </row>
    <row r="1312" spans="1:11">
      <c r="A1312" s="25" t="s">
        <v>209</v>
      </c>
      <c r="B1312">
        <v>935</v>
      </c>
      <c r="C1312" t="s">
        <v>189</v>
      </c>
      <c r="D1312">
        <v>10434</v>
      </c>
      <c r="E1312" s="1">
        <v>2.9999999999999997E-4</v>
      </c>
      <c r="F1312" s="1">
        <v>0.74519999999999997</v>
      </c>
      <c r="G1312" s="1">
        <v>6.9999999999999999E-4</v>
      </c>
      <c r="H1312" s="1">
        <v>4.5199999999999997E-2</v>
      </c>
      <c r="I1312" s="1">
        <v>2.8299999999999999E-2</v>
      </c>
      <c r="J1312" s="1">
        <v>8.0500000000000002E-2</v>
      </c>
      <c r="K1312" s="1">
        <v>0.11459999999999999</v>
      </c>
    </row>
    <row r="1313" spans="1:11">
      <c r="A1313" s="25" t="s">
        <v>192</v>
      </c>
      <c r="B1313">
        <v>10434</v>
      </c>
      <c r="C1313" t="s">
        <v>192</v>
      </c>
      <c r="D1313">
        <v>10434</v>
      </c>
      <c r="E1313" s="1">
        <v>1.2999999999999999E-3</v>
      </c>
      <c r="F1313" s="1">
        <v>0.8115</v>
      </c>
      <c r="G1313" s="1">
        <v>8.0000000000000004E-4</v>
      </c>
      <c r="H1313" s="1">
        <v>2.7199999999999998E-2</v>
      </c>
      <c r="I1313" s="1">
        <v>1.4999999999999999E-2</v>
      </c>
      <c r="J1313" s="1">
        <v>6.7500000000000004E-2</v>
      </c>
      <c r="K1313" s="1">
        <v>8.2299999999999998E-2</v>
      </c>
    </row>
    <row r="1315" spans="1:11" ht="43.5">
      <c r="A1315" s="25" t="s">
        <v>503</v>
      </c>
    </row>
    <row r="1316" spans="1:11">
      <c r="A1316" s="25" t="s">
        <v>182</v>
      </c>
      <c r="B1316" t="s">
        <v>219</v>
      </c>
      <c r="C1316" t="s">
        <v>181</v>
      </c>
      <c r="D1316" t="s">
        <v>188</v>
      </c>
      <c r="E1316" t="s">
        <v>241</v>
      </c>
      <c r="F1316" t="s">
        <v>324</v>
      </c>
      <c r="G1316" t="s">
        <v>243</v>
      </c>
      <c r="H1316" t="s">
        <v>495</v>
      </c>
      <c r="I1316" t="s">
        <v>496</v>
      </c>
      <c r="J1316" t="s">
        <v>497</v>
      </c>
      <c r="K1316" t="s">
        <v>498</v>
      </c>
    </row>
    <row r="1317" spans="1:11">
      <c r="A1317" s="25" t="s">
        <v>211</v>
      </c>
      <c r="B1317">
        <v>4972</v>
      </c>
      <c r="C1317" t="s">
        <v>189</v>
      </c>
      <c r="D1317">
        <v>10434</v>
      </c>
      <c r="E1317" s="1">
        <v>2.0000000000000001E-4</v>
      </c>
      <c r="F1317" s="1">
        <v>0.79690000000000005</v>
      </c>
      <c r="G1317" s="1">
        <v>2.0000000000000001E-4</v>
      </c>
      <c r="H1317" s="1">
        <v>2.4799999999999999E-2</v>
      </c>
      <c r="I1317" s="1">
        <v>1.61E-2</v>
      </c>
      <c r="J1317" s="1">
        <v>7.17E-2</v>
      </c>
      <c r="K1317" s="1">
        <v>9.5200000000000007E-2</v>
      </c>
    </row>
    <row r="1318" spans="1:11">
      <c r="A1318" s="25" t="s">
        <v>212</v>
      </c>
      <c r="B1318">
        <v>3376</v>
      </c>
      <c r="C1318" t="s">
        <v>189</v>
      </c>
      <c r="D1318">
        <v>10434</v>
      </c>
      <c r="E1318" s="1">
        <v>2.2000000000000001E-3</v>
      </c>
      <c r="F1318" s="1">
        <v>0.82779999999999998</v>
      </c>
      <c r="G1318" s="1">
        <v>1.2999999999999999E-3</v>
      </c>
      <c r="H1318" s="1">
        <v>3.3700000000000001E-2</v>
      </c>
      <c r="I1318" s="1">
        <v>1.5299999999999999E-2</v>
      </c>
      <c r="J1318" s="1">
        <v>6.4299999999999996E-2</v>
      </c>
      <c r="K1318" s="1">
        <v>6.0400000000000002E-2</v>
      </c>
    </row>
    <row r="1319" spans="1:11">
      <c r="A1319" s="25" t="s">
        <v>213</v>
      </c>
      <c r="B1319">
        <v>2086</v>
      </c>
      <c r="C1319" t="s">
        <v>189</v>
      </c>
      <c r="D1319">
        <v>10434</v>
      </c>
      <c r="E1319" s="1">
        <v>2.3E-3</v>
      </c>
      <c r="F1319" s="1">
        <v>0.8196</v>
      </c>
      <c r="G1319" s="1">
        <v>1.1999999999999999E-3</v>
      </c>
      <c r="H1319" s="1">
        <v>2.3E-2</v>
      </c>
      <c r="I1319" s="1">
        <v>1.2500000000000001E-2</v>
      </c>
      <c r="J1319" s="1">
        <v>6.3E-2</v>
      </c>
      <c r="K1319" s="1">
        <v>8.5699999999999998E-2</v>
      </c>
    </row>
    <row r="1320" spans="1:11">
      <c r="A1320" s="25" t="s">
        <v>192</v>
      </c>
      <c r="B1320">
        <v>10434</v>
      </c>
      <c r="C1320" t="s">
        <v>192</v>
      </c>
      <c r="D1320">
        <v>10434</v>
      </c>
      <c r="E1320" s="1">
        <v>1.2999999999999999E-3</v>
      </c>
      <c r="F1320" s="1">
        <v>0.8115</v>
      </c>
      <c r="G1320" s="1">
        <v>8.0000000000000004E-4</v>
      </c>
      <c r="H1320" s="1">
        <v>2.7199999999999998E-2</v>
      </c>
      <c r="I1320" s="1">
        <v>1.4999999999999999E-2</v>
      </c>
      <c r="J1320" s="1">
        <v>6.7500000000000004E-2</v>
      </c>
      <c r="K1320" s="1">
        <v>8.2299999999999998E-2</v>
      </c>
    </row>
    <row r="1322" spans="1:11" ht="43.5">
      <c r="A1322" s="25" t="s">
        <v>504</v>
      </c>
    </row>
    <row r="1323" spans="1:11">
      <c r="A1323" s="25" t="s">
        <v>182</v>
      </c>
      <c r="B1323" t="s">
        <v>219</v>
      </c>
      <c r="C1323" t="s">
        <v>181</v>
      </c>
      <c r="D1323" t="s">
        <v>188</v>
      </c>
      <c r="E1323" t="s">
        <v>505</v>
      </c>
      <c r="F1323" t="s">
        <v>506</v>
      </c>
      <c r="G1323" t="s">
        <v>241</v>
      </c>
      <c r="H1323" t="s">
        <v>324</v>
      </c>
      <c r="I1323" t="s">
        <v>243</v>
      </c>
      <c r="J1323" t="s">
        <v>507</v>
      </c>
    </row>
    <row r="1324" spans="1:11">
      <c r="A1324" s="25" t="s">
        <v>190</v>
      </c>
      <c r="B1324">
        <v>4903</v>
      </c>
      <c r="C1324" t="s">
        <v>189</v>
      </c>
      <c r="D1324">
        <v>10434</v>
      </c>
      <c r="E1324" s="1">
        <v>7.0900000000000005E-2</v>
      </c>
      <c r="F1324" s="1">
        <v>5.0000000000000001E-3</v>
      </c>
      <c r="G1324" s="1">
        <v>2.0000000000000001E-4</v>
      </c>
      <c r="H1324" s="1">
        <v>0.58889999999999998</v>
      </c>
      <c r="I1324" s="1">
        <v>1E-4</v>
      </c>
      <c r="J1324" s="1">
        <v>0.33500000000000002</v>
      </c>
    </row>
    <row r="1325" spans="1:11">
      <c r="A1325" s="25" t="s">
        <v>191</v>
      </c>
      <c r="B1325">
        <v>5474</v>
      </c>
      <c r="C1325" t="s">
        <v>189</v>
      </c>
      <c r="D1325">
        <v>10434</v>
      </c>
      <c r="E1325" s="1">
        <v>5.4699999999999999E-2</v>
      </c>
      <c r="F1325" s="1">
        <v>3.3999999999999998E-3</v>
      </c>
      <c r="G1325" s="1">
        <v>8.0000000000000004E-4</v>
      </c>
      <c r="H1325" s="1">
        <v>0.67279999999999995</v>
      </c>
      <c r="I1325" s="1">
        <v>0</v>
      </c>
      <c r="J1325" s="1">
        <v>0.26829999999999998</v>
      </c>
    </row>
    <row r="1326" spans="1:11">
      <c r="A1326" s="25" t="s">
        <v>192</v>
      </c>
      <c r="B1326">
        <v>10434</v>
      </c>
      <c r="C1326" t="s">
        <v>192</v>
      </c>
      <c r="D1326">
        <v>10434</v>
      </c>
      <c r="E1326" s="1">
        <v>6.0900000000000003E-2</v>
      </c>
      <c r="F1326" s="1">
        <v>4.0000000000000001E-3</v>
      </c>
      <c r="G1326" s="1">
        <v>5.9999999999999995E-4</v>
      </c>
      <c r="H1326" s="1">
        <v>0.64080000000000004</v>
      </c>
      <c r="I1326" s="1">
        <v>0</v>
      </c>
      <c r="J1326" s="1">
        <v>0.29370000000000002</v>
      </c>
    </row>
    <row r="1328" spans="1:11" ht="57.95">
      <c r="A1328" s="25" t="s">
        <v>508</v>
      </c>
    </row>
    <row r="1329" spans="1:10">
      <c r="A1329" s="25" t="s">
        <v>182</v>
      </c>
      <c r="B1329" t="s">
        <v>219</v>
      </c>
      <c r="C1329" t="s">
        <v>181</v>
      </c>
      <c r="D1329" t="s">
        <v>188</v>
      </c>
      <c r="E1329" t="s">
        <v>505</v>
      </c>
      <c r="F1329" t="s">
        <v>506</v>
      </c>
      <c r="G1329" t="s">
        <v>241</v>
      </c>
      <c r="H1329" t="s">
        <v>324</v>
      </c>
      <c r="I1329" t="s">
        <v>243</v>
      </c>
      <c r="J1329" t="s">
        <v>507</v>
      </c>
    </row>
    <row r="1330" spans="1:10" ht="29.1">
      <c r="A1330" s="25" t="s">
        <v>194</v>
      </c>
      <c r="B1330">
        <v>5954</v>
      </c>
      <c r="C1330" t="s">
        <v>189</v>
      </c>
      <c r="D1330">
        <v>10434</v>
      </c>
      <c r="E1330" s="1">
        <v>5.8200000000000002E-2</v>
      </c>
      <c r="F1330" s="1">
        <v>3.0000000000000001E-3</v>
      </c>
      <c r="G1330" s="1">
        <v>2.0000000000000001E-4</v>
      </c>
      <c r="H1330" s="1">
        <v>0.63129999999999997</v>
      </c>
      <c r="J1330" s="1">
        <v>0.30740000000000001</v>
      </c>
    </row>
    <row r="1331" spans="1:10" ht="29.1">
      <c r="A1331" s="25" t="s">
        <v>195</v>
      </c>
      <c r="B1331">
        <v>2703</v>
      </c>
      <c r="C1331" t="s">
        <v>189</v>
      </c>
      <c r="D1331">
        <v>10434</v>
      </c>
      <c r="E1331" s="1">
        <v>6.0900000000000003E-2</v>
      </c>
      <c r="F1331" s="1">
        <v>4.7999999999999996E-3</v>
      </c>
      <c r="G1331" s="1">
        <v>2.9999999999999997E-4</v>
      </c>
      <c r="H1331" s="1">
        <v>0.66749999999999998</v>
      </c>
      <c r="I1331" s="1">
        <v>2.0000000000000001E-4</v>
      </c>
      <c r="J1331" s="1">
        <v>0.26629999999999998</v>
      </c>
    </row>
    <row r="1332" spans="1:10" ht="29.1">
      <c r="A1332" s="25" t="s">
        <v>196</v>
      </c>
      <c r="B1332">
        <v>1720</v>
      </c>
      <c r="C1332" t="s">
        <v>189</v>
      </c>
      <c r="D1332">
        <v>10434</v>
      </c>
      <c r="E1332" s="1">
        <v>8.14E-2</v>
      </c>
      <c r="F1332" s="1">
        <v>0.01</v>
      </c>
      <c r="G1332" s="1">
        <v>4.0000000000000001E-3</v>
      </c>
      <c r="H1332" s="1">
        <v>0.6583</v>
      </c>
      <c r="I1332" s="1">
        <v>2.0000000000000001E-4</v>
      </c>
      <c r="J1332" s="1">
        <v>0.24610000000000001</v>
      </c>
    </row>
    <row r="1333" spans="1:10">
      <c r="A1333" s="25" t="s">
        <v>192</v>
      </c>
      <c r="B1333">
        <v>10434</v>
      </c>
      <c r="C1333" t="s">
        <v>192</v>
      </c>
      <c r="D1333">
        <v>10434</v>
      </c>
      <c r="E1333" s="1">
        <v>6.0900000000000003E-2</v>
      </c>
      <c r="F1333" s="1">
        <v>4.0000000000000001E-3</v>
      </c>
      <c r="G1333" s="1">
        <v>5.9999999999999995E-4</v>
      </c>
      <c r="H1333" s="1">
        <v>0.64080000000000004</v>
      </c>
      <c r="I1333" s="1">
        <v>0</v>
      </c>
      <c r="J1333" s="1">
        <v>0.29370000000000002</v>
      </c>
    </row>
    <row r="1335" spans="1:10" ht="43.5">
      <c r="A1335" s="25" t="s">
        <v>509</v>
      </c>
    </row>
    <row r="1336" spans="1:10">
      <c r="A1336" s="25" t="s">
        <v>182</v>
      </c>
      <c r="B1336" t="s">
        <v>219</v>
      </c>
      <c r="C1336" t="s">
        <v>181</v>
      </c>
      <c r="D1336" t="s">
        <v>188</v>
      </c>
      <c r="E1336" t="s">
        <v>505</v>
      </c>
      <c r="F1336" t="s">
        <v>506</v>
      </c>
      <c r="G1336" t="s">
        <v>241</v>
      </c>
      <c r="H1336" t="s">
        <v>324</v>
      </c>
      <c r="I1336" t="s">
        <v>243</v>
      </c>
      <c r="J1336" t="s">
        <v>507</v>
      </c>
    </row>
    <row r="1337" spans="1:10">
      <c r="A1337" s="25" t="s">
        <v>198</v>
      </c>
      <c r="B1337">
        <v>2264</v>
      </c>
      <c r="C1337" t="s">
        <v>189</v>
      </c>
      <c r="D1337">
        <v>10434</v>
      </c>
      <c r="E1337" s="1">
        <v>0.33250000000000002</v>
      </c>
      <c r="F1337" s="1">
        <v>2.18E-2</v>
      </c>
      <c r="G1337" s="1">
        <v>6.9999999999999999E-4</v>
      </c>
      <c r="H1337" s="1">
        <v>0.28420000000000001</v>
      </c>
      <c r="I1337" s="1">
        <v>1E-4</v>
      </c>
      <c r="J1337" s="1">
        <v>0.36059999999999998</v>
      </c>
    </row>
    <row r="1338" spans="1:10">
      <c r="A1338" s="25" t="s">
        <v>199</v>
      </c>
      <c r="B1338">
        <v>8170</v>
      </c>
      <c r="C1338" t="s">
        <v>189</v>
      </c>
      <c r="D1338">
        <v>10434</v>
      </c>
      <c r="G1338" s="1">
        <v>5.0000000000000001E-4</v>
      </c>
      <c r="H1338" s="1">
        <v>0.72070000000000001</v>
      </c>
      <c r="I1338" s="1">
        <v>0</v>
      </c>
      <c r="J1338" s="1">
        <v>0.2787</v>
      </c>
    </row>
    <row r="1339" spans="1:10">
      <c r="A1339" s="25" t="s">
        <v>192</v>
      </c>
      <c r="B1339">
        <v>10434</v>
      </c>
      <c r="C1339" t="s">
        <v>192</v>
      </c>
      <c r="D1339">
        <v>10434</v>
      </c>
      <c r="E1339" s="1">
        <v>6.0900000000000003E-2</v>
      </c>
      <c r="F1339" s="1">
        <v>4.0000000000000001E-3</v>
      </c>
      <c r="G1339" s="1">
        <v>5.9999999999999995E-4</v>
      </c>
      <c r="H1339" s="1">
        <v>0.64080000000000004</v>
      </c>
      <c r="I1339" s="1">
        <v>0</v>
      </c>
      <c r="J1339" s="1">
        <v>0.29370000000000002</v>
      </c>
    </row>
    <row r="1341" spans="1:10" ht="43.5">
      <c r="A1341" s="25" t="s">
        <v>510</v>
      </c>
    </row>
    <row r="1342" spans="1:10">
      <c r="A1342" s="25" t="s">
        <v>182</v>
      </c>
      <c r="B1342" t="s">
        <v>219</v>
      </c>
      <c r="C1342" t="s">
        <v>181</v>
      </c>
      <c r="D1342" t="s">
        <v>188</v>
      </c>
      <c r="E1342" t="s">
        <v>505</v>
      </c>
      <c r="F1342" t="s">
        <v>506</v>
      </c>
      <c r="G1342" t="s">
        <v>241</v>
      </c>
      <c r="H1342" t="s">
        <v>324</v>
      </c>
      <c r="I1342" t="s">
        <v>243</v>
      </c>
      <c r="J1342" t="s">
        <v>507</v>
      </c>
    </row>
    <row r="1343" spans="1:10">
      <c r="A1343" s="25" t="s">
        <v>201</v>
      </c>
      <c r="B1343">
        <v>767</v>
      </c>
      <c r="C1343" t="s">
        <v>189</v>
      </c>
      <c r="D1343">
        <v>10434</v>
      </c>
      <c r="E1343" s="1">
        <v>6.9000000000000006E-2</v>
      </c>
      <c r="F1343" s="1">
        <v>3.3999999999999998E-3</v>
      </c>
      <c r="G1343" s="1">
        <v>2.5000000000000001E-3</v>
      </c>
      <c r="H1343" s="1">
        <v>0.69640000000000002</v>
      </c>
      <c r="J1343" s="1">
        <v>0.2288</v>
      </c>
    </row>
    <row r="1344" spans="1:10">
      <c r="A1344" s="25" t="s">
        <v>202</v>
      </c>
      <c r="B1344">
        <v>110</v>
      </c>
      <c r="C1344" t="s">
        <v>189</v>
      </c>
      <c r="D1344">
        <v>10434</v>
      </c>
      <c r="E1344" s="1">
        <v>0.13789999999999999</v>
      </c>
      <c r="H1344" s="1">
        <v>0.5706</v>
      </c>
      <c r="J1344" s="1">
        <v>0.29139999999999999</v>
      </c>
    </row>
    <row r="1345" spans="1:10">
      <c r="A1345" s="25" t="s">
        <v>203</v>
      </c>
      <c r="B1345">
        <v>8042</v>
      </c>
      <c r="C1345" t="s">
        <v>189</v>
      </c>
      <c r="D1345">
        <v>10434</v>
      </c>
      <c r="E1345" s="1">
        <v>6.1499999999999999E-2</v>
      </c>
      <c r="F1345" s="1">
        <v>4.1999999999999997E-3</v>
      </c>
      <c r="G1345" s="1">
        <v>4.0000000000000002E-4</v>
      </c>
      <c r="H1345" s="1">
        <v>0.62419999999999998</v>
      </c>
      <c r="J1345" s="1">
        <v>0.30969999999999998</v>
      </c>
    </row>
    <row r="1346" spans="1:10">
      <c r="A1346" s="25" t="s">
        <v>204</v>
      </c>
      <c r="B1346">
        <v>31</v>
      </c>
      <c r="C1346" t="s">
        <v>189</v>
      </c>
      <c r="D1346">
        <v>10434</v>
      </c>
      <c r="E1346" s="1">
        <v>9.2899999999999996E-2</v>
      </c>
      <c r="H1346" s="1">
        <v>0.53420000000000001</v>
      </c>
      <c r="I1346" s="1">
        <v>7.7000000000000002E-3</v>
      </c>
      <c r="J1346" s="1">
        <v>0.36509999999999998</v>
      </c>
    </row>
    <row r="1347" spans="1:10">
      <c r="A1347" s="25" t="s">
        <v>205</v>
      </c>
      <c r="B1347">
        <v>1484</v>
      </c>
      <c r="C1347" t="s">
        <v>189</v>
      </c>
      <c r="D1347">
        <v>10434</v>
      </c>
      <c r="E1347" s="1">
        <v>4.9599999999999998E-2</v>
      </c>
      <c r="F1347" s="1">
        <v>3.7000000000000002E-3</v>
      </c>
      <c r="G1347" s="1">
        <v>4.0000000000000002E-4</v>
      </c>
      <c r="H1347" s="1">
        <v>0.71160000000000001</v>
      </c>
      <c r="I1347" s="1">
        <v>2.0000000000000001E-4</v>
      </c>
      <c r="J1347" s="1">
        <v>0.2346</v>
      </c>
    </row>
    <row r="1348" spans="1:10">
      <c r="A1348" s="25" t="s">
        <v>192</v>
      </c>
      <c r="B1348">
        <v>10434</v>
      </c>
      <c r="C1348" t="s">
        <v>192</v>
      </c>
      <c r="D1348">
        <v>10434</v>
      </c>
      <c r="E1348" s="1">
        <v>6.0900000000000003E-2</v>
      </c>
      <c r="F1348" s="1">
        <v>4.0000000000000001E-3</v>
      </c>
      <c r="G1348" s="1">
        <v>5.9999999999999995E-4</v>
      </c>
      <c r="H1348" s="1">
        <v>0.64080000000000004</v>
      </c>
      <c r="I1348" s="1">
        <v>0</v>
      </c>
      <c r="J1348" s="1">
        <v>0.29370000000000002</v>
      </c>
    </row>
    <row r="1350" spans="1:10" ht="43.5">
      <c r="A1350" s="25" t="s">
        <v>511</v>
      </c>
    </row>
    <row r="1351" spans="1:10">
      <c r="A1351" s="25" t="s">
        <v>182</v>
      </c>
      <c r="B1351" t="s">
        <v>219</v>
      </c>
      <c r="C1351" t="s">
        <v>181</v>
      </c>
      <c r="D1351" t="s">
        <v>188</v>
      </c>
      <c r="E1351" t="s">
        <v>505</v>
      </c>
      <c r="F1351" t="s">
        <v>506</v>
      </c>
      <c r="G1351" t="s">
        <v>241</v>
      </c>
      <c r="H1351" t="s">
        <v>324</v>
      </c>
      <c r="I1351" t="s">
        <v>243</v>
      </c>
      <c r="J1351" t="s">
        <v>507</v>
      </c>
    </row>
    <row r="1352" spans="1:10">
      <c r="A1352" s="25" t="s">
        <v>207</v>
      </c>
      <c r="B1352">
        <v>7254</v>
      </c>
      <c r="C1352" t="s">
        <v>189</v>
      </c>
      <c r="D1352">
        <v>10434</v>
      </c>
      <c r="E1352" s="1">
        <v>6.13E-2</v>
      </c>
      <c r="F1352" s="1">
        <v>4.4000000000000003E-3</v>
      </c>
      <c r="G1352" s="1">
        <v>8.0000000000000004E-4</v>
      </c>
      <c r="H1352" s="1">
        <v>0.65880000000000005</v>
      </c>
      <c r="I1352" s="1">
        <v>1E-4</v>
      </c>
      <c r="J1352" s="1">
        <v>0.27460000000000001</v>
      </c>
    </row>
    <row r="1353" spans="1:10">
      <c r="A1353" s="25" t="s">
        <v>208</v>
      </c>
      <c r="B1353">
        <v>2245</v>
      </c>
      <c r="C1353" t="s">
        <v>189</v>
      </c>
      <c r="D1353">
        <v>10434</v>
      </c>
      <c r="E1353" s="1">
        <v>6.2899999999999998E-2</v>
      </c>
      <c r="F1353" s="1">
        <v>2.2000000000000001E-3</v>
      </c>
      <c r="G1353" s="1">
        <v>1E-4</v>
      </c>
      <c r="H1353" s="1">
        <v>0.58479999999999999</v>
      </c>
      <c r="J1353" s="1">
        <v>0.35</v>
      </c>
    </row>
    <row r="1354" spans="1:10">
      <c r="A1354" s="25" t="s">
        <v>209</v>
      </c>
      <c r="B1354">
        <v>935</v>
      </c>
      <c r="C1354" t="s">
        <v>189</v>
      </c>
      <c r="D1354">
        <v>10434</v>
      </c>
      <c r="E1354" s="1">
        <v>5.1900000000000002E-2</v>
      </c>
      <c r="F1354" s="1">
        <v>5.4999999999999997E-3</v>
      </c>
      <c r="G1354" s="1">
        <v>1E-4</v>
      </c>
      <c r="H1354" s="1">
        <v>0.64070000000000005</v>
      </c>
      <c r="J1354" s="1">
        <v>0.30170000000000002</v>
      </c>
    </row>
    <row r="1355" spans="1:10">
      <c r="A1355" s="25" t="s">
        <v>192</v>
      </c>
      <c r="B1355">
        <v>10434</v>
      </c>
      <c r="C1355" t="s">
        <v>192</v>
      </c>
      <c r="D1355">
        <v>10434</v>
      </c>
      <c r="E1355" s="1">
        <v>6.0900000000000003E-2</v>
      </c>
      <c r="F1355" s="1">
        <v>4.0000000000000001E-3</v>
      </c>
      <c r="G1355" s="1">
        <v>5.9999999999999995E-4</v>
      </c>
      <c r="H1355" s="1">
        <v>0.64080000000000004</v>
      </c>
      <c r="I1355" s="1">
        <v>0</v>
      </c>
      <c r="J1355" s="1">
        <v>0.29370000000000002</v>
      </c>
    </row>
    <row r="1357" spans="1:10" ht="43.5">
      <c r="A1357" s="25" t="s">
        <v>512</v>
      </c>
    </row>
    <row r="1358" spans="1:10">
      <c r="A1358" s="25" t="s">
        <v>182</v>
      </c>
      <c r="B1358" t="s">
        <v>219</v>
      </c>
      <c r="C1358" t="s">
        <v>181</v>
      </c>
      <c r="D1358" t="s">
        <v>188</v>
      </c>
      <c r="E1358" t="s">
        <v>505</v>
      </c>
      <c r="F1358" t="s">
        <v>506</v>
      </c>
      <c r="G1358" t="s">
        <v>241</v>
      </c>
      <c r="H1358" t="s">
        <v>324</v>
      </c>
      <c r="I1358" t="s">
        <v>243</v>
      </c>
      <c r="J1358" t="s">
        <v>507</v>
      </c>
    </row>
    <row r="1359" spans="1:10">
      <c r="A1359" s="25" t="s">
        <v>211</v>
      </c>
      <c r="B1359">
        <v>4972</v>
      </c>
      <c r="C1359" t="s">
        <v>189</v>
      </c>
      <c r="D1359">
        <v>10434</v>
      </c>
      <c r="E1359" s="1">
        <v>6.0299999999999999E-2</v>
      </c>
      <c r="F1359" s="1">
        <v>4.1999999999999997E-3</v>
      </c>
      <c r="G1359" s="1">
        <v>8.0000000000000004E-4</v>
      </c>
      <c r="H1359" s="1">
        <v>0.65590000000000004</v>
      </c>
      <c r="I1359" s="1">
        <v>1E-4</v>
      </c>
      <c r="J1359" s="1">
        <v>0.27860000000000001</v>
      </c>
    </row>
    <row r="1360" spans="1:10">
      <c r="A1360" s="25" t="s">
        <v>212</v>
      </c>
      <c r="B1360">
        <v>3376</v>
      </c>
      <c r="C1360" t="s">
        <v>189</v>
      </c>
      <c r="D1360">
        <v>10434</v>
      </c>
      <c r="E1360" s="1">
        <v>7.85E-2</v>
      </c>
      <c r="F1360" s="1">
        <v>4.3E-3</v>
      </c>
      <c r="G1360" s="1">
        <v>2.0000000000000001E-4</v>
      </c>
      <c r="H1360" s="1">
        <v>0.58020000000000005</v>
      </c>
      <c r="J1360" s="1">
        <v>0.33679999999999999</v>
      </c>
    </row>
    <row r="1361" spans="1:10">
      <c r="A1361" s="25" t="s">
        <v>213</v>
      </c>
      <c r="B1361">
        <v>2086</v>
      </c>
      <c r="C1361" t="s">
        <v>189</v>
      </c>
      <c r="D1361">
        <v>10434</v>
      </c>
      <c r="E1361" s="1">
        <v>3.7199999999999997E-2</v>
      </c>
      <c r="F1361" s="1">
        <v>3.0999999999999999E-3</v>
      </c>
      <c r="G1361" s="1">
        <v>5.0000000000000001E-4</v>
      </c>
      <c r="H1361" s="1">
        <v>0.69420000000000004</v>
      </c>
      <c r="J1361" s="1">
        <v>0.26500000000000001</v>
      </c>
    </row>
    <row r="1362" spans="1:10">
      <c r="A1362" s="25" t="s">
        <v>192</v>
      </c>
      <c r="B1362">
        <v>10434</v>
      </c>
      <c r="C1362" t="s">
        <v>192</v>
      </c>
      <c r="D1362">
        <v>10434</v>
      </c>
      <c r="E1362" s="1">
        <v>6.0900000000000003E-2</v>
      </c>
      <c r="F1362" s="1">
        <v>4.0000000000000001E-3</v>
      </c>
      <c r="G1362" s="1">
        <v>5.9999999999999995E-4</v>
      </c>
      <c r="H1362" s="1">
        <v>0.64080000000000004</v>
      </c>
      <c r="I1362" s="1">
        <v>0</v>
      </c>
      <c r="J1362" s="1">
        <v>0.29370000000000002</v>
      </c>
    </row>
    <row r="1364" spans="1:10" ht="43.5">
      <c r="A1364" s="25" t="s">
        <v>513</v>
      </c>
    </row>
    <row r="1365" spans="1:10">
      <c r="A1365" s="25" t="s">
        <v>182</v>
      </c>
      <c r="B1365" t="s">
        <v>219</v>
      </c>
      <c r="C1365" t="s">
        <v>181</v>
      </c>
      <c r="D1365" t="s">
        <v>188</v>
      </c>
      <c r="E1365" t="s">
        <v>505</v>
      </c>
      <c r="F1365" t="s">
        <v>506</v>
      </c>
      <c r="G1365" t="s">
        <v>241</v>
      </c>
      <c r="H1365" t="s">
        <v>324</v>
      </c>
      <c r="I1365" t="s">
        <v>243</v>
      </c>
      <c r="J1365" t="s">
        <v>507</v>
      </c>
    </row>
    <row r="1366" spans="1:10">
      <c r="A1366" s="25" t="s">
        <v>190</v>
      </c>
      <c r="B1366">
        <v>4903</v>
      </c>
      <c r="C1366" t="s">
        <v>189</v>
      </c>
      <c r="D1366">
        <v>10434</v>
      </c>
      <c r="E1366" s="1">
        <v>2.0199999999999999E-2</v>
      </c>
      <c r="F1366" s="1">
        <v>1.4E-3</v>
      </c>
      <c r="G1366" s="1">
        <v>2.9999999999999997E-4</v>
      </c>
      <c r="H1366" s="1">
        <v>0.87319999999999998</v>
      </c>
      <c r="J1366" s="1">
        <v>0.10489999999999999</v>
      </c>
    </row>
    <row r="1367" spans="1:10">
      <c r="A1367" s="25" t="s">
        <v>191</v>
      </c>
      <c r="B1367">
        <v>5474</v>
      </c>
      <c r="C1367" t="s">
        <v>189</v>
      </c>
      <c r="D1367">
        <v>10434</v>
      </c>
      <c r="E1367" s="1">
        <v>1.43E-2</v>
      </c>
      <c r="F1367" s="1">
        <v>5.9999999999999995E-4</v>
      </c>
      <c r="G1367" s="1">
        <v>5.9999999999999995E-4</v>
      </c>
      <c r="H1367" s="1">
        <v>0.91390000000000005</v>
      </c>
      <c r="I1367" s="1">
        <v>4.0000000000000002E-4</v>
      </c>
      <c r="J1367" s="1">
        <v>7.0199999999999999E-2</v>
      </c>
    </row>
    <row r="1368" spans="1:10">
      <c r="A1368" s="25" t="s">
        <v>192</v>
      </c>
      <c r="B1368">
        <v>10434</v>
      </c>
      <c r="C1368" t="s">
        <v>192</v>
      </c>
      <c r="D1368">
        <v>10434</v>
      </c>
      <c r="E1368" s="1">
        <v>1.66E-2</v>
      </c>
      <c r="F1368" s="1">
        <v>8.9999999999999998E-4</v>
      </c>
      <c r="G1368" s="1">
        <v>5.0000000000000001E-4</v>
      </c>
      <c r="H1368" s="1">
        <v>0.89839999999999998</v>
      </c>
      <c r="I1368" s="1">
        <v>2.9999999999999997E-4</v>
      </c>
      <c r="J1368" s="1">
        <v>8.3400000000000002E-2</v>
      </c>
    </row>
    <row r="1370" spans="1:10" ht="57.95">
      <c r="A1370" s="25" t="s">
        <v>514</v>
      </c>
    </row>
    <row r="1371" spans="1:10">
      <c r="A1371" s="25" t="s">
        <v>182</v>
      </c>
      <c r="B1371" t="s">
        <v>219</v>
      </c>
      <c r="C1371" t="s">
        <v>181</v>
      </c>
      <c r="D1371" t="s">
        <v>188</v>
      </c>
      <c r="E1371" t="s">
        <v>505</v>
      </c>
      <c r="F1371" t="s">
        <v>506</v>
      </c>
      <c r="G1371" t="s">
        <v>241</v>
      </c>
      <c r="H1371" t="s">
        <v>324</v>
      </c>
      <c r="I1371" t="s">
        <v>243</v>
      </c>
      <c r="J1371" t="s">
        <v>507</v>
      </c>
    </row>
    <row r="1372" spans="1:10" ht="29.1">
      <c r="A1372" s="25" t="s">
        <v>194</v>
      </c>
      <c r="B1372">
        <v>5954</v>
      </c>
      <c r="C1372" t="s">
        <v>189</v>
      </c>
      <c r="D1372">
        <v>10434</v>
      </c>
      <c r="E1372" s="1">
        <v>1.61E-2</v>
      </c>
      <c r="F1372" s="1">
        <v>1E-3</v>
      </c>
      <c r="G1372" s="1">
        <v>5.0000000000000001E-4</v>
      </c>
      <c r="H1372" s="1">
        <v>0.89339999999999997</v>
      </c>
      <c r="J1372" s="1">
        <v>8.8999999999999996E-2</v>
      </c>
    </row>
    <row r="1373" spans="1:10" ht="29.1">
      <c r="A1373" s="25" t="s">
        <v>195</v>
      </c>
      <c r="B1373">
        <v>2703</v>
      </c>
      <c r="C1373" t="s">
        <v>189</v>
      </c>
      <c r="D1373">
        <v>10434</v>
      </c>
      <c r="E1373" s="1">
        <v>1.5800000000000002E-2</v>
      </c>
      <c r="F1373" s="1">
        <v>5.0000000000000001E-4</v>
      </c>
      <c r="G1373" s="1">
        <v>1E-4</v>
      </c>
      <c r="H1373" s="1">
        <v>0.9073</v>
      </c>
      <c r="J1373" s="1">
        <v>7.6300000000000007E-2</v>
      </c>
    </row>
    <row r="1374" spans="1:10" ht="29.1">
      <c r="A1374" s="25" t="s">
        <v>196</v>
      </c>
      <c r="B1374">
        <v>1720</v>
      </c>
      <c r="C1374" t="s">
        <v>189</v>
      </c>
      <c r="D1374">
        <v>10434</v>
      </c>
      <c r="E1374" s="1">
        <v>2.1499999999999998E-2</v>
      </c>
      <c r="F1374" s="1">
        <v>6.9999999999999999E-4</v>
      </c>
      <c r="G1374" s="1">
        <v>1.4E-3</v>
      </c>
      <c r="H1374" s="1">
        <v>0.91779999999999995</v>
      </c>
      <c r="I1374" s="1">
        <v>2.8999999999999998E-3</v>
      </c>
      <c r="J1374" s="1">
        <v>5.5599999999999997E-2</v>
      </c>
    </row>
    <row r="1375" spans="1:10">
      <c r="A1375" s="25" t="s">
        <v>192</v>
      </c>
      <c r="B1375">
        <v>10434</v>
      </c>
      <c r="C1375" t="s">
        <v>192</v>
      </c>
      <c r="D1375">
        <v>10434</v>
      </c>
      <c r="E1375" s="1">
        <v>1.66E-2</v>
      </c>
      <c r="F1375" s="1">
        <v>8.9999999999999998E-4</v>
      </c>
      <c r="G1375" s="1">
        <v>5.0000000000000001E-4</v>
      </c>
      <c r="H1375" s="1">
        <v>0.89839999999999998</v>
      </c>
      <c r="I1375" s="1">
        <v>2.9999999999999997E-4</v>
      </c>
      <c r="J1375" s="1">
        <v>8.3400000000000002E-2</v>
      </c>
    </row>
    <row r="1377" spans="1:10" ht="43.5">
      <c r="A1377" s="25" t="s">
        <v>515</v>
      </c>
    </row>
    <row r="1378" spans="1:10">
      <c r="A1378" s="25" t="s">
        <v>182</v>
      </c>
      <c r="B1378" t="s">
        <v>219</v>
      </c>
      <c r="C1378" t="s">
        <v>181</v>
      </c>
      <c r="D1378" t="s">
        <v>188</v>
      </c>
      <c r="E1378" t="s">
        <v>505</v>
      </c>
      <c r="F1378" t="s">
        <v>506</v>
      </c>
      <c r="G1378" t="s">
        <v>241</v>
      </c>
      <c r="H1378" t="s">
        <v>324</v>
      </c>
      <c r="I1378" t="s">
        <v>243</v>
      </c>
      <c r="J1378" t="s">
        <v>507</v>
      </c>
    </row>
    <row r="1379" spans="1:10">
      <c r="A1379" s="25" t="s">
        <v>198</v>
      </c>
      <c r="B1379">
        <v>2264</v>
      </c>
      <c r="C1379" t="s">
        <v>189</v>
      </c>
      <c r="D1379">
        <v>10434</v>
      </c>
      <c r="E1379" s="1">
        <v>9.0399999999999994E-2</v>
      </c>
      <c r="F1379" s="1">
        <v>4.8999999999999998E-3</v>
      </c>
      <c r="G1379" s="1">
        <v>2.0999999999999999E-3</v>
      </c>
      <c r="H1379" s="1">
        <v>0.68910000000000005</v>
      </c>
      <c r="J1379" s="1">
        <v>0.2135</v>
      </c>
    </row>
    <row r="1380" spans="1:10">
      <c r="A1380" s="25" t="s">
        <v>199</v>
      </c>
      <c r="B1380">
        <v>8170</v>
      </c>
      <c r="C1380" t="s">
        <v>189</v>
      </c>
      <c r="D1380">
        <v>10434</v>
      </c>
      <c r="G1380" s="1">
        <v>1E-4</v>
      </c>
      <c r="H1380" s="1">
        <v>0.94530000000000003</v>
      </c>
      <c r="I1380" s="1">
        <v>2.9999999999999997E-4</v>
      </c>
      <c r="J1380" s="1">
        <v>5.4199999999999998E-2</v>
      </c>
    </row>
    <row r="1381" spans="1:10">
      <c r="A1381" s="25" t="s">
        <v>192</v>
      </c>
      <c r="B1381">
        <v>10434</v>
      </c>
      <c r="C1381" t="s">
        <v>192</v>
      </c>
      <c r="D1381">
        <v>10434</v>
      </c>
      <c r="E1381" s="1">
        <v>1.66E-2</v>
      </c>
      <c r="F1381" s="1">
        <v>8.9999999999999998E-4</v>
      </c>
      <c r="G1381" s="1">
        <v>5.0000000000000001E-4</v>
      </c>
      <c r="H1381" s="1">
        <v>0.89839999999999998</v>
      </c>
      <c r="I1381" s="1">
        <v>2.9999999999999997E-4</v>
      </c>
      <c r="J1381" s="1">
        <v>8.3400000000000002E-2</v>
      </c>
    </row>
    <row r="1383" spans="1:10" ht="43.5">
      <c r="A1383" s="25" t="s">
        <v>516</v>
      </c>
    </row>
    <row r="1384" spans="1:10">
      <c r="A1384" s="25" t="s">
        <v>182</v>
      </c>
      <c r="B1384" t="s">
        <v>219</v>
      </c>
      <c r="C1384" t="s">
        <v>181</v>
      </c>
      <c r="D1384" t="s">
        <v>188</v>
      </c>
      <c r="E1384" t="s">
        <v>505</v>
      </c>
      <c r="F1384" t="s">
        <v>506</v>
      </c>
      <c r="G1384" t="s">
        <v>241</v>
      </c>
      <c r="H1384" t="s">
        <v>324</v>
      </c>
      <c r="I1384" t="s">
        <v>243</v>
      </c>
      <c r="J1384" t="s">
        <v>507</v>
      </c>
    </row>
    <row r="1385" spans="1:10">
      <c r="A1385" s="25" t="s">
        <v>201</v>
      </c>
      <c r="B1385">
        <v>767</v>
      </c>
      <c r="C1385" t="s">
        <v>189</v>
      </c>
      <c r="D1385">
        <v>10434</v>
      </c>
      <c r="E1385" s="1">
        <v>2.7199999999999998E-2</v>
      </c>
      <c r="F1385" s="1">
        <v>2.9999999999999997E-4</v>
      </c>
      <c r="G1385" s="1">
        <v>1.1000000000000001E-3</v>
      </c>
      <c r="H1385" s="1">
        <v>0.90910000000000002</v>
      </c>
      <c r="J1385" s="1">
        <v>6.2300000000000001E-2</v>
      </c>
    </row>
    <row r="1386" spans="1:10">
      <c r="A1386" s="25" t="s">
        <v>202</v>
      </c>
      <c r="B1386">
        <v>110</v>
      </c>
      <c r="C1386" t="s">
        <v>189</v>
      </c>
      <c r="D1386">
        <v>10434</v>
      </c>
      <c r="E1386" s="1">
        <v>5.8700000000000002E-2</v>
      </c>
      <c r="H1386" s="1">
        <v>0.76739999999999997</v>
      </c>
      <c r="J1386" s="1">
        <v>0.1739</v>
      </c>
    </row>
    <row r="1387" spans="1:10">
      <c r="A1387" s="25" t="s">
        <v>203</v>
      </c>
      <c r="B1387">
        <v>8042</v>
      </c>
      <c r="C1387" t="s">
        <v>189</v>
      </c>
      <c r="D1387">
        <v>10434</v>
      </c>
      <c r="E1387" s="1">
        <v>1.5299999999999999E-2</v>
      </c>
      <c r="F1387" s="1">
        <v>1.1000000000000001E-3</v>
      </c>
      <c r="G1387" s="1">
        <v>5.0000000000000001E-4</v>
      </c>
      <c r="H1387" s="1">
        <v>0.88990000000000002</v>
      </c>
      <c r="I1387" s="1">
        <v>2.9999999999999997E-4</v>
      </c>
      <c r="J1387" s="1">
        <v>9.2799999999999994E-2</v>
      </c>
    </row>
    <row r="1388" spans="1:10">
      <c r="A1388" s="25" t="s">
        <v>204</v>
      </c>
      <c r="B1388">
        <v>31</v>
      </c>
      <c r="C1388" t="s">
        <v>189</v>
      </c>
      <c r="D1388">
        <v>10434</v>
      </c>
      <c r="E1388" s="1">
        <v>8.2799999999999999E-2</v>
      </c>
      <c r="H1388" s="1">
        <v>0.90559999999999996</v>
      </c>
      <c r="J1388" s="1">
        <v>1.1599999999999999E-2</v>
      </c>
    </row>
    <row r="1389" spans="1:10">
      <c r="A1389" s="25" t="s">
        <v>205</v>
      </c>
      <c r="B1389">
        <v>1484</v>
      </c>
      <c r="C1389" t="s">
        <v>189</v>
      </c>
      <c r="D1389">
        <v>10434</v>
      </c>
      <c r="E1389" s="1">
        <v>1.5599999999999999E-2</v>
      </c>
      <c r="F1389" s="1">
        <v>2.0000000000000001E-4</v>
      </c>
      <c r="G1389" s="1">
        <v>0</v>
      </c>
      <c r="H1389" s="1">
        <v>0.94689999999999996</v>
      </c>
      <c r="J1389" s="1">
        <v>3.73E-2</v>
      </c>
    </row>
    <row r="1390" spans="1:10">
      <c r="A1390" s="25" t="s">
        <v>192</v>
      </c>
      <c r="B1390">
        <v>10434</v>
      </c>
      <c r="C1390" t="s">
        <v>192</v>
      </c>
      <c r="D1390">
        <v>10434</v>
      </c>
      <c r="E1390" s="1">
        <v>1.66E-2</v>
      </c>
      <c r="F1390" s="1">
        <v>8.9999999999999998E-4</v>
      </c>
      <c r="G1390" s="1">
        <v>5.0000000000000001E-4</v>
      </c>
      <c r="H1390" s="1">
        <v>0.89839999999999998</v>
      </c>
      <c r="I1390" s="1">
        <v>2.9999999999999997E-4</v>
      </c>
      <c r="J1390" s="1">
        <v>8.3400000000000002E-2</v>
      </c>
    </row>
    <row r="1392" spans="1:10" ht="43.5">
      <c r="A1392" s="25" t="s">
        <v>517</v>
      </c>
    </row>
    <row r="1393" spans="1:10">
      <c r="A1393" s="25" t="s">
        <v>182</v>
      </c>
      <c r="B1393" t="s">
        <v>219</v>
      </c>
      <c r="C1393" t="s">
        <v>181</v>
      </c>
      <c r="D1393" t="s">
        <v>188</v>
      </c>
      <c r="E1393" t="s">
        <v>505</v>
      </c>
      <c r="F1393" t="s">
        <v>506</v>
      </c>
      <c r="G1393" t="s">
        <v>241</v>
      </c>
      <c r="H1393" t="s">
        <v>324</v>
      </c>
      <c r="I1393" t="s">
        <v>243</v>
      </c>
      <c r="J1393" t="s">
        <v>507</v>
      </c>
    </row>
    <row r="1394" spans="1:10">
      <c r="A1394" s="25" t="s">
        <v>207</v>
      </c>
      <c r="B1394">
        <v>7254</v>
      </c>
      <c r="C1394" t="s">
        <v>189</v>
      </c>
      <c r="D1394">
        <v>10434</v>
      </c>
      <c r="E1394" s="1">
        <v>1.8800000000000001E-2</v>
      </c>
      <c r="F1394" s="1">
        <v>1E-3</v>
      </c>
      <c r="G1394" s="1">
        <v>5.9999999999999995E-4</v>
      </c>
      <c r="H1394" s="1">
        <v>0.89659999999999995</v>
      </c>
      <c r="I1394" s="1">
        <v>4.0000000000000002E-4</v>
      </c>
      <c r="J1394" s="1">
        <v>8.2699999999999996E-2</v>
      </c>
    </row>
    <row r="1395" spans="1:10">
      <c r="A1395" s="25" t="s">
        <v>208</v>
      </c>
      <c r="B1395">
        <v>2245</v>
      </c>
      <c r="C1395" t="s">
        <v>189</v>
      </c>
      <c r="D1395">
        <v>10434</v>
      </c>
      <c r="E1395" s="1">
        <v>1.0800000000000001E-2</v>
      </c>
      <c r="G1395" s="1">
        <v>2.0000000000000001E-4</v>
      </c>
      <c r="H1395" s="1">
        <v>0.89629999999999999</v>
      </c>
      <c r="J1395" s="1">
        <v>9.2700000000000005E-2</v>
      </c>
    </row>
    <row r="1396" spans="1:10">
      <c r="A1396" s="25" t="s">
        <v>209</v>
      </c>
      <c r="B1396">
        <v>935</v>
      </c>
      <c r="C1396" t="s">
        <v>189</v>
      </c>
      <c r="D1396">
        <v>10434</v>
      </c>
      <c r="E1396" s="1">
        <v>1.32E-2</v>
      </c>
      <c r="F1396" s="1">
        <v>2.8E-3</v>
      </c>
      <c r="G1396" s="1">
        <v>1E-3</v>
      </c>
      <c r="H1396" s="1">
        <v>0.92059999999999997</v>
      </c>
      <c r="J1396" s="1">
        <v>6.25E-2</v>
      </c>
    </row>
    <row r="1397" spans="1:10">
      <c r="A1397" s="25" t="s">
        <v>192</v>
      </c>
      <c r="B1397">
        <v>10434</v>
      </c>
      <c r="C1397" t="s">
        <v>192</v>
      </c>
      <c r="D1397">
        <v>10434</v>
      </c>
      <c r="E1397" s="1">
        <v>1.66E-2</v>
      </c>
      <c r="F1397" s="1">
        <v>8.9999999999999998E-4</v>
      </c>
      <c r="G1397" s="1">
        <v>5.0000000000000001E-4</v>
      </c>
      <c r="H1397" s="1">
        <v>0.89839999999999998</v>
      </c>
      <c r="I1397" s="1">
        <v>2.9999999999999997E-4</v>
      </c>
      <c r="J1397" s="1">
        <v>8.3400000000000002E-2</v>
      </c>
    </row>
    <row r="1399" spans="1:10" ht="43.5">
      <c r="A1399" s="25" t="s">
        <v>518</v>
      </c>
    </row>
    <row r="1400" spans="1:10">
      <c r="A1400" s="25" t="s">
        <v>182</v>
      </c>
      <c r="B1400" t="s">
        <v>219</v>
      </c>
      <c r="C1400" t="s">
        <v>181</v>
      </c>
      <c r="D1400" t="s">
        <v>188</v>
      </c>
      <c r="E1400" t="s">
        <v>505</v>
      </c>
      <c r="F1400" t="s">
        <v>506</v>
      </c>
      <c r="G1400" t="s">
        <v>241</v>
      </c>
      <c r="H1400" t="s">
        <v>324</v>
      </c>
      <c r="I1400" t="s">
        <v>243</v>
      </c>
      <c r="J1400" t="s">
        <v>507</v>
      </c>
    </row>
    <row r="1401" spans="1:10">
      <c r="A1401" s="25" t="s">
        <v>211</v>
      </c>
      <c r="B1401">
        <v>4972</v>
      </c>
      <c r="C1401" t="s">
        <v>189</v>
      </c>
      <c r="D1401">
        <v>10434</v>
      </c>
      <c r="E1401" s="1">
        <v>1.5900000000000001E-2</v>
      </c>
      <c r="F1401" s="1">
        <v>1E-4</v>
      </c>
      <c r="G1401" s="1">
        <v>2.0000000000000001E-4</v>
      </c>
      <c r="H1401" s="1">
        <v>0.89859999999999995</v>
      </c>
      <c r="I1401" s="1">
        <v>5.9999999999999995E-4</v>
      </c>
      <c r="J1401" s="1">
        <v>8.4599999999999995E-2</v>
      </c>
    </row>
    <row r="1402" spans="1:10">
      <c r="A1402" s="25" t="s">
        <v>212</v>
      </c>
      <c r="B1402">
        <v>3376</v>
      </c>
      <c r="C1402" t="s">
        <v>189</v>
      </c>
      <c r="D1402">
        <v>10434</v>
      </c>
      <c r="E1402" s="1">
        <v>1.9599999999999999E-2</v>
      </c>
      <c r="F1402" s="1">
        <v>1.6000000000000001E-3</v>
      </c>
      <c r="G1402" s="1">
        <v>5.0000000000000001E-4</v>
      </c>
      <c r="H1402" s="1">
        <v>0.88529999999999998</v>
      </c>
      <c r="J1402" s="1">
        <v>9.3100000000000002E-2</v>
      </c>
    </row>
    <row r="1403" spans="1:10">
      <c r="A1403" s="25" t="s">
        <v>213</v>
      </c>
      <c r="B1403">
        <v>2086</v>
      </c>
      <c r="C1403" t="s">
        <v>189</v>
      </c>
      <c r="D1403">
        <v>10434</v>
      </c>
      <c r="E1403" s="1">
        <v>1.37E-2</v>
      </c>
      <c r="F1403" s="1">
        <v>1.6000000000000001E-3</v>
      </c>
      <c r="G1403" s="1">
        <v>1.1000000000000001E-3</v>
      </c>
      <c r="H1403" s="1">
        <v>0.91659999999999997</v>
      </c>
      <c r="J1403" s="1">
        <v>6.7000000000000004E-2</v>
      </c>
    </row>
    <row r="1404" spans="1:10">
      <c r="A1404" s="25" t="s">
        <v>192</v>
      </c>
      <c r="B1404">
        <v>10434</v>
      </c>
      <c r="C1404" t="s">
        <v>192</v>
      </c>
      <c r="D1404">
        <v>10434</v>
      </c>
      <c r="E1404" s="1">
        <v>1.66E-2</v>
      </c>
      <c r="F1404" s="1">
        <v>8.9999999999999998E-4</v>
      </c>
      <c r="G1404" s="1">
        <v>5.0000000000000001E-4</v>
      </c>
      <c r="H1404" s="1">
        <v>0.89839999999999998</v>
      </c>
      <c r="I1404" s="1">
        <v>2.9999999999999997E-4</v>
      </c>
      <c r="J1404" s="1">
        <v>8.3400000000000002E-2</v>
      </c>
    </row>
    <row r="1406" spans="1:10" ht="43.5">
      <c r="A1406" s="25" t="s">
        <v>519</v>
      </c>
    </row>
    <row r="1407" spans="1:10">
      <c r="A1407" s="25" t="s">
        <v>182</v>
      </c>
      <c r="B1407" t="s">
        <v>219</v>
      </c>
      <c r="C1407" t="s">
        <v>181</v>
      </c>
      <c r="D1407" t="s">
        <v>188</v>
      </c>
      <c r="E1407" t="s">
        <v>505</v>
      </c>
      <c r="F1407" t="s">
        <v>506</v>
      </c>
      <c r="G1407" t="s">
        <v>241</v>
      </c>
      <c r="H1407" t="s">
        <v>324</v>
      </c>
      <c r="I1407" t="s">
        <v>243</v>
      </c>
      <c r="J1407" t="s">
        <v>507</v>
      </c>
    </row>
    <row r="1408" spans="1:10">
      <c r="A1408" s="25" t="s">
        <v>190</v>
      </c>
      <c r="B1408">
        <v>4903</v>
      </c>
      <c r="C1408" t="s">
        <v>189</v>
      </c>
      <c r="D1408">
        <v>10434</v>
      </c>
      <c r="E1408" s="1">
        <v>0.1338</v>
      </c>
      <c r="F1408" s="1">
        <v>2.0400000000000001E-2</v>
      </c>
      <c r="G1408" s="1">
        <v>8.0000000000000004E-4</v>
      </c>
      <c r="H1408" s="1">
        <v>0.55959999999999999</v>
      </c>
      <c r="J1408" s="1">
        <v>0.28539999999999999</v>
      </c>
    </row>
    <row r="1409" spans="1:10">
      <c r="A1409" s="25" t="s">
        <v>191</v>
      </c>
      <c r="B1409">
        <v>5474</v>
      </c>
      <c r="C1409" t="s">
        <v>189</v>
      </c>
      <c r="D1409">
        <v>10434</v>
      </c>
      <c r="E1409" s="1">
        <v>0.1061</v>
      </c>
      <c r="F1409" s="1">
        <v>1.5100000000000001E-2</v>
      </c>
      <c r="G1409" s="1">
        <v>1.1999999999999999E-3</v>
      </c>
      <c r="H1409" s="1">
        <v>0.65369999999999995</v>
      </c>
      <c r="I1409" s="1">
        <v>0</v>
      </c>
      <c r="J1409" s="1">
        <v>0.2238</v>
      </c>
    </row>
    <row r="1410" spans="1:10">
      <c r="A1410" s="25" t="s">
        <v>192</v>
      </c>
      <c r="B1410">
        <v>10434</v>
      </c>
      <c r="C1410" t="s">
        <v>192</v>
      </c>
      <c r="D1410">
        <v>10434</v>
      </c>
      <c r="E1410" s="1">
        <v>0.1167</v>
      </c>
      <c r="F1410" s="1">
        <v>1.72E-2</v>
      </c>
      <c r="G1410" s="1">
        <v>1.1000000000000001E-3</v>
      </c>
      <c r="H1410" s="1">
        <v>0.6179</v>
      </c>
      <c r="I1410" s="1">
        <v>0</v>
      </c>
      <c r="J1410" s="1">
        <v>0.2472</v>
      </c>
    </row>
    <row r="1412" spans="1:10" ht="57.95">
      <c r="A1412" s="25" t="s">
        <v>520</v>
      </c>
    </row>
    <row r="1413" spans="1:10">
      <c r="A1413" s="25" t="s">
        <v>182</v>
      </c>
      <c r="B1413" t="s">
        <v>219</v>
      </c>
      <c r="C1413" t="s">
        <v>181</v>
      </c>
      <c r="D1413" t="s">
        <v>188</v>
      </c>
      <c r="E1413" t="s">
        <v>505</v>
      </c>
      <c r="F1413" t="s">
        <v>506</v>
      </c>
      <c r="G1413" t="s">
        <v>241</v>
      </c>
      <c r="H1413" t="s">
        <v>324</v>
      </c>
      <c r="I1413" t="s">
        <v>243</v>
      </c>
      <c r="J1413" t="s">
        <v>507</v>
      </c>
    </row>
    <row r="1414" spans="1:10" ht="29.1">
      <c r="A1414" s="25" t="s">
        <v>194</v>
      </c>
      <c r="B1414">
        <v>5954</v>
      </c>
      <c r="C1414" t="s">
        <v>189</v>
      </c>
      <c r="D1414">
        <v>10434</v>
      </c>
      <c r="E1414" s="1">
        <v>0.11020000000000001</v>
      </c>
      <c r="F1414" s="1">
        <v>1.5699999999999999E-2</v>
      </c>
      <c r="G1414" s="1">
        <v>1.2999999999999999E-3</v>
      </c>
      <c r="H1414" s="1">
        <v>0.629</v>
      </c>
      <c r="J1414" s="1">
        <v>0.24379999999999999</v>
      </c>
    </row>
    <row r="1415" spans="1:10" ht="29.1">
      <c r="A1415" s="25" t="s">
        <v>195</v>
      </c>
      <c r="B1415">
        <v>2703</v>
      </c>
      <c r="C1415" t="s">
        <v>189</v>
      </c>
      <c r="D1415">
        <v>10434</v>
      </c>
      <c r="E1415" s="1">
        <v>0.1343</v>
      </c>
      <c r="F1415" s="1">
        <v>1.89E-2</v>
      </c>
      <c r="H1415" s="1">
        <v>0.59299999999999997</v>
      </c>
      <c r="I1415" s="1">
        <v>1E-4</v>
      </c>
      <c r="J1415" s="1">
        <v>0.25380000000000003</v>
      </c>
    </row>
    <row r="1416" spans="1:10" ht="29.1">
      <c r="A1416" s="25" t="s">
        <v>196</v>
      </c>
      <c r="B1416">
        <v>1720</v>
      </c>
      <c r="C1416" t="s">
        <v>189</v>
      </c>
      <c r="D1416">
        <v>10434</v>
      </c>
      <c r="E1416" s="1">
        <v>0.12920000000000001</v>
      </c>
      <c r="F1416" s="1">
        <v>2.4899999999999999E-2</v>
      </c>
      <c r="G1416" s="1">
        <v>1.1000000000000001E-3</v>
      </c>
      <c r="H1416" s="1">
        <v>0.58399999999999996</v>
      </c>
      <c r="J1416" s="1">
        <v>0.26079999999999998</v>
      </c>
    </row>
    <row r="1417" spans="1:10">
      <c r="A1417" s="25" t="s">
        <v>192</v>
      </c>
      <c r="B1417">
        <v>10434</v>
      </c>
      <c r="C1417" t="s">
        <v>192</v>
      </c>
      <c r="D1417">
        <v>10434</v>
      </c>
      <c r="E1417" s="1">
        <v>0.1167</v>
      </c>
      <c r="F1417" s="1">
        <v>1.72E-2</v>
      </c>
      <c r="G1417" s="1">
        <v>1.1000000000000001E-3</v>
      </c>
      <c r="H1417" s="1">
        <v>0.6179</v>
      </c>
      <c r="I1417" s="1">
        <v>0</v>
      </c>
      <c r="J1417" s="1">
        <v>0.2472</v>
      </c>
    </row>
    <row r="1419" spans="1:10" ht="43.5">
      <c r="A1419" s="25" t="s">
        <v>521</v>
      </c>
    </row>
    <row r="1420" spans="1:10">
      <c r="A1420" s="25" t="s">
        <v>182</v>
      </c>
      <c r="B1420" t="s">
        <v>219</v>
      </c>
      <c r="C1420" t="s">
        <v>181</v>
      </c>
      <c r="D1420" t="s">
        <v>188</v>
      </c>
      <c r="E1420" t="s">
        <v>505</v>
      </c>
      <c r="F1420" t="s">
        <v>506</v>
      </c>
      <c r="G1420" t="s">
        <v>241</v>
      </c>
      <c r="H1420" t="s">
        <v>324</v>
      </c>
      <c r="I1420" t="s">
        <v>243</v>
      </c>
      <c r="J1420" t="s">
        <v>507</v>
      </c>
    </row>
    <row r="1421" spans="1:10">
      <c r="A1421" s="25" t="s">
        <v>198</v>
      </c>
      <c r="B1421">
        <v>2264</v>
      </c>
      <c r="C1421" t="s">
        <v>189</v>
      </c>
      <c r="D1421">
        <v>10434</v>
      </c>
      <c r="E1421" s="1">
        <v>0.63700000000000001</v>
      </c>
      <c r="F1421" s="1">
        <v>9.3799999999999994E-2</v>
      </c>
      <c r="G1421" s="1">
        <v>2.9999999999999997E-4</v>
      </c>
      <c r="H1421" s="1">
        <v>0.105</v>
      </c>
      <c r="J1421" s="1">
        <v>0.16389999999999999</v>
      </c>
    </row>
    <row r="1422" spans="1:10">
      <c r="A1422" s="25" t="s">
        <v>199</v>
      </c>
      <c r="B1422">
        <v>8170</v>
      </c>
      <c r="C1422" t="s">
        <v>189</v>
      </c>
      <c r="D1422">
        <v>10434</v>
      </c>
      <c r="G1422" s="1">
        <v>1.1999999999999999E-3</v>
      </c>
      <c r="H1422" s="1">
        <v>0.7329</v>
      </c>
      <c r="I1422" s="1">
        <v>0</v>
      </c>
      <c r="J1422" s="1">
        <v>0.26590000000000003</v>
      </c>
    </row>
    <row r="1423" spans="1:10">
      <c r="A1423" s="25" t="s">
        <v>192</v>
      </c>
      <c r="B1423">
        <v>10434</v>
      </c>
      <c r="C1423" t="s">
        <v>192</v>
      </c>
      <c r="D1423">
        <v>10434</v>
      </c>
      <c r="E1423" s="1">
        <v>0.1167</v>
      </c>
      <c r="F1423" s="1">
        <v>1.72E-2</v>
      </c>
      <c r="G1423" s="1">
        <v>1.1000000000000001E-3</v>
      </c>
      <c r="H1423" s="1">
        <v>0.6179</v>
      </c>
      <c r="I1423" s="1">
        <v>0</v>
      </c>
      <c r="J1423" s="1">
        <v>0.2472</v>
      </c>
    </row>
    <row r="1425" spans="1:10" ht="43.5">
      <c r="A1425" s="25" t="s">
        <v>522</v>
      </c>
    </row>
    <row r="1426" spans="1:10">
      <c r="A1426" s="25" t="s">
        <v>182</v>
      </c>
      <c r="B1426" t="s">
        <v>219</v>
      </c>
      <c r="C1426" t="s">
        <v>181</v>
      </c>
      <c r="D1426" t="s">
        <v>188</v>
      </c>
      <c r="E1426" t="s">
        <v>505</v>
      </c>
      <c r="F1426" t="s">
        <v>506</v>
      </c>
      <c r="G1426" t="s">
        <v>241</v>
      </c>
      <c r="H1426" t="s">
        <v>324</v>
      </c>
      <c r="I1426" t="s">
        <v>243</v>
      </c>
      <c r="J1426" t="s">
        <v>507</v>
      </c>
    </row>
    <row r="1427" spans="1:10">
      <c r="A1427" s="25" t="s">
        <v>201</v>
      </c>
      <c r="B1427">
        <v>767</v>
      </c>
      <c r="C1427" t="s">
        <v>189</v>
      </c>
      <c r="D1427">
        <v>10434</v>
      </c>
      <c r="E1427" s="1">
        <v>0.14760000000000001</v>
      </c>
      <c r="F1427" s="1">
        <v>0.03</v>
      </c>
      <c r="H1427" s="1">
        <v>0.68200000000000005</v>
      </c>
      <c r="I1427" s="1">
        <v>2.0000000000000001E-4</v>
      </c>
      <c r="J1427" s="1">
        <v>0.14030000000000001</v>
      </c>
    </row>
    <row r="1428" spans="1:10">
      <c r="A1428" s="25" t="s">
        <v>202</v>
      </c>
      <c r="B1428">
        <v>110</v>
      </c>
      <c r="C1428" t="s">
        <v>189</v>
      </c>
      <c r="D1428">
        <v>10434</v>
      </c>
      <c r="E1428" s="1">
        <v>0.1147</v>
      </c>
      <c r="F1428" s="1">
        <v>4.9000000000000002E-2</v>
      </c>
      <c r="H1428" s="1">
        <v>0.59470000000000001</v>
      </c>
      <c r="J1428" s="1">
        <v>0.24160000000000001</v>
      </c>
    </row>
    <row r="1429" spans="1:10">
      <c r="A1429" s="25" t="s">
        <v>203</v>
      </c>
      <c r="B1429">
        <v>8042</v>
      </c>
      <c r="C1429" t="s">
        <v>189</v>
      </c>
      <c r="D1429">
        <v>10434</v>
      </c>
      <c r="E1429" s="1">
        <v>0.1217</v>
      </c>
      <c r="F1429" s="1">
        <v>1.7399999999999999E-2</v>
      </c>
      <c r="G1429" s="1">
        <v>1.2999999999999999E-3</v>
      </c>
      <c r="H1429" s="1">
        <v>0.59179999999999999</v>
      </c>
      <c r="J1429" s="1">
        <v>0.26790000000000003</v>
      </c>
    </row>
    <row r="1430" spans="1:10">
      <c r="A1430" s="25" t="s">
        <v>204</v>
      </c>
      <c r="B1430">
        <v>31</v>
      </c>
      <c r="C1430" t="s">
        <v>189</v>
      </c>
      <c r="D1430">
        <v>10434</v>
      </c>
      <c r="E1430" s="1">
        <v>3.8600000000000002E-2</v>
      </c>
      <c r="F1430" s="1">
        <v>7.7000000000000002E-3</v>
      </c>
      <c r="H1430" s="1">
        <v>0.60460000000000003</v>
      </c>
      <c r="J1430" s="1">
        <v>0.34910000000000002</v>
      </c>
    </row>
    <row r="1431" spans="1:10">
      <c r="A1431" s="25" t="s">
        <v>205</v>
      </c>
      <c r="B1431">
        <v>1484</v>
      </c>
      <c r="C1431" t="s">
        <v>189</v>
      </c>
      <c r="D1431">
        <v>10434</v>
      </c>
      <c r="E1431" s="1">
        <v>7.3700000000000002E-2</v>
      </c>
      <c r="F1431" s="1">
        <v>8.3000000000000001E-3</v>
      </c>
      <c r="G1431" s="1">
        <v>4.0000000000000002E-4</v>
      </c>
      <c r="H1431" s="1">
        <v>0.73570000000000002</v>
      </c>
      <c r="J1431" s="1">
        <v>0.18190000000000001</v>
      </c>
    </row>
    <row r="1432" spans="1:10">
      <c r="A1432" s="25" t="s">
        <v>192</v>
      </c>
      <c r="B1432">
        <v>10434</v>
      </c>
      <c r="C1432" t="s">
        <v>192</v>
      </c>
      <c r="D1432">
        <v>10434</v>
      </c>
      <c r="E1432" s="1">
        <v>0.1167</v>
      </c>
      <c r="F1432" s="1">
        <v>1.72E-2</v>
      </c>
      <c r="G1432" s="1">
        <v>1.1000000000000001E-3</v>
      </c>
      <c r="H1432" s="1">
        <v>0.6179</v>
      </c>
      <c r="I1432" s="1">
        <v>0</v>
      </c>
      <c r="J1432" s="1">
        <v>0.2472</v>
      </c>
    </row>
    <row r="1434" spans="1:10" ht="43.5">
      <c r="A1434" s="25" t="s">
        <v>523</v>
      </c>
    </row>
    <row r="1435" spans="1:10">
      <c r="A1435" s="25" t="s">
        <v>182</v>
      </c>
      <c r="B1435" t="s">
        <v>219</v>
      </c>
      <c r="C1435" t="s">
        <v>181</v>
      </c>
      <c r="D1435" t="s">
        <v>188</v>
      </c>
      <c r="E1435" t="s">
        <v>505</v>
      </c>
      <c r="F1435" t="s">
        <v>506</v>
      </c>
      <c r="G1435" t="s">
        <v>241</v>
      </c>
      <c r="H1435" t="s">
        <v>324</v>
      </c>
      <c r="I1435" t="s">
        <v>243</v>
      </c>
      <c r="J1435" t="s">
        <v>507</v>
      </c>
    </row>
    <row r="1436" spans="1:10">
      <c r="A1436" s="25" t="s">
        <v>207</v>
      </c>
      <c r="B1436">
        <v>7254</v>
      </c>
      <c r="C1436" t="s">
        <v>189</v>
      </c>
      <c r="D1436">
        <v>10434</v>
      </c>
      <c r="E1436" s="1">
        <v>0.1057</v>
      </c>
      <c r="F1436" s="1">
        <v>1.9699999999999999E-2</v>
      </c>
      <c r="G1436" s="1">
        <v>2.0000000000000001E-4</v>
      </c>
      <c r="H1436" s="1">
        <v>0.64710000000000001</v>
      </c>
      <c r="J1436" s="1">
        <v>0.22720000000000001</v>
      </c>
    </row>
    <row r="1437" spans="1:10">
      <c r="A1437" s="25" t="s">
        <v>208</v>
      </c>
      <c r="B1437">
        <v>2245</v>
      </c>
      <c r="C1437" t="s">
        <v>189</v>
      </c>
      <c r="D1437">
        <v>10434</v>
      </c>
      <c r="E1437" s="1">
        <v>0.15329999999999999</v>
      </c>
      <c r="F1437" s="1">
        <v>6.4000000000000003E-3</v>
      </c>
      <c r="G1437" s="1">
        <v>3.8E-3</v>
      </c>
      <c r="H1437" s="1">
        <v>0.51600000000000001</v>
      </c>
      <c r="I1437" s="1">
        <v>0</v>
      </c>
      <c r="J1437" s="1">
        <v>0.32040000000000002</v>
      </c>
    </row>
    <row r="1438" spans="1:10">
      <c r="A1438" s="25" t="s">
        <v>209</v>
      </c>
      <c r="B1438">
        <v>935</v>
      </c>
      <c r="C1438" t="s">
        <v>189</v>
      </c>
      <c r="D1438">
        <v>10434</v>
      </c>
      <c r="E1438" s="1">
        <v>0.10920000000000001</v>
      </c>
      <c r="F1438" s="1">
        <v>2.5499999999999998E-2</v>
      </c>
      <c r="G1438" s="1">
        <v>2.9999999999999997E-4</v>
      </c>
      <c r="H1438" s="1">
        <v>0.64980000000000004</v>
      </c>
      <c r="J1438" s="1">
        <v>0.21529999999999999</v>
      </c>
    </row>
    <row r="1439" spans="1:10">
      <c r="A1439" s="25" t="s">
        <v>192</v>
      </c>
      <c r="B1439">
        <v>10434</v>
      </c>
      <c r="C1439" t="s">
        <v>192</v>
      </c>
      <c r="D1439">
        <v>10434</v>
      </c>
      <c r="E1439" s="1">
        <v>0.1167</v>
      </c>
      <c r="F1439" s="1">
        <v>1.72E-2</v>
      </c>
      <c r="G1439" s="1">
        <v>1.1000000000000001E-3</v>
      </c>
      <c r="H1439" s="1">
        <v>0.6179</v>
      </c>
      <c r="I1439" s="1">
        <v>0</v>
      </c>
      <c r="J1439" s="1">
        <v>0.2472</v>
      </c>
    </row>
    <row r="1441" spans="1:10" ht="43.5">
      <c r="A1441" s="25" t="s">
        <v>524</v>
      </c>
    </row>
    <row r="1442" spans="1:10">
      <c r="A1442" s="25" t="s">
        <v>182</v>
      </c>
      <c r="B1442" t="s">
        <v>219</v>
      </c>
      <c r="C1442" t="s">
        <v>181</v>
      </c>
      <c r="D1442" t="s">
        <v>188</v>
      </c>
      <c r="E1442" t="s">
        <v>505</v>
      </c>
      <c r="F1442" t="s">
        <v>506</v>
      </c>
      <c r="G1442" t="s">
        <v>241</v>
      </c>
      <c r="H1442" t="s">
        <v>324</v>
      </c>
      <c r="I1442" t="s">
        <v>243</v>
      </c>
      <c r="J1442" t="s">
        <v>507</v>
      </c>
    </row>
    <row r="1443" spans="1:10">
      <c r="A1443" s="25" t="s">
        <v>211</v>
      </c>
      <c r="B1443">
        <v>4972</v>
      </c>
      <c r="C1443" t="s">
        <v>189</v>
      </c>
      <c r="D1443">
        <v>10434</v>
      </c>
      <c r="E1443" s="1">
        <v>9.7900000000000001E-2</v>
      </c>
      <c r="F1443" s="1">
        <v>1.67E-2</v>
      </c>
      <c r="G1443" s="1">
        <v>4.0000000000000002E-4</v>
      </c>
      <c r="H1443" s="1">
        <v>0.65380000000000005</v>
      </c>
      <c r="J1443" s="1">
        <v>0.23119999999999999</v>
      </c>
    </row>
    <row r="1444" spans="1:10">
      <c r="A1444" s="25" t="s">
        <v>212</v>
      </c>
      <c r="B1444">
        <v>3376</v>
      </c>
      <c r="C1444" t="s">
        <v>189</v>
      </c>
      <c r="D1444">
        <v>10434</v>
      </c>
      <c r="E1444" s="1">
        <v>0.15620000000000001</v>
      </c>
      <c r="F1444" s="1">
        <v>1.95E-2</v>
      </c>
      <c r="G1444" s="1">
        <v>0</v>
      </c>
      <c r="H1444" s="1">
        <v>0.53979999999999995</v>
      </c>
      <c r="I1444" s="1">
        <v>0</v>
      </c>
      <c r="J1444" s="1">
        <v>0.28439999999999999</v>
      </c>
    </row>
    <row r="1445" spans="1:10">
      <c r="A1445" s="25" t="s">
        <v>213</v>
      </c>
      <c r="B1445">
        <v>2086</v>
      </c>
      <c r="C1445" t="s">
        <v>189</v>
      </c>
      <c r="D1445">
        <v>10434</v>
      </c>
      <c r="E1445" s="1">
        <v>0.1008</v>
      </c>
      <c r="F1445" s="1">
        <v>1.4800000000000001E-2</v>
      </c>
      <c r="G1445" s="1">
        <v>3.8999999999999998E-3</v>
      </c>
      <c r="H1445" s="1">
        <v>0.65169999999999995</v>
      </c>
      <c r="J1445" s="1">
        <v>0.2288</v>
      </c>
    </row>
    <row r="1446" spans="1:10">
      <c r="A1446" s="25" t="s">
        <v>192</v>
      </c>
      <c r="B1446">
        <v>10434</v>
      </c>
      <c r="C1446" t="s">
        <v>192</v>
      </c>
      <c r="D1446">
        <v>10434</v>
      </c>
      <c r="E1446" s="1">
        <v>0.1167</v>
      </c>
      <c r="F1446" s="1">
        <v>1.72E-2</v>
      </c>
      <c r="G1446" s="1">
        <v>1.1000000000000001E-3</v>
      </c>
      <c r="H1446" s="1">
        <v>0.6179</v>
      </c>
      <c r="I1446" s="1">
        <v>0</v>
      </c>
      <c r="J1446" s="1">
        <v>0.2472</v>
      </c>
    </row>
    <row r="1448" spans="1:10" ht="43.5">
      <c r="A1448" s="25" t="s">
        <v>525</v>
      </c>
    </row>
    <row r="1449" spans="1:10">
      <c r="A1449" s="25" t="s">
        <v>182</v>
      </c>
      <c r="B1449" t="s">
        <v>219</v>
      </c>
      <c r="C1449" t="s">
        <v>181</v>
      </c>
      <c r="D1449" t="s">
        <v>188</v>
      </c>
      <c r="E1449" t="s">
        <v>505</v>
      </c>
      <c r="F1449" t="s">
        <v>506</v>
      </c>
      <c r="G1449" t="s">
        <v>241</v>
      </c>
      <c r="H1449" t="s">
        <v>324</v>
      </c>
      <c r="I1449" t="s">
        <v>243</v>
      </c>
      <c r="J1449" t="s">
        <v>507</v>
      </c>
    </row>
    <row r="1450" spans="1:10">
      <c r="A1450" s="25" t="s">
        <v>190</v>
      </c>
      <c r="B1450">
        <v>4903</v>
      </c>
      <c r="C1450" t="s">
        <v>189</v>
      </c>
      <c r="D1450">
        <v>10434</v>
      </c>
      <c r="E1450" s="1">
        <v>2.2599999999999999E-2</v>
      </c>
      <c r="F1450" s="1">
        <v>3.5000000000000001E-3</v>
      </c>
      <c r="G1450" s="1">
        <v>8.9999999999999998E-4</v>
      </c>
      <c r="H1450" s="1">
        <v>0.75349999999999995</v>
      </c>
      <c r="J1450" s="1">
        <v>0.2195</v>
      </c>
    </row>
    <row r="1451" spans="1:10">
      <c r="A1451" s="25" t="s">
        <v>191</v>
      </c>
      <c r="B1451">
        <v>5474</v>
      </c>
      <c r="C1451" t="s">
        <v>189</v>
      </c>
      <c r="D1451">
        <v>10434</v>
      </c>
      <c r="E1451" s="1">
        <v>2.75E-2</v>
      </c>
      <c r="F1451" s="1">
        <v>1.2999999999999999E-3</v>
      </c>
      <c r="G1451" s="1">
        <v>1.1999999999999999E-3</v>
      </c>
      <c r="H1451" s="1">
        <v>0.80449999999999999</v>
      </c>
      <c r="I1451" s="1">
        <v>0</v>
      </c>
      <c r="J1451" s="1">
        <v>0.16539999999999999</v>
      </c>
    </row>
    <row r="1452" spans="1:10">
      <c r="A1452" s="25" t="s">
        <v>192</v>
      </c>
      <c r="B1452">
        <v>10434</v>
      </c>
      <c r="C1452" t="s">
        <v>192</v>
      </c>
      <c r="D1452">
        <v>10434</v>
      </c>
      <c r="E1452" s="1">
        <v>2.5700000000000001E-2</v>
      </c>
      <c r="F1452" s="1">
        <v>2.0999999999999999E-3</v>
      </c>
      <c r="G1452" s="1">
        <v>1.1000000000000001E-3</v>
      </c>
      <c r="H1452" s="1">
        <v>0.78490000000000004</v>
      </c>
      <c r="I1452" s="1">
        <v>0</v>
      </c>
      <c r="J1452" s="1">
        <v>0.1862</v>
      </c>
    </row>
    <row r="1454" spans="1:10" ht="57.95">
      <c r="A1454" s="25" t="s">
        <v>526</v>
      </c>
    </row>
    <row r="1455" spans="1:10">
      <c r="A1455" s="25" t="s">
        <v>182</v>
      </c>
      <c r="B1455" t="s">
        <v>219</v>
      </c>
      <c r="C1455" t="s">
        <v>181</v>
      </c>
      <c r="D1455" t="s">
        <v>188</v>
      </c>
      <c r="E1455" t="s">
        <v>505</v>
      </c>
      <c r="F1455" t="s">
        <v>506</v>
      </c>
      <c r="G1455" t="s">
        <v>241</v>
      </c>
      <c r="H1455" t="s">
        <v>324</v>
      </c>
      <c r="I1455" t="s">
        <v>243</v>
      </c>
      <c r="J1455" t="s">
        <v>507</v>
      </c>
    </row>
    <row r="1456" spans="1:10" ht="29.1">
      <c r="A1456" s="25" t="s">
        <v>194</v>
      </c>
      <c r="B1456">
        <v>5954</v>
      </c>
      <c r="C1456" t="s">
        <v>189</v>
      </c>
      <c r="D1456">
        <v>10434</v>
      </c>
      <c r="E1456" s="1">
        <v>2.4E-2</v>
      </c>
      <c r="F1456" s="1">
        <v>1.6000000000000001E-3</v>
      </c>
      <c r="G1456" s="1">
        <v>4.0000000000000002E-4</v>
      </c>
      <c r="H1456" s="1">
        <v>0.78569999999999995</v>
      </c>
      <c r="J1456" s="1">
        <v>0.18809999999999999</v>
      </c>
    </row>
    <row r="1457" spans="1:10" ht="29.1">
      <c r="A1457" s="25" t="s">
        <v>195</v>
      </c>
      <c r="B1457">
        <v>2703</v>
      </c>
      <c r="C1457" t="s">
        <v>189</v>
      </c>
      <c r="D1457">
        <v>10434</v>
      </c>
      <c r="E1457" s="1">
        <v>2.6200000000000001E-2</v>
      </c>
      <c r="F1457" s="1">
        <v>1.4E-3</v>
      </c>
      <c r="G1457" s="1">
        <v>2.5000000000000001E-3</v>
      </c>
      <c r="H1457" s="1">
        <v>0.79830000000000001</v>
      </c>
      <c r="J1457" s="1">
        <v>0.1716</v>
      </c>
    </row>
    <row r="1458" spans="1:10" ht="29.1">
      <c r="A1458" s="25" t="s">
        <v>196</v>
      </c>
      <c r="B1458">
        <v>1720</v>
      </c>
      <c r="C1458" t="s">
        <v>189</v>
      </c>
      <c r="D1458">
        <v>10434</v>
      </c>
      <c r="E1458" s="1">
        <v>3.6999999999999998E-2</v>
      </c>
      <c r="F1458" s="1">
        <v>7.4000000000000003E-3</v>
      </c>
      <c r="G1458" s="1">
        <v>3.3999999999999998E-3</v>
      </c>
      <c r="H1458" s="1">
        <v>0.75249999999999995</v>
      </c>
      <c r="I1458" s="1">
        <v>2.0000000000000001E-4</v>
      </c>
      <c r="J1458" s="1">
        <v>0.1996</v>
      </c>
    </row>
    <row r="1459" spans="1:10">
      <c r="A1459" s="25" t="s">
        <v>192</v>
      </c>
      <c r="B1459">
        <v>10434</v>
      </c>
      <c r="C1459" t="s">
        <v>192</v>
      </c>
      <c r="D1459">
        <v>10434</v>
      </c>
      <c r="E1459" s="1">
        <v>2.5700000000000001E-2</v>
      </c>
      <c r="F1459" s="1">
        <v>2.0999999999999999E-3</v>
      </c>
      <c r="G1459" s="1">
        <v>1.1000000000000001E-3</v>
      </c>
      <c r="H1459" s="1">
        <v>0.78490000000000004</v>
      </c>
      <c r="I1459" s="1">
        <v>0</v>
      </c>
      <c r="J1459" s="1">
        <v>0.1862</v>
      </c>
    </row>
    <row r="1461" spans="1:10" ht="43.5">
      <c r="A1461" s="25" t="s">
        <v>527</v>
      </c>
    </row>
    <row r="1462" spans="1:10">
      <c r="A1462" s="25" t="s">
        <v>182</v>
      </c>
      <c r="B1462" t="s">
        <v>219</v>
      </c>
      <c r="C1462" t="s">
        <v>181</v>
      </c>
      <c r="D1462" t="s">
        <v>188</v>
      </c>
      <c r="E1462" t="s">
        <v>505</v>
      </c>
      <c r="F1462" t="s">
        <v>506</v>
      </c>
      <c r="G1462" t="s">
        <v>241</v>
      </c>
      <c r="H1462" t="s">
        <v>324</v>
      </c>
      <c r="I1462" t="s">
        <v>243</v>
      </c>
      <c r="J1462" t="s">
        <v>507</v>
      </c>
    </row>
    <row r="1463" spans="1:10">
      <c r="A1463" s="25" t="s">
        <v>198</v>
      </c>
      <c r="B1463">
        <v>2264</v>
      </c>
      <c r="C1463" t="s">
        <v>189</v>
      </c>
      <c r="D1463">
        <v>10434</v>
      </c>
      <c r="E1463" s="1">
        <v>0.14019999999999999</v>
      </c>
      <c r="F1463" s="1">
        <v>1.17E-2</v>
      </c>
      <c r="G1463" s="1">
        <v>2.3E-3</v>
      </c>
      <c r="H1463" s="1">
        <v>0.45169999999999999</v>
      </c>
      <c r="J1463" s="1">
        <v>0.39410000000000001</v>
      </c>
    </row>
    <row r="1464" spans="1:10">
      <c r="A1464" s="25" t="s">
        <v>199</v>
      </c>
      <c r="B1464">
        <v>8170</v>
      </c>
      <c r="C1464" t="s">
        <v>189</v>
      </c>
      <c r="D1464">
        <v>10434</v>
      </c>
      <c r="G1464" s="1">
        <v>8.0000000000000004E-4</v>
      </c>
      <c r="H1464" s="1">
        <v>0.85960000000000003</v>
      </c>
      <c r="I1464" s="1">
        <v>0</v>
      </c>
      <c r="J1464" s="1">
        <v>0.1396</v>
      </c>
    </row>
    <row r="1465" spans="1:10">
      <c r="A1465" s="25" t="s">
        <v>192</v>
      </c>
      <c r="B1465">
        <v>10434</v>
      </c>
      <c r="C1465" t="s">
        <v>192</v>
      </c>
      <c r="D1465">
        <v>10434</v>
      </c>
      <c r="E1465" s="1">
        <v>2.5700000000000001E-2</v>
      </c>
      <c r="F1465" s="1">
        <v>2.0999999999999999E-3</v>
      </c>
      <c r="G1465" s="1">
        <v>1.1000000000000001E-3</v>
      </c>
      <c r="H1465" s="1">
        <v>0.78490000000000004</v>
      </c>
      <c r="I1465" s="1">
        <v>0</v>
      </c>
      <c r="J1465" s="1">
        <v>0.1862</v>
      </c>
    </row>
    <row r="1467" spans="1:10" ht="43.5">
      <c r="A1467" s="25" t="s">
        <v>528</v>
      </c>
    </row>
    <row r="1468" spans="1:10">
      <c r="A1468" s="25" t="s">
        <v>182</v>
      </c>
      <c r="B1468" t="s">
        <v>219</v>
      </c>
      <c r="C1468" t="s">
        <v>181</v>
      </c>
      <c r="D1468" t="s">
        <v>188</v>
      </c>
      <c r="E1468" t="s">
        <v>505</v>
      </c>
      <c r="F1468" t="s">
        <v>506</v>
      </c>
      <c r="G1468" t="s">
        <v>241</v>
      </c>
      <c r="H1468" t="s">
        <v>324</v>
      </c>
      <c r="I1468" t="s">
        <v>243</v>
      </c>
      <c r="J1468" t="s">
        <v>507</v>
      </c>
    </row>
    <row r="1469" spans="1:10">
      <c r="A1469" s="25" t="s">
        <v>201</v>
      </c>
      <c r="B1469">
        <v>767</v>
      </c>
      <c r="C1469" t="s">
        <v>189</v>
      </c>
      <c r="D1469">
        <v>10434</v>
      </c>
      <c r="E1469" s="1">
        <v>4.19E-2</v>
      </c>
      <c r="F1469" s="1">
        <v>2.3999999999999998E-3</v>
      </c>
      <c r="G1469" s="1">
        <v>1.2999999999999999E-3</v>
      </c>
      <c r="H1469" s="1">
        <v>0.76470000000000005</v>
      </c>
      <c r="J1469" s="1">
        <v>0.18959999999999999</v>
      </c>
    </row>
    <row r="1470" spans="1:10">
      <c r="A1470" s="25" t="s">
        <v>202</v>
      </c>
      <c r="B1470">
        <v>110</v>
      </c>
      <c r="C1470" t="s">
        <v>189</v>
      </c>
      <c r="D1470">
        <v>10434</v>
      </c>
      <c r="E1470" s="1">
        <v>6.93E-2</v>
      </c>
      <c r="F1470" s="1">
        <v>4.0000000000000001E-3</v>
      </c>
      <c r="G1470" s="1">
        <v>4.0000000000000001E-3</v>
      </c>
      <c r="H1470" s="1">
        <v>0.74490000000000001</v>
      </c>
      <c r="J1470" s="1">
        <v>0.1779</v>
      </c>
    </row>
    <row r="1471" spans="1:10">
      <c r="A1471" s="25" t="s">
        <v>203</v>
      </c>
      <c r="B1471">
        <v>8042</v>
      </c>
      <c r="C1471" t="s">
        <v>189</v>
      </c>
      <c r="D1471">
        <v>10434</v>
      </c>
      <c r="E1471" s="1">
        <v>2.5399999999999999E-2</v>
      </c>
      <c r="F1471" s="1">
        <v>2.2000000000000001E-3</v>
      </c>
      <c r="G1471" s="1">
        <v>8.9999999999999998E-4</v>
      </c>
      <c r="H1471" s="1">
        <v>0.77939999999999998</v>
      </c>
      <c r="J1471" s="1">
        <v>0.19209999999999999</v>
      </c>
    </row>
    <row r="1472" spans="1:10">
      <c r="A1472" s="25" t="s">
        <v>204</v>
      </c>
      <c r="B1472">
        <v>31</v>
      </c>
      <c r="C1472" t="s">
        <v>189</v>
      </c>
      <c r="D1472">
        <v>10434</v>
      </c>
      <c r="E1472" s="1">
        <v>7.7000000000000002E-3</v>
      </c>
      <c r="H1472" s="1">
        <v>0.80049999999999999</v>
      </c>
      <c r="J1472" s="1">
        <v>0.1918</v>
      </c>
    </row>
    <row r="1473" spans="1:10">
      <c r="A1473" s="25" t="s">
        <v>205</v>
      </c>
      <c r="B1473">
        <v>1484</v>
      </c>
      <c r="C1473" t="s">
        <v>189</v>
      </c>
      <c r="D1473">
        <v>10434</v>
      </c>
      <c r="E1473" s="1">
        <v>1.72E-2</v>
      </c>
      <c r="F1473" s="1">
        <v>1.6999999999999999E-3</v>
      </c>
      <c r="G1473" s="1">
        <v>2.0999999999999999E-3</v>
      </c>
      <c r="H1473" s="1">
        <v>0.82740000000000002</v>
      </c>
      <c r="I1473" s="1">
        <v>1E-4</v>
      </c>
      <c r="J1473" s="1">
        <v>0.15140000000000001</v>
      </c>
    </row>
    <row r="1474" spans="1:10">
      <c r="A1474" s="25" t="s">
        <v>192</v>
      </c>
      <c r="B1474">
        <v>10434</v>
      </c>
      <c r="C1474" t="s">
        <v>192</v>
      </c>
      <c r="D1474">
        <v>10434</v>
      </c>
      <c r="E1474" s="1">
        <v>2.5700000000000001E-2</v>
      </c>
      <c r="F1474" s="1">
        <v>2.0999999999999999E-3</v>
      </c>
      <c r="G1474" s="1">
        <v>1.1000000000000001E-3</v>
      </c>
      <c r="H1474" s="1">
        <v>0.78490000000000004</v>
      </c>
      <c r="I1474" s="1">
        <v>0</v>
      </c>
      <c r="J1474" s="1">
        <v>0.1862</v>
      </c>
    </row>
    <row r="1476" spans="1:10" ht="43.5">
      <c r="A1476" s="25" t="s">
        <v>529</v>
      </c>
    </row>
    <row r="1477" spans="1:10">
      <c r="A1477" s="25" t="s">
        <v>182</v>
      </c>
      <c r="B1477" t="s">
        <v>219</v>
      </c>
      <c r="C1477" t="s">
        <v>181</v>
      </c>
      <c r="D1477" t="s">
        <v>188</v>
      </c>
      <c r="E1477" t="s">
        <v>505</v>
      </c>
      <c r="F1477" t="s">
        <v>506</v>
      </c>
      <c r="G1477" t="s">
        <v>241</v>
      </c>
      <c r="H1477" t="s">
        <v>324</v>
      </c>
      <c r="I1477" t="s">
        <v>243</v>
      </c>
      <c r="J1477" t="s">
        <v>507</v>
      </c>
    </row>
    <row r="1478" spans="1:10">
      <c r="A1478" s="25" t="s">
        <v>207</v>
      </c>
      <c r="B1478">
        <v>7254</v>
      </c>
      <c r="C1478" t="s">
        <v>189</v>
      </c>
      <c r="D1478">
        <v>10434</v>
      </c>
      <c r="E1478" s="1">
        <v>2.6700000000000002E-2</v>
      </c>
      <c r="F1478" s="1">
        <v>2.5999999999999999E-3</v>
      </c>
      <c r="G1478" s="1">
        <v>1.2999999999999999E-3</v>
      </c>
      <c r="H1478" s="1">
        <v>0.7954</v>
      </c>
      <c r="I1478" s="1">
        <v>0</v>
      </c>
      <c r="J1478" s="1">
        <v>0.1741</v>
      </c>
    </row>
    <row r="1479" spans="1:10">
      <c r="A1479" s="25" t="s">
        <v>208</v>
      </c>
      <c r="B1479">
        <v>2245</v>
      </c>
      <c r="C1479" t="s">
        <v>189</v>
      </c>
      <c r="D1479">
        <v>10434</v>
      </c>
      <c r="E1479" s="1">
        <v>2.18E-2</v>
      </c>
      <c r="F1479" s="1">
        <v>2.0000000000000001E-4</v>
      </c>
      <c r="G1479" s="1">
        <v>8.9999999999999998E-4</v>
      </c>
      <c r="H1479" s="1">
        <v>0.74690000000000001</v>
      </c>
      <c r="J1479" s="1">
        <v>0.2301</v>
      </c>
    </row>
    <row r="1480" spans="1:10">
      <c r="A1480" s="25" t="s">
        <v>209</v>
      </c>
      <c r="B1480">
        <v>935</v>
      </c>
      <c r="C1480" t="s">
        <v>189</v>
      </c>
      <c r="D1480">
        <v>10434</v>
      </c>
      <c r="E1480" s="1">
        <v>2.7699999999999999E-2</v>
      </c>
      <c r="F1480" s="1">
        <v>3.5999999999999999E-3</v>
      </c>
      <c r="G1480" s="1">
        <v>4.0000000000000002E-4</v>
      </c>
      <c r="H1480" s="1">
        <v>0.80010000000000003</v>
      </c>
      <c r="J1480" s="1">
        <v>0.16819999999999999</v>
      </c>
    </row>
    <row r="1481" spans="1:10">
      <c r="A1481" s="25" t="s">
        <v>192</v>
      </c>
      <c r="B1481">
        <v>10434</v>
      </c>
      <c r="C1481" t="s">
        <v>192</v>
      </c>
      <c r="D1481">
        <v>10434</v>
      </c>
      <c r="E1481" s="1">
        <v>2.5700000000000001E-2</v>
      </c>
      <c r="F1481" s="1">
        <v>2.0999999999999999E-3</v>
      </c>
      <c r="G1481" s="1">
        <v>1.1000000000000001E-3</v>
      </c>
      <c r="H1481" s="1">
        <v>0.78490000000000004</v>
      </c>
      <c r="I1481" s="1">
        <v>0</v>
      </c>
      <c r="J1481" s="1">
        <v>0.1862</v>
      </c>
    </row>
    <row r="1483" spans="1:10" ht="43.5">
      <c r="A1483" s="25" t="s">
        <v>530</v>
      </c>
    </row>
    <row r="1484" spans="1:10">
      <c r="A1484" s="25" t="s">
        <v>182</v>
      </c>
      <c r="B1484" t="s">
        <v>219</v>
      </c>
      <c r="C1484" t="s">
        <v>181</v>
      </c>
      <c r="D1484" t="s">
        <v>188</v>
      </c>
      <c r="E1484" t="s">
        <v>505</v>
      </c>
      <c r="F1484" t="s">
        <v>506</v>
      </c>
      <c r="G1484" t="s">
        <v>241</v>
      </c>
      <c r="H1484" t="s">
        <v>324</v>
      </c>
      <c r="I1484" t="s">
        <v>243</v>
      </c>
      <c r="J1484" t="s">
        <v>507</v>
      </c>
    </row>
    <row r="1485" spans="1:10">
      <c r="A1485" s="25" t="s">
        <v>211</v>
      </c>
      <c r="B1485">
        <v>4972</v>
      </c>
      <c r="C1485" t="s">
        <v>189</v>
      </c>
      <c r="D1485">
        <v>10434</v>
      </c>
      <c r="E1485" s="1">
        <v>2.2599999999999999E-2</v>
      </c>
      <c r="F1485" s="1">
        <v>2.8E-3</v>
      </c>
      <c r="G1485" s="1">
        <v>1.4E-3</v>
      </c>
      <c r="H1485" s="1">
        <v>0.80210000000000004</v>
      </c>
      <c r="I1485" s="1">
        <v>0</v>
      </c>
      <c r="J1485" s="1">
        <v>0.17100000000000001</v>
      </c>
    </row>
    <row r="1486" spans="1:10">
      <c r="A1486" s="25" t="s">
        <v>212</v>
      </c>
      <c r="B1486">
        <v>3376</v>
      </c>
      <c r="C1486" t="s">
        <v>189</v>
      </c>
      <c r="D1486">
        <v>10434</v>
      </c>
      <c r="E1486" s="1">
        <v>3.3399999999999999E-2</v>
      </c>
      <c r="F1486" s="1">
        <v>2E-3</v>
      </c>
      <c r="G1486" s="1">
        <v>1E-3</v>
      </c>
      <c r="H1486" s="1">
        <v>0.73109999999999997</v>
      </c>
      <c r="J1486" s="1">
        <v>0.2326</v>
      </c>
    </row>
    <row r="1487" spans="1:10">
      <c r="A1487" s="25" t="s">
        <v>213</v>
      </c>
      <c r="B1487">
        <v>2086</v>
      </c>
      <c r="C1487" t="s">
        <v>189</v>
      </c>
      <c r="D1487">
        <v>10434</v>
      </c>
      <c r="E1487" s="1">
        <v>2.12E-2</v>
      </c>
      <c r="F1487" s="1">
        <v>8.9999999999999998E-4</v>
      </c>
      <c r="G1487" s="1">
        <v>5.9999999999999995E-4</v>
      </c>
      <c r="H1487" s="1">
        <v>0.82410000000000005</v>
      </c>
      <c r="J1487" s="1">
        <v>0.15310000000000001</v>
      </c>
    </row>
    <row r="1488" spans="1:10">
      <c r="A1488" s="25" t="s">
        <v>192</v>
      </c>
      <c r="B1488">
        <v>10434</v>
      </c>
      <c r="C1488" t="s">
        <v>192</v>
      </c>
      <c r="D1488">
        <v>10434</v>
      </c>
      <c r="E1488" s="1">
        <v>2.5700000000000001E-2</v>
      </c>
      <c r="F1488" s="1">
        <v>2.0999999999999999E-3</v>
      </c>
      <c r="G1488" s="1">
        <v>1.1000000000000001E-3</v>
      </c>
      <c r="H1488" s="1">
        <v>0.78490000000000004</v>
      </c>
      <c r="I1488" s="1">
        <v>0</v>
      </c>
      <c r="J1488" s="1">
        <v>0.1862</v>
      </c>
    </row>
    <row r="1490" spans="1:9" ht="43.5">
      <c r="A1490" s="25" t="s">
        <v>531</v>
      </c>
    </row>
    <row r="1491" spans="1:9">
      <c r="A1491" s="25" t="s">
        <v>182</v>
      </c>
      <c r="B1491" t="s">
        <v>219</v>
      </c>
      <c r="C1491" t="s">
        <v>181</v>
      </c>
      <c r="D1491" t="s">
        <v>188</v>
      </c>
      <c r="E1491" t="s">
        <v>505</v>
      </c>
      <c r="F1491" t="s">
        <v>506</v>
      </c>
      <c r="G1491" t="s">
        <v>241</v>
      </c>
      <c r="H1491" t="s">
        <v>324</v>
      </c>
      <c r="I1491" t="s">
        <v>507</v>
      </c>
    </row>
    <row r="1492" spans="1:9">
      <c r="A1492" s="25" t="s">
        <v>190</v>
      </c>
      <c r="B1492">
        <v>4903</v>
      </c>
      <c r="C1492" t="s">
        <v>189</v>
      </c>
      <c r="D1492">
        <v>10434</v>
      </c>
      <c r="E1492" s="1">
        <v>2.29E-2</v>
      </c>
      <c r="F1492" s="1">
        <v>1.3899999999999999E-2</v>
      </c>
      <c r="G1492" s="1">
        <v>2.0000000000000001E-4</v>
      </c>
      <c r="H1492" s="1">
        <v>0.85289999999999999</v>
      </c>
      <c r="I1492" s="1">
        <v>0.1101</v>
      </c>
    </row>
    <row r="1493" spans="1:9">
      <c r="A1493" s="25" t="s">
        <v>191</v>
      </c>
      <c r="B1493">
        <v>5474</v>
      </c>
      <c r="C1493" t="s">
        <v>189</v>
      </c>
      <c r="D1493">
        <v>10434</v>
      </c>
      <c r="E1493" s="1">
        <v>1.8200000000000001E-2</v>
      </c>
      <c r="F1493" s="1">
        <v>8.3999999999999995E-3</v>
      </c>
      <c r="G1493" s="1">
        <v>0</v>
      </c>
      <c r="H1493" s="1">
        <v>0.90390000000000004</v>
      </c>
      <c r="I1493" s="1">
        <v>6.9500000000000006E-2</v>
      </c>
    </row>
    <row r="1494" spans="1:9">
      <c r="A1494" s="25" t="s">
        <v>192</v>
      </c>
      <c r="B1494">
        <v>10434</v>
      </c>
      <c r="C1494" t="s">
        <v>192</v>
      </c>
      <c r="D1494">
        <v>10434</v>
      </c>
      <c r="E1494" s="1">
        <v>0.02</v>
      </c>
      <c r="F1494" s="1">
        <v>1.0500000000000001E-2</v>
      </c>
      <c r="G1494" s="1">
        <v>1E-4</v>
      </c>
      <c r="H1494" s="1">
        <v>0.88439999999999996</v>
      </c>
      <c r="I1494" s="1">
        <v>8.5000000000000006E-2</v>
      </c>
    </row>
    <row r="1496" spans="1:9" ht="57.95">
      <c r="A1496" s="25" t="s">
        <v>532</v>
      </c>
    </row>
    <row r="1497" spans="1:9">
      <c r="A1497" s="25" t="s">
        <v>182</v>
      </c>
      <c r="B1497" t="s">
        <v>219</v>
      </c>
      <c r="C1497" t="s">
        <v>181</v>
      </c>
      <c r="D1497" t="s">
        <v>188</v>
      </c>
      <c r="E1497" t="s">
        <v>505</v>
      </c>
      <c r="F1497" t="s">
        <v>506</v>
      </c>
      <c r="G1497" t="s">
        <v>241</v>
      </c>
      <c r="H1497" t="s">
        <v>324</v>
      </c>
      <c r="I1497" t="s">
        <v>507</v>
      </c>
    </row>
    <row r="1498" spans="1:9" ht="29.1">
      <c r="A1498" s="25" t="s">
        <v>194</v>
      </c>
      <c r="B1498">
        <v>5954</v>
      </c>
      <c r="C1498" t="s">
        <v>189</v>
      </c>
      <c r="D1498">
        <v>10434</v>
      </c>
      <c r="E1498" s="1">
        <v>1.84E-2</v>
      </c>
      <c r="F1498" s="1">
        <v>1.01E-2</v>
      </c>
      <c r="H1498" s="1">
        <v>0.88260000000000005</v>
      </c>
      <c r="I1498" s="1">
        <v>8.8900000000000007E-2</v>
      </c>
    </row>
    <row r="1499" spans="1:9" ht="29.1">
      <c r="A1499" s="25" t="s">
        <v>195</v>
      </c>
      <c r="B1499">
        <v>2703</v>
      </c>
      <c r="C1499" t="s">
        <v>189</v>
      </c>
      <c r="D1499">
        <v>10434</v>
      </c>
      <c r="E1499" s="1">
        <v>2.12E-2</v>
      </c>
      <c r="F1499" s="1">
        <v>1.18E-2</v>
      </c>
      <c r="G1499" s="1">
        <v>1E-4</v>
      </c>
      <c r="H1499" s="1">
        <v>0.88619999999999999</v>
      </c>
      <c r="I1499" s="1">
        <v>8.0799999999999997E-2</v>
      </c>
    </row>
    <row r="1500" spans="1:9" ht="29.1">
      <c r="A1500" s="25" t="s">
        <v>196</v>
      </c>
      <c r="B1500">
        <v>1720</v>
      </c>
      <c r="C1500" t="s">
        <v>189</v>
      </c>
      <c r="D1500">
        <v>10434</v>
      </c>
      <c r="E1500" s="1">
        <v>2.98E-2</v>
      </c>
      <c r="F1500" s="1">
        <v>1.0800000000000001E-2</v>
      </c>
      <c r="G1500" s="1">
        <v>1E-3</v>
      </c>
      <c r="H1500" s="1">
        <v>0.89480000000000004</v>
      </c>
      <c r="I1500" s="1">
        <v>6.3700000000000007E-2</v>
      </c>
    </row>
    <row r="1501" spans="1:9">
      <c r="A1501" s="25" t="s">
        <v>192</v>
      </c>
      <c r="B1501">
        <v>10434</v>
      </c>
      <c r="C1501" t="s">
        <v>192</v>
      </c>
      <c r="D1501">
        <v>10434</v>
      </c>
      <c r="E1501" s="1">
        <v>0.02</v>
      </c>
      <c r="F1501" s="1">
        <v>1.0500000000000001E-2</v>
      </c>
      <c r="G1501" s="1">
        <v>1E-4</v>
      </c>
      <c r="H1501" s="1">
        <v>0.88439999999999996</v>
      </c>
      <c r="I1501" s="1">
        <v>8.5000000000000006E-2</v>
      </c>
    </row>
    <row r="1503" spans="1:9" ht="43.5">
      <c r="A1503" s="25" t="s">
        <v>533</v>
      </c>
    </row>
    <row r="1504" spans="1:9">
      <c r="A1504" s="25" t="s">
        <v>182</v>
      </c>
      <c r="B1504" t="s">
        <v>219</v>
      </c>
      <c r="C1504" t="s">
        <v>181</v>
      </c>
      <c r="D1504" t="s">
        <v>188</v>
      </c>
      <c r="E1504" t="s">
        <v>505</v>
      </c>
      <c r="F1504" t="s">
        <v>506</v>
      </c>
      <c r="G1504" t="s">
        <v>241</v>
      </c>
      <c r="H1504" t="s">
        <v>324</v>
      </c>
      <c r="I1504" t="s">
        <v>507</v>
      </c>
    </row>
    <row r="1505" spans="1:9">
      <c r="A1505" s="25" t="s">
        <v>198</v>
      </c>
      <c r="B1505">
        <v>2264</v>
      </c>
      <c r="C1505" t="s">
        <v>189</v>
      </c>
      <c r="D1505">
        <v>10434</v>
      </c>
      <c r="E1505" s="1">
        <v>0.1094</v>
      </c>
      <c r="F1505" s="1">
        <v>5.74E-2</v>
      </c>
      <c r="H1505" s="1">
        <v>0.53469999999999995</v>
      </c>
      <c r="I1505" s="1">
        <v>0.29849999999999999</v>
      </c>
    </row>
    <row r="1506" spans="1:9">
      <c r="A1506" s="25" t="s">
        <v>199</v>
      </c>
      <c r="B1506">
        <v>8170</v>
      </c>
      <c r="C1506" t="s">
        <v>189</v>
      </c>
      <c r="D1506">
        <v>10434</v>
      </c>
      <c r="G1506" s="1">
        <v>1E-4</v>
      </c>
      <c r="H1506" s="1">
        <v>0.96279999999999999</v>
      </c>
      <c r="I1506" s="1">
        <v>3.7100000000000001E-2</v>
      </c>
    </row>
    <row r="1507" spans="1:9">
      <c r="A1507" s="25" t="s">
        <v>192</v>
      </c>
      <c r="B1507">
        <v>10434</v>
      </c>
      <c r="C1507" t="s">
        <v>192</v>
      </c>
      <c r="D1507">
        <v>10434</v>
      </c>
      <c r="E1507" s="1">
        <v>0.02</v>
      </c>
      <c r="F1507" s="1">
        <v>1.0500000000000001E-2</v>
      </c>
      <c r="G1507" s="1">
        <v>1E-4</v>
      </c>
      <c r="H1507" s="1">
        <v>0.88439999999999996</v>
      </c>
      <c r="I1507" s="1">
        <v>8.5000000000000006E-2</v>
      </c>
    </row>
    <row r="1509" spans="1:9" ht="43.5">
      <c r="A1509" s="25" t="s">
        <v>534</v>
      </c>
    </row>
    <row r="1510" spans="1:9">
      <c r="A1510" s="25" t="s">
        <v>182</v>
      </c>
      <c r="B1510" t="s">
        <v>219</v>
      </c>
      <c r="C1510" t="s">
        <v>181</v>
      </c>
      <c r="D1510" t="s">
        <v>188</v>
      </c>
      <c r="E1510" t="s">
        <v>505</v>
      </c>
      <c r="F1510" t="s">
        <v>506</v>
      </c>
      <c r="G1510" t="s">
        <v>241</v>
      </c>
      <c r="H1510" t="s">
        <v>324</v>
      </c>
      <c r="I1510" t="s">
        <v>507</v>
      </c>
    </row>
    <row r="1511" spans="1:9">
      <c r="A1511" s="25" t="s">
        <v>201</v>
      </c>
      <c r="B1511">
        <v>767</v>
      </c>
      <c r="C1511" t="s">
        <v>189</v>
      </c>
      <c r="D1511">
        <v>10434</v>
      </c>
      <c r="E1511" s="1">
        <v>5.0999999999999997E-2</v>
      </c>
      <c r="F1511" s="1">
        <v>1.0800000000000001E-2</v>
      </c>
      <c r="G1511" s="1">
        <v>2.9999999999999997E-4</v>
      </c>
      <c r="H1511" s="1">
        <v>0.86209999999999998</v>
      </c>
      <c r="I1511" s="1">
        <v>7.5800000000000006E-2</v>
      </c>
    </row>
    <row r="1512" spans="1:9">
      <c r="A1512" s="25" t="s">
        <v>202</v>
      </c>
      <c r="B1512">
        <v>110</v>
      </c>
      <c r="C1512" t="s">
        <v>189</v>
      </c>
      <c r="D1512">
        <v>10434</v>
      </c>
      <c r="E1512" s="1">
        <v>5.5399999999999998E-2</v>
      </c>
      <c r="F1512" s="1">
        <v>4.0000000000000001E-3</v>
      </c>
      <c r="H1512" s="1">
        <v>0.83279999999999998</v>
      </c>
      <c r="I1512" s="1">
        <v>0.1077</v>
      </c>
    </row>
    <row r="1513" spans="1:9">
      <c r="A1513" s="25" t="s">
        <v>203</v>
      </c>
      <c r="B1513">
        <v>8042</v>
      </c>
      <c r="C1513" t="s">
        <v>189</v>
      </c>
      <c r="D1513">
        <v>10434</v>
      </c>
      <c r="E1513" s="1">
        <v>1.83E-2</v>
      </c>
      <c r="F1513" s="1">
        <v>1.1900000000000001E-2</v>
      </c>
      <c r="G1513" s="1">
        <v>1E-4</v>
      </c>
      <c r="H1513" s="1">
        <v>0.87639999999999996</v>
      </c>
      <c r="I1513" s="1">
        <v>9.3200000000000005E-2</v>
      </c>
    </row>
    <row r="1514" spans="1:9">
      <c r="A1514" s="25" t="s">
        <v>204</v>
      </c>
      <c r="B1514">
        <v>31</v>
      </c>
      <c r="C1514" t="s">
        <v>189</v>
      </c>
      <c r="D1514">
        <v>10434</v>
      </c>
      <c r="E1514" s="1">
        <v>7.7000000000000002E-3</v>
      </c>
      <c r="H1514" s="1">
        <v>0.91990000000000005</v>
      </c>
      <c r="I1514" s="1">
        <v>7.2400000000000006E-2</v>
      </c>
    </row>
    <row r="1515" spans="1:9">
      <c r="A1515" s="25" t="s">
        <v>205</v>
      </c>
      <c r="B1515">
        <v>1484</v>
      </c>
      <c r="C1515" t="s">
        <v>189</v>
      </c>
      <c r="D1515">
        <v>10434</v>
      </c>
      <c r="E1515" s="1">
        <v>1.2999999999999999E-2</v>
      </c>
      <c r="F1515" s="1">
        <v>2.5999999999999999E-3</v>
      </c>
      <c r="H1515" s="1">
        <v>0.9425</v>
      </c>
      <c r="I1515" s="1">
        <v>4.19E-2</v>
      </c>
    </row>
    <row r="1516" spans="1:9">
      <c r="A1516" s="25" t="s">
        <v>192</v>
      </c>
      <c r="B1516">
        <v>10434</v>
      </c>
      <c r="C1516" t="s">
        <v>192</v>
      </c>
      <c r="D1516">
        <v>10434</v>
      </c>
      <c r="E1516" s="1">
        <v>0.02</v>
      </c>
      <c r="F1516" s="1">
        <v>1.0500000000000001E-2</v>
      </c>
      <c r="G1516" s="1">
        <v>1E-4</v>
      </c>
      <c r="H1516" s="1">
        <v>0.88439999999999996</v>
      </c>
      <c r="I1516" s="1">
        <v>8.5000000000000006E-2</v>
      </c>
    </row>
    <row r="1518" spans="1:9" ht="43.5">
      <c r="A1518" s="25" t="s">
        <v>535</v>
      </c>
    </row>
    <row r="1519" spans="1:9">
      <c r="A1519" s="25" t="s">
        <v>182</v>
      </c>
      <c r="B1519" t="s">
        <v>219</v>
      </c>
      <c r="C1519" t="s">
        <v>181</v>
      </c>
      <c r="D1519" t="s">
        <v>188</v>
      </c>
      <c r="E1519" t="s">
        <v>505</v>
      </c>
      <c r="F1519" t="s">
        <v>506</v>
      </c>
      <c r="G1519" t="s">
        <v>241</v>
      </c>
      <c r="H1519" t="s">
        <v>324</v>
      </c>
      <c r="I1519" t="s">
        <v>507</v>
      </c>
    </row>
    <row r="1520" spans="1:9">
      <c r="A1520" s="25" t="s">
        <v>207</v>
      </c>
      <c r="B1520">
        <v>7254</v>
      </c>
      <c r="C1520" t="s">
        <v>189</v>
      </c>
      <c r="D1520">
        <v>10434</v>
      </c>
      <c r="E1520" s="1">
        <v>2.29E-2</v>
      </c>
      <c r="F1520" s="1">
        <v>1.2200000000000001E-2</v>
      </c>
      <c r="G1520" s="1">
        <v>0</v>
      </c>
      <c r="H1520" s="1">
        <v>0.89029999999999998</v>
      </c>
      <c r="I1520" s="1">
        <v>7.4499999999999997E-2</v>
      </c>
    </row>
    <row r="1521" spans="1:10">
      <c r="A1521" s="25" t="s">
        <v>208</v>
      </c>
      <c r="B1521">
        <v>2245</v>
      </c>
      <c r="C1521" t="s">
        <v>189</v>
      </c>
      <c r="D1521">
        <v>10434</v>
      </c>
      <c r="E1521" s="1">
        <v>1.0699999999999999E-2</v>
      </c>
      <c r="F1521" s="1">
        <v>1.5E-3</v>
      </c>
      <c r="H1521" s="1">
        <v>0.87539999999999996</v>
      </c>
      <c r="I1521" s="1">
        <v>0.1124</v>
      </c>
    </row>
    <row r="1522" spans="1:10">
      <c r="A1522" s="25" t="s">
        <v>209</v>
      </c>
      <c r="B1522">
        <v>935</v>
      </c>
      <c r="C1522" t="s">
        <v>189</v>
      </c>
      <c r="D1522">
        <v>10434</v>
      </c>
      <c r="E1522" s="1">
        <v>2.1100000000000001E-2</v>
      </c>
      <c r="F1522" s="1">
        <v>2.1000000000000001E-2</v>
      </c>
      <c r="G1522" s="1">
        <v>1.1000000000000001E-3</v>
      </c>
      <c r="H1522" s="1">
        <v>0.85770000000000002</v>
      </c>
      <c r="I1522" s="1">
        <v>9.9099999999999994E-2</v>
      </c>
    </row>
    <row r="1523" spans="1:10">
      <c r="A1523" s="25" t="s">
        <v>192</v>
      </c>
      <c r="B1523">
        <v>10434</v>
      </c>
      <c r="C1523" t="s">
        <v>192</v>
      </c>
      <c r="D1523">
        <v>10434</v>
      </c>
      <c r="E1523" s="1">
        <v>0.02</v>
      </c>
      <c r="F1523" s="1">
        <v>1.0500000000000001E-2</v>
      </c>
      <c r="G1523" s="1">
        <v>1E-4</v>
      </c>
      <c r="H1523" s="1">
        <v>0.88439999999999996</v>
      </c>
      <c r="I1523" s="1">
        <v>8.5000000000000006E-2</v>
      </c>
    </row>
    <row r="1525" spans="1:10" ht="43.5">
      <c r="A1525" s="25" t="s">
        <v>536</v>
      </c>
    </row>
    <row r="1526" spans="1:10">
      <c r="A1526" s="25" t="s">
        <v>182</v>
      </c>
      <c r="B1526" t="s">
        <v>219</v>
      </c>
      <c r="C1526" t="s">
        <v>181</v>
      </c>
      <c r="D1526" t="s">
        <v>188</v>
      </c>
      <c r="E1526" t="s">
        <v>505</v>
      </c>
      <c r="F1526" t="s">
        <v>506</v>
      </c>
      <c r="G1526" t="s">
        <v>241</v>
      </c>
      <c r="H1526" t="s">
        <v>324</v>
      </c>
      <c r="I1526" t="s">
        <v>507</v>
      </c>
    </row>
    <row r="1527" spans="1:10">
      <c r="A1527" s="25" t="s">
        <v>211</v>
      </c>
      <c r="B1527">
        <v>4972</v>
      </c>
      <c r="C1527" t="s">
        <v>189</v>
      </c>
      <c r="D1527">
        <v>10434</v>
      </c>
      <c r="E1527" s="1">
        <v>2.3099999999999999E-2</v>
      </c>
      <c r="F1527" s="1">
        <v>1.01E-2</v>
      </c>
      <c r="G1527" s="1">
        <v>2.0000000000000001E-4</v>
      </c>
      <c r="H1527" s="1">
        <v>0.90380000000000005</v>
      </c>
      <c r="I1527" s="1">
        <v>6.2899999999999998E-2</v>
      </c>
    </row>
    <row r="1528" spans="1:10">
      <c r="A1528" s="25" t="s">
        <v>212</v>
      </c>
      <c r="B1528">
        <v>3376</v>
      </c>
      <c r="C1528" t="s">
        <v>189</v>
      </c>
      <c r="D1528">
        <v>10434</v>
      </c>
      <c r="E1528" s="1">
        <v>2.1499999999999998E-2</v>
      </c>
      <c r="F1528" s="1">
        <v>1.3899999999999999E-2</v>
      </c>
      <c r="H1528" s="1">
        <v>0.84589999999999999</v>
      </c>
      <c r="I1528" s="1">
        <v>0.1187</v>
      </c>
    </row>
    <row r="1529" spans="1:10">
      <c r="A1529" s="25" t="s">
        <v>213</v>
      </c>
      <c r="B1529">
        <v>2086</v>
      </c>
      <c r="C1529" t="s">
        <v>189</v>
      </c>
      <c r="D1529">
        <v>10434</v>
      </c>
      <c r="E1529" s="1">
        <v>1.14E-2</v>
      </c>
      <c r="F1529" s="1">
        <v>6.7000000000000002E-3</v>
      </c>
      <c r="H1529" s="1">
        <v>0.89729999999999999</v>
      </c>
      <c r="I1529" s="1">
        <v>8.4500000000000006E-2</v>
      </c>
    </row>
    <row r="1530" spans="1:10">
      <c r="A1530" s="25" t="s">
        <v>192</v>
      </c>
      <c r="B1530">
        <v>10434</v>
      </c>
      <c r="C1530" t="s">
        <v>192</v>
      </c>
      <c r="D1530">
        <v>10434</v>
      </c>
      <c r="E1530" s="1">
        <v>0.02</v>
      </c>
      <c r="F1530" s="1">
        <v>1.0500000000000001E-2</v>
      </c>
      <c r="G1530" s="1">
        <v>1E-4</v>
      </c>
      <c r="H1530" s="1">
        <v>0.88439999999999996</v>
      </c>
      <c r="I1530" s="1">
        <v>8.5000000000000006E-2</v>
      </c>
    </row>
    <row r="1532" spans="1:10" ht="43.5">
      <c r="A1532" s="25" t="s">
        <v>537</v>
      </c>
    </row>
    <row r="1533" spans="1:10">
      <c r="A1533" s="25" t="s">
        <v>182</v>
      </c>
      <c r="B1533" t="s">
        <v>219</v>
      </c>
      <c r="C1533" t="s">
        <v>181</v>
      </c>
      <c r="D1533" t="s">
        <v>188</v>
      </c>
      <c r="E1533" t="s">
        <v>505</v>
      </c>
      <c r="F1533" t="s">
        <v>506</v>
      </c>
      <c r="G1533" t="s">
        <v>241</v>
      </c>
      <c r="H1533" t="s">
        <v>324</v>
      </c>
      <c r="I1533" t="s">
        <v>243</v>
      </c>
      <c r="J1533" t="s">
        <v>507</v>
      </c>
    </row>
    <row r="1534" spans="1:10">
      <c r="A1534" s="25" t="s">
        <v>190</v>
      </c>
      <c r="B1534">
        <v>4903</v>
      </c>
      <c r="C1534" t="s">
        <v>189</v>
      </c>
      <c r="D1534">
        <v>10434</v>
      </c>
      <c r="E1534" s="1">
        <v>1.0200000000000001E-2</v>
      </c>
      <c r="F1534" s="1">
        <v>4.4000000000000003E-3</v>
      </c>
      <c r="G1534" s="1">
        <v>1E-4</v>
      </c>
      <c r="H1534" s="1">
        <v>0.93379999999999996</v>
      </c>
      <c r="J1534" s="1">
        <v>5.16E-2</v>
      </c>
    </row>
    <row r="1535" spans="1:10">
      <c r="A1535" s="25" t="s">
        <v>191</v>
      </c>
      <c r="B1535">
        <v>5474</v>
      </c>
      <c r="C1535" t="s">
        <v>189</v>
      </c>
      <c r="D1535">
        <v>10434</v>
      </c>
      <c r="E1535" s="1">
        <v>9.1000000000000004E-3</v>
      </c>
      <c r="F1535" s="1">
        <v>2.3E-3</v>
      </c>
      <c r="G1535" s="1">
        <v>1.2999999999999999E-3</v>
      </c>
      <c r="H1535" s="1">
        <v>0.94379999999999997</v>
      </c>
      <c r="I1535" s="1">
        <v>0</v>
      </c>
      <c r="J1535" s="1">
        <v>4.3400000000000001E-2</v>
      </c>
    </row>
    <row r="1536" spans="1:10">
      <c r="A1536" s="25" t="s">
        <v>192</v>
      </c>
      <c r="B1536">
        <v>10434</v>
      </c>
      <c r="C1536" t="s">
        <v>192</v>
      </c>
      <c r="D1536">
        <v>10434</v>
      </c>
      <c r="E1536" s="1">
        <v>9.4999999999999998E-3</v>
      </c>
      <c r="F1536" s="1">
        <v>3.0999999999999999E-3</v>
      </c>
      <c r="G1536" s="1">
        <v>8.9999999999999998E-4</v>
      </c>
      <c r="H1536" s="1">
        <v>0.93989999999999996</v>
      </c>
      <c r="I1536" s="1">
        <v>0</v>
      </c>
      <c r="J1536" s="1">
        <v>4.6600000000000003E-2</v>
      </c>
    </row>
    <row r="1538" spans="1:10" ht="57.95">
      <c r="A1538" s="25" t="s">
        <v>538</v>
      </c>
    </row>
    <row r="1539" spans="1:10">
      <c r="A1539" s="25" t="s">
        <v>182</v>
      </c>
      <c r="B1539" t="s">
        <v>219</v>
      </c>
      <c r="C1539" t="s">
        <v>181</v>
      </c>
      <c r="D1539" t="s">
        <v>188</v>
      </c>
      <c r="E1539" t="s">
        <v>505</v>
      </c>
      <c r="F1539" t="s">
        <v>506</v>
      </c>
      <c r="G1539" t="s">
        <v>241</v>
      </c>
      <c r="H1539" t="s">
        <v>324</v>
      </c>
      <c r="I1539" t="s">
        <v>243</v>
      </c>
      <c r="J1539" t="s">
        <v>507</v>
      </c>
    </row>
    <row r="1540" spans="1:10" ht="29.1">
      <c r="A1540" s="25" t="s">
        <v>194</v>
      </c>
      <c r="B1540">
        <v>5954</v>
      </c>
      <c r="C1540" t="s">
        <v>189</v>
      </c>
      <c r="D1540">
        <v>10434</v>
      </c>
      <c r="E1540" s="1">
        <v>9.2999999999999992E-3</v>
      </c>
      <c r="F1540" s="1">
        <v>2E-3</v>
      </c>
      <c r="G1540" s="1">
        <v>1.1000000000000001E-3</v>
      </c>
      <c r="H1540" s="1">
        <v>0.93889999999999996</v>
      </c>
      <c r="J1540" s="1">
        <v>4.87E-2</v>
      </c>
    </row>
    <row r="1541" spans="1:10" ht="29.1">
      <c r="A1541" s="25" t="s">
        <v>195</v>
      </c>
      <c r="B1541">
        <v>2703</v>
      </c>
      <c r="C1541" t="s">
        <v>189</v>
      </c>
      <c r="D1541">
        <v>10434</v>
      </c>
      <c r="E1541" s="1">
        <v>7.4000000000000003E-3</v>
      </c>
      <c r="F1541" s="1">
        <v>5.4999999999999997E-3</v>
      </c>
      <c r="G1541" s="1">
        <v>2.9999999999999997E-4</v>
      </c>
      <c r="H1541" s="1">
        <v>0.95209999999999995</v>
      </c>
      <c r="J1541" s="1">
        <v>3.4799999999999998E-2</v>
      </c>
    </row>
    <row r="1542" spans="1:10" ht="29.1">
      <c r="A1542" s="25" t="s">
        <v>196</v>
      </c>
      <c r="B1542">
        <v>1720</v>
      </c>
      <c r="C1542" t="s">
        <v>189</v>
      </c>
      <c r="D1542">
        <v>10434</v>
      </c>
      <c r="E1542" s="1">
        <v>1.5299999999999999E-2</v>
      </c>
      <c r="F1542" s="1">
        <v>6.4000000000000003E-3</v>
      </c>
      <c r="G1542" s="1">
        <v>1E-4</v>
      </c>
      <c r="H1542" s="1">
        <v>0.92359999999999998</v>
      </c>
      <c r="I1542" s="1">
        <v>2.0000000000000001E-4</v>
      </c>
      <c r="J1542" s="1">
        <v>5.45E-2</v>
      </c>
    </row>
    <row r="1543" spans="1:10">
      <c r="A1543" s="25" t="s">
        <v>192</v>
      </c>
      <c r="B1543">
        <v>10434</v>
      </c>
      <c r="C1543" t="s">
        <v>192</v>
      </c>
      <c r="D1543">
        <v>10434</v>
      </c>
      <c r="E1543" s="1">
        <v>9.4999999999999998E-3</v>
      </c>
      <c r="F1543" s="1">
        <v>3.0999999999999999E-3</v>
      </c>
      <c r="G1543" s="1">
        <v>8.9999999999999998E-4</v>
      </c>
      <c r="H1543" s="1">
        <v>0.93989999999999996</v>
      </c>
      <c r="I1543" s="1">
        <v>0</v>
      </c>
      <c r="J1543" s="1">
        <v>4.6600000000000003E-2</v>
      </c>
    </row>
    <row r="1545" spans="1:10" ht="43.5">
      <c r="A1545" s="25" t="s">
        <v>539</v>
      </c>
    </row>
    <row r="1546" spans="1:10">
      <c r="A1546" s="25" t="s">
        <v>182</v>
      </c>
      <c r="B1546" t="s">
        <v>219</v>
      </c>
      <c r="C1546" t="s">
        <v>181</v>
      </c>
      <c r="D1546" t="s">
        <v>188</v>
      </c>
      <c r="E1546" t="s">
        <v>505</v>
      </c>
      <c r="F1546" t="s">
        <v>506</v>
      </c>
      <c r="G1546" t="s">
        <v>241</v>
      </c>
      <c r="H1546" t="s">
        <v>324</v>
      </c>
      <c r="I1546" t="s">
        <v>243</v>
      </c>
      <c r="J1546" t="s">
        <v>507</v>
      </c>
    </row>
    <row r="1547" spans="1:10">
      <c r="A1547" s="25" t="s">
        <v>198</v>
      </c>
      <c r="B1547">
        <v>2264</v>
      </c>
      <c r="C1547" t="s">
        <v>189</v>
      </c>
      <c r="D1547">
        <v>10434</v>
      </c>
      <c r="E1547" s="1">
        <v>5.1999999999999998E-2</v>
      </c>
      <c r="F1547" s="1">
        <v>1.7000000000000001E-2</v>
      </c>
      <c r="G1547" s="1">
        <v>3.8999999999999998E-3</v>
      </c>
      <c r="H1547" s="1">
        <v>0.78259999999999996</v>
      </c>
      <c r="I1547" s="1">
        <v>1E-4</v>
      </c>
      <c r="J1547" s="1">
        <v>0.1444</v>
      </c>
    </row>
    <row r="1548" spans="1:10">
      <c r="A1548" s="25" t="s">
        <v>199</v>
      </c>
      <c r="B1548">
        <v>8170</v>
      </c>
      <c r="C1548" t="s">
        <v>189</v>
      </c>
      <c r="D1548">
        <v>10434</v>
      </c>
      <c r="G1548" s="1">
        <v>2.0000000000000001E-4</v>
      </c>
      <c r="H1548" s="1">
        <v>0.97519999999999996</v>
      </c>
      <c r="J1548" s="1">
        <v>2.46E-2</v>
      </c>
    </row>
    <row r="1549" spans="1:10">
      <c r="A1549" s="25" t="s">
        <v>192</v>
      </c>
      <c r="B1549">
        <v>10434</v>
      </c>
      <c r="C1549" t="s">
        <v>192</v>
      </c>
      <c r="D1549">
        <v>10434</v>
      </c>
      <c r="E1549" s="1">
        <v>9.4999999999999998E-3</v>
      </c>
      <c r="F1549" s="1">
        <v>3.0999999999999999E-3</v>
      </c>
      <c r="G1549" s="1">
        <v>8.9999999999999998E-4</v>
      </c>
      <c r="H1549" s="1">
        <v>0.93989999999999996</v>
      </c>
      <c r="I1549" s="1">
        <v>0</v>
      </c>
      <c r="J1549" s="1">
        <v>4.6600000000000003E-2</v>
      </c>
    </row>
    <row r="1551" spans="1:10" ht="43.5">
      <c r="A1551" s="25" t="s">
        <v>540</v>
      </c>
    </row>
    <row r="1552" spans="1:10">
      <c r="A1552" s="25" t="s">
        <v>182</v>
      </c>
      <c r="B1552" t="s">
        <v>219</v>
      </c>
      <c r="C1552" t="s">
        <v>181</v>
      </c>
      <c r="D1552" t="s">
        <v>188</v>
      </c>
      <c r="E1552" t="s">
        <v>505</v>
      </c>
      <c r="F1552" t="s">
        <v>506</v>
      </c>
      <c r="G1552" t="s">
        <v>241</v>
      </c>
      <c r="H1552" t="s">
        <v>324</v>
      </c>
      <c r="I1552" t="s">
        <v>243</v>
      </c>
      <c r="J1552" t="s">
        <v>507</v>
      </c>
    </row>
    <row r="1553" spans="1:10">
      <c r="A1553" s="25" t="s">
        <v>201</v>
      </c>
      <c r="B1553">
        <v>767</v>
      </c>
      <c r="C1553" t="s">
        <v>189</v>
      </c>
      <c r="D1553">
        <v>10434</v>
      </c>
      <c r="E1553" s="1">
        <v>1.04E-2</v>
      </c>
      <c r="F1553" s="1">
        <v>7.1999999999999998E-3</v>
      </c>
      <c r="G1553" s="1">
        <v>2.0000000000000001E-4</v>
      </c>
      <c r="H1553" s="1">
        <v>0.91269999999999996</v>
      </c>
      <c r="J1553" s="1">
        <v>6.9500000000000006E-2</v>
      </c>
    </row>
    <row r="1554" spans="1:10">
      <c r="A1554" s="25" t="s">
        <v>202</v>
      </c>
      <c r="B1554">
        <v>110</v>
      </c>
      <c r="C1554" t="s">
        <v>189</v>
      </c>
      <c r="D1554">
        <v>10434</v>
      </c>
      <c r="E1554" s="1">
        <v>6.3E-2</v>
      </c>
      <c r="F1554" s="1">
        <v>1.29E-2</v>
      </c>
      <c r="H1554" s="1">
        <v>0.87829999999999997</v>
      </c>
      <c r="J1554" s="1">
        <v>4.5699999999999998E-2</v>
      </c>
    </row>
    <row r="1555" spans="1:10">
      <c r="A1555" s="25" t="s">
        <v>203</v>
      </c>
      <c r="B1555">
        <v>8042</v>
      </c>
      <c r="C1555" t="s">
        <v>189</v>
      </c>
      <c r="D1555">
        <v>10434</v>
      </c>
      <c r="E1555" s="1">
        <v>9.4999999999999998E-3</v>
      </c>
      <c r="F1555" s="1">
        <v>3.0999999999999999E-3</v>
      </c>
      <c r="G1555" s="1">
        <v>1.1000000000000001E-3</v>
      </c>
      <c r="H1555" s="1">
        <v>0.94220000000000004</v>
      </c>
      <c r="I1555" s="1">
        <v>0</v>
      </c>
      <c r="J1555" s="1">
        <v>4.3999999999999997E-2</v>
      </c>
    </row>
    <row r="1556" spans="1:10">
      <c r="A1556" s="25" t="s">
        <v>204</v>
      </c>
      <c r="B1556">
        <v>31</v>
      </c>
      <c r="C1556" t="s">
        <v>189</v>
      </c>
      <c r="D1556">
        <v>10434</v>
      </c>
      <c r="H1556" s="1">
        <v>0.92759999999999998</v>
      </c>
      <c r="J1556" s="1">
        <v>7.2400000000000006E-2</v>
      </c>
    </row>
    <row r="1557" spans="1:10">
      <c r="A1557" s="25" t="s">
        <v>205</v>
      </c>
      <c r="B1557">
        <v>1484</v>
      </c>
      <c r="C1557" t="s">
        <v>189</v>
      </c>
      <c r="D1557">
        <v>10434</v>
      </c>
      <c r="E1557" s="1">
        <v>6.7999999999999996E-3</v>
      </c>
      <c r="F1557" s="1">
        <v>5.9999999999999995E-4</v>
      </c>
      <c r="H1557" s="1">
        <v>0.94320000000000004</v>
      </c>
      <c r="J1557" s="1">
        <v>4.9399999999999999E-2</v>
      </c>
    </row>
    <row r="1558" spans="1:10">
      <c r="A1558" s="25" t="s">
        <v>192</v>
      </c>
      <c r="B1558">
        <v>10434</v>
      </c>
      <c r="C1558" t="s">
        <v>192</v>
      </c>
      <c r="D1558">
        <v>10434</v>
      </c>
      <c r="E1558" s="1">
        <v>9.4999999999999998E-3</v>
      </c>
      <c r="F1558" s="1">
        <v>3.0999999999999999E-3</v>
      </c>
      <c r="G1558" s="1">
        <v>8.9999999999999998E-4</v>
      </c>
      <c r="H1558" s="1">
        <v>0.93989999999999996</v>
      </c>
      <c r="I1558" s="1">
        <v>0</v>
      </c>
      <c r="J1558" s="1">
        <v>4.6600000000000003E-2</v>
      </c>
    </row>
    <row r="1560" spans="1:10" ht="43.5">
      <c r="A1560" s="25" t="s">
        <v>541</v>
      </c>
    </row>
    <row r="1561" spans="1:10">
      <c r="A1561" s="25" t="s">
        <v>182</v>
      </c>
      <c r="B1561" t="s">
        <v>219</v>
      </c>
      <c r="C1561" t="s">
        <v>181</v>
      </c>
      <c r="D1561" t="s">
        <v>188</v>
      </c>
      <c r="E1561" t="s">
        <v>505</v>
      </c>
      <c r="F1561" t="s">
        <v>506</v>
      </c>
      <c r="G1561" t="s">
        <v>241</v>
      </c>
      <c r="H1561" t="s">
        <v>324</v>
      </c>
      <c r="I1561" t="s">
        <v>243</v>
      </c>
      <c r="J1561" t="s">
        <v>507</v>
      </c>
    </row>
    <row r="1562" spans="1:10">
      <c r="A1562" s="25" t="s">
        <v>207</v>
      </c>
      <c r="B1562">
        <v>7254</v>
      </c>
      <c r="C1562" t="s">
        <v>189</v>
      </c>
      <c r="D1562">
        <v>10434</v>
      </c>
      <c r="E1562" s="1">
        <v>1.0999999999999999E-2</v>
      </c>
      <c r="F1562" s="1">
        <v>3.3E-3</v>
      </c>
      <c r="G1562" s="1">
        <v>1.1000000000000001E-3</v>
      </c>
      <c r="H1562" s="1">
        <v>0.93710000000000004</v>
      </c>
      <c r="I1562" s="1">
        <v>0</v>
      </c>
      <c r="J1562" s="1">
        <v>4.7399999999999998E-2</v>
      </c>
    </row>
    <row r="1563" spans="1:10">
      <c r="A1563" s="25" t="s">
        <v>208</v>
      </c>
      <c r="B1563">
        <v>2245</v>
      </c>
      <c r="C1563" t="s">
        <v>189</v>
      </c>
      <c r="D1563">
        <v>10434</v>
      </c>
      <c r="E1563" s="1">
        <v>5.3E-3</v>
      </c>
      <c r="G1563" s="1">
        <v>2.9999999999999997E-4</v>
      </c>
      <c r="H1563" s="1">
        <v>0.96279999999999999</v>
      </c>
      <c r="J1563" s="1">
        <v>3.1600000000000003E-2</v>
      </c>
    </row>
    <row r="1564" spans="1:10">
      <c r="A1564" s="25" t="s">
        <v>209</v>
      </c>
      <c r="B1564">
        <v>935</v>
      </c>
      <c r="C1564" t="s">
        <v>189</v>
      </c>
      <c r="D1564">
        <v>10434</v>
      </c>
      <c r="E1564" s="1">
        <v>8.2000000000000007E-3</v>
      </c>
      <c r="F1564" s="1">
        <v>1.04E-2</v>
      </c>
      <c r="G1564" s="1">
        <v>1E-4</v>
      </c>
      <c r="H1564" s="1">
        <v>0.89910000000000001</v>
      </c>
      <c r="J1564" s="1">
        <v>8.2100000000000006E-2</v>
      </c>
    </row>
    <row r="1565" spans="1:10">
      <c r="A1565" s="25" t="s">
        <v>192</v>
      </c>
      <c r="B1565">
        <v>10434</v>
      </c>
      <c r="C1565" t="s">
        <v>192</v>
      </c>
      <c r="D1565">
        <v>10434</v>
      </c>
      <c r="E1565" s="1">
        <v>9.4999999999999998E-3</v>
      </c>
      <c r="F1565" s="1">
        <v>3.0999999999999999E-3</v>
      </c>
      <c r="G1565" s="1">
        <v>8.9999999999999998E-4</v>
      </c>
      <c r="H1565" s="1">
        <v>0.93989999999999996</v>
      </c>
      <c r="I1565" s="1">
        <v>0</v>
      </c>
      <c r="J1565" s="1">
        <v>4.6600000000000003E-2</v>
      </c>
    </row>
    <row r="1567" spans="1:10" ht="43.5">
      <c r="A1567" s="25" t="s">
        <v>542</v>
      </c>
    </row>
    <row r="1568" spans="1:10">
      <c r="A1568" s="25" t="s">
        <v>182</v>
      </c>
      <c r="B1568" t="s">
        <v>219</v>
      </c>
      <c r="C1568" t="s">
        <v>181</v>
      </c>
      <c r="D1568" t="s">
        <v>188</v>
      </c>
      <c r="E1568" t="s">
        <v>505</v>
      </c>
      <c r="F1568" t="s">
        <v>506</v>
      </c>
      <c r="G1568" t="s">
        <v>241</v>
      </c>
      <c r="H1568" t="s">
        <v>324</v>
      </c>
      <c r="I1568" t="s">
        <v>243</v>
      </c>
      <c r="J1568" t="s">
        <v>507</v>
      </c>
    </row>
    <row r="1569" spans="1:10">
      <c r="A1569" s="25" t="s">
        <v>211</v>
      </c>
      <c r="B1569">
        <v>4972</v>
      </c>
      <c r="C1569" t="s">
        <v>189</v>
      </c>
      <c r="D1569">
        <v>10434</v>
      </c>
      <c r="E1569" s="1">
        <v>8.8999999999999999E-3</v>
      </c>
      <c r="F1569" s="1">
        <v>3.3999999999999998E-3</v>
      </c>
      <c r="G1569" s="1">
        <v>2.0000000000000001E-4</v>
      </c>
      <c r="H1569" s="1">
        <v>0.9425</v>
      </c>
      <c r="I1569" s="1">
        <v>0</v>
      </c>
      <c r="J1569" s="1">
        <v>4.4999999999999998E-2</v>
      </c>
    </row>
    <row r="1570" spans="1:10">
      <c r="A1570" s="25" t="s">
        <v>212</v>
      </c>
      <c r="B1570">
        <v>3376</v>
      </c>
      <c r="C1570" t="s">
        <v>189</v>
      </c>
      <c r="D1570">
        <v>10434</v>
      </c>
      <c r="E1570" s="1">
        <v>1.14E-2</v>
      </c>
      <c r="F1570" s="1">
        <v>4.0000000000000001E-3</v>
      </c>
      <c r="G1570" s="1">
        <v>2.3999999999999998E-3</v>
      </c>
      <c r="H1570" s="1">
        <v>0.92730000000000001</v>
      </c>
      <c r="J1570" s="1">
        <v>5.4800000000000001E-2</v>
      </c>
    </row>
    <row r="1571" spans="1:10">
      <c r="A1571" s="25" t="s">
        <v>213</v>
      </c>
      <c r="B1571">
        <v>2086</v>
      </c>
      <c r="C1571" t="s">
        <v>189</v>
      </c>
      <c r="D1571">
        <v>10434</v>
      </c>
      <c r="E1571" s="1">
        <v>8.2000000000000007E-3</v>
      </c>
      <c r="F1571" s="1">
        <v>1.1000000000000001E-3</v>
      </c>
      <c r="G1571" s="1">
        <v>1E-4</v>
      </c>
      <c r="H1571" s="1">
        <v>0.95220000000000005</v>
      </c>
      <c r="J1571" s="1">
        <v>3.8300000000000001E-2</v>
      </c>
    </row>
    <row r="1572" spans="1:10">
      <c r="A1572" s="25" t="s">
        <v>192</v>
      </c>
      <c r="B1572">
        <v>10434</v>
      </c>
      <c r="C1572" t="s">
        <v>192</v>
      </c>
      <c r="D1572">
        <v>10434</v>
      </c>
      <c r="E1572" s="1">
        <v>9.4999999999999998E-3</v>
      </c>
      <c r="F1572" s="1">
        <v>3.0999999999999999E-3</v>
      </c>
      <c r="G1572" s="1">
        <v>8.9999999999999998E-4</v>
      </c>
      <c r="H1572" s="1">
        <v>0.93989999999999996</v>
      </c>
      <c r="I1572" s="1">
        <v>0</v>
      </c>
      <c r="J1572" s="1">
        <v>4.6600000000000003E-2</v>
      </c>
    </row>
    <row r="1574" spans="1:10" ht="43.5">
      <c r="A1574" s="25" t="s">
        <v>543</v>
      </c>
    </row>
    <row r="1575" spans="1:10">
      <c r="A1575" s="25" t="s">
        <v>182</v>
      </c>
      <c r="B1575" t="s">
        <v>219</v>
      </c>
      <c r="C1575" t="s">
        <v>181</v>
      </c>
      <c r="D1575" t="s">
        <v>188</v>
      </c>
      <c r="E1575" t="s">
        <v>241</v>
      </c>
      <c r="F1575" t="s">
        <v>544</v>
      </c>
      <c r="G1575" t="s">
        <v>243</v>
      </c>
      <c r="H1575" t="s">
        <v>545</v>
      </c>
      <c r="I1575" t="s">
        <v>546</v>
      </c>
    </row>
    <row r="1576" spans="1:10">
      <c r="A1576" s="25" t="s">
        <v>190</v>
      </c>
      <c r="B1576">
        <v>4903</v>
      </c>
      <c r="C1576" t="s">
        <v>189</v>
      </c>
      <c r="D1576">
        <v>10434</v>
      </c>
      <c r="E1576" s="1">
        <v>1.9E-3</v>
      </c>
      <c r="F1576" s="1">
        <v>0.89080000000000004</v>
      </c>
      <c r="G1576" s="1">
        <v>2.3E-3</v>
      </c>
      <c r="H1576" s="1">
        <v>4.9799999999999997E-2</v>
      </c>
      <c r="I1576" s="1">
        <v>5.5199999999999999E-2</v>
      </c>
    </row>
    <row r="1577" spans="1:10">
      <c r="A1577" s="25" t="s">
        <v>191</v>
      </c>
      <c r="B1577">
        <v>5474</v>
      </c>
      <c r="C1577" t="s">
        <v>189</v>
      </c>
      <c r="D1577">
        <v>10434</v>
      </c>
      <c r="E1577" s="1">
        <v>5.9999999999999995E-4</v>
      </c>
      <c r="F1577" s="1">
        <v>0.8165</v>
      </c>
      <c r="G1577" s="1">
        <v>3.5000000000000001E-3</v>
      </c>
      <c r="H1577" s="1">
        <v>6.3299999999999995E-2</v>
      </c>
      <c r="I1577" s="1">
        <v>0.11609999999999999</v>
      </c>
    </row>
    <row r="1578" spans="1:10">
      <c r="A1578" s="25" t="s">
        <v>192</v>
      </c>
      <c r="B1578">
        <v>10434</v>
      </c>
      <c r="C1578" t="s">
        <v>192</v>
      </c>
      <c r="D1578">
        <v>10434</v>
      </c>
      <c r="E1578" s="1">
        <v>1.1000000000000001E-3</v>
      </c>
      <c r="F1578" s="1">
        <v>0.84460000000000002</v>
      </c>
      <c r="G1578" s="1">
        <v>3.0000000000000001E-3</v>
      </c>
      <c r="H1578" s="1">
        <v>5.8299999999999998E-2</v>
      </c>
      <c r="I1578" s="1">
        <v>9.2999999999999999E-2</v>
      </c>
    </row>
    <row r="1580" spans="1:10" ht="57.95">
      <c r="A1580" s="25" t="s">
        <v>547</v>
      </c>
    </row>
    <row r="1581" spans="1:10">
      <c r="A1581" s="25" t="s">
        <v>182</v>
      </c>
      <c r="B1581" t="s">
        <v>219</v>
      </c>
      <c r="C1581" t="s">
        <v>181</v>
      </c>
      <c r="D1581" t="s">
        <v>188</v>
      </c>
      <c r="E1581" t="s">
        <v>241</v>
      </c>
      <c r="F1581" t="s">
        <v>544</v>
      </c>
      <c r="G1581" t="s">
        <v>243</v>
      </c>
      <c r="H1581" t="s">
        <v>545</v>
      </c>
      <c r="I1581" t="s">
        <v>546</v>
      </c>
    </row>
    <row r="1582" spans="1:10" ht="29.1">
      <c r="A1582" s="25" t="s">
        <v>194</v>
      </c>
      <c r="B1582">
        <v>5954</v>
      </c>
      <c r="C1582" t="s">
        <v>189</v>
      </c>
      <c r="D1582">
        <v>10434</v>
      </c>
      <c r="E1582" s="1">
        <v>1.1000000000000001E-3</v>
      </c>
      <c r="F1582" s="1">
        <v>0.86990000000000001</v>
      </c>
      <c r="G1582" s="1">
        <v>2.8E-3</v>
      </c>
      <c r="H1582" s="1">
        <v>4.87E-2</v>
      </c>
      <c r="I1582" s="1">
        <v>7.7499999999999999E-2</v>
      </c>
    </row>
    <row r="1583" spans="1:10" ht="29.1">
      <c r="A1583" s="25" t="s">
        <v>195</v>
      </c>
      <c r="B1583">
        <v>2703</v>
      </c>
      <c r="C1583" t="s">
        <v>189</v>
      </c>
      <c r="D1583">
        <v>10434</v>
      </c>
      <c r="E1583" s="1">
        <v>8.9999999999999998E-4</v>
      </c>
      <c r="F1583" s="1">
        <v>0.81759999999999999</v>
      </c>
      <c r="G1583" s="1">
        <v>2.5999999999999999E-3</v>
      </c>
      <c r="H1583" s="1">
        <v>7.2099999999999997E-2</v>
      </c>
      <c r="I1583" s="1">
        <v>0.1069</v>
      </c>
    </row>
    <row r="1584" spans="1:10" ht="29.1">
      <c r="A1584" s="25" t="s">
        <v>196</v>
      </c>
      <c r="B1584">
        <v>1720</v>
      </c>
      <c r="C1584" t="s">
        <v>189</v>
      </c>
      <c r="D1584">
        <v>10434</v>
      </c>
      <c r="E1584" s="1">
        <v>1.1999999999999999E-3</v>
      </c>
      <c r="F1584" s="1">
        <v>0.71009999999999995</v>
      </c>
      <c r="G1584" s="1">
        <v>6.0000000000000001E-3</v>
      </c>
      <c r="H1584" s="1">
        <v>0.1017</v>
      </c>
      <c r="I1584" s="1">
        <v>0.18099999999999999</v>
      </c>
    </row>
    <row r="1585" spans="1:9">
      <c r="A1585" s="25" t="s">
        <v>192</v>
      </c>
      <c r="B1585">
        <v>10434</v>
      </c>
      <c r="C1585" t="s">
        <v>192</v>
      </c>
      <c r="D1585">
        <v>10434</v>
      </c>
      <c r="E1585" s="1">
        <v>1.1000000000000001E-3</v>
      </c>
      <c r="F1585" s="1">
        <v>0.84460000000000002</v>
      </c>
      <c r="G1585" s="1">
        <v>3.0000000000000001E-3</v>
      </c>
      <c r="H1585" s="1">
        <v>5.8299999999999998E-2</v>
      </c>
      <c r="I1585" s="1">
        <v>9.2999999999999999E-2</v>
      </c>
    </row>
    <row r="1587" spans="1:9" ht="43.5">
      <c r="A1587" s="25" t="s">
        <v>548</v>
      </c>
    </row>
    <row r="1588" spans="1:9">
      <c r="A1588" s="25" t="s">
        <v>182</v>
      </c>
      <c r="B1588" t="s">
        <v>219</v>
      </c>
      <c r="C1588" t="s">
        <v>181</v>
      </c>
      <c r="D1588" t="s">
        <v>188</v>
      </c>
      <c r="E1588" t="s">
        <v>241</v>
      </c>
      <c r="F1588" t="s">
        <v>544</v>
      </c>
      <c r="G1588" t="s">
        <v>243</v>
      </c>
      <c r="H1588" t="s">
        <v>545</v>
      </c>
      <c r="I1588" t="s">
        <v>546</v>
      </c>
    </row>
    <row r="1589" spans="1:9">
      <c r="A1589" s="25" t="s">
        <v>198</v>
      </c>
      <c r="B1589">
        <v>2264</v>
      </c>
      <c r="C1589" t="s">
        <v>189</v>
      </c>
      <c r="D1589">
        <v>10434</v>
      </c>
      <c r="E1589" s="1">
        <v>2.8999999999999998E-3</v>
      </c>
      <c r="F1589" s="1">
        <v>0.86140000000000005</v>
      </c>
      <c r="G1589" s="1">
        <v>2.2000000000000001E-3</v>
      </c>
      <c r="H1589" s="1">
        <v>6.1800000000000001E-2</v>
      </c>
      <c r="I1589" s="1">
        <v>7.17E-2</v>
      </c>
    </row>
    <row r="1590" spans="1:9">
      <c r="A1590" s="25" t="s">
        <v>199</v>
      </c>
      <c r="B1590">
        <v>8170</v>
      </c>
      <c r="C1590" t="s">
        <v>189</v>
      </c>
      <c r="D1590">
        <v>10434</v>
      </c>
      <c r="E1590" s="1">
        <v>6.9999999999999999E-4</v>
      </c>
      <c r="F1590" s="1">
        <v>0.84089999999999998</v>
      </c>
      <c r="G1590" s="1">
        <v>3.2000000000000002E-3</v>
      </c>
      <c r="H1590" s="1">
        <v>5.7500000000000002E-2</v>
      </c>
      <c r="I1590" s="1">
        <v>9.7699999999999995E-2</v>
      </c>
    </row>
    <row r="1591" spans="1:9">
      <c r="A1591" s="25" t="s">
        <v>192</v>
      </c>
      <c r="B1591">
        <v>10434</v>
      </c>
      <c r="C1591" t="s">
        <v>192</v>
      </c>
      <c r="D1591">
        <v>10434</v>
      </c>
      <c r="E1591" s="1">
        <v>1.1000000000000001E-3</v>
      </c>
      <c r="F1591" s="1">
        <v>0.84460000000000002</v>
      </c>
      <c r="G1591" s="1">
        <v>3.0000000000000001E-3</v>
      </c>
      <c r="H1591" s="1">
        <v>5.8299999999999998E-2</v>
      </c>
      <c r="I1591" s="1">
        <v>9.2999999999999999E-2</v>
      </c>
    </row>
    <row r="1593" spans="1:9" ht="43.5">
      <c r="A1593" s="25" t="s">
        <v>549</v>
      </c>
    </row>
    <row r="1594" spans="1:9">
      <c r="A1594" s="25" t="s">
        <v>182</v>
      </c>
      <c r="B1594" t="s">
        <v>219</v>
      </c>
      <c r="C1594" t="s">
        <v>181</v>
      </c>
      <c r="D1594" t="s">
        <v>188</v>
      </c>
      <c r="E1594" t="s">
        <v>241</v>
      </c>
      <c r="F1594" t="s">
        <v>544</v>
      </c>
      <c r="G1594" t="s">
        <v>243</v>
      </c>
      <c r="H1594" t="s">
        <v>545</v>
      </c>
      <c r="I1594" t="s">
        <v>546</v>
      </c>
    </row>
    <row r="1595" spans="1:9">
      <c r="A1595" s="25" t="s">
        <v>201</v>
      </c>
      <c r="B1595">
        <v>767</v>
      </c>
      <c r="C1595" t="s">
        <v>189</v>
      </c>
      <c r="D1595">
        <v>10434</v>
      </c>
      <c r="E1595" s="1">
        <v>5.9999999999999995E-4</v>
      </c>
      <c r="F1595" s="1">
        <v>0.68730000000000002</v>
      </c>
      <c r="G1595" s="1">
        <v>9.9000000000000008E-3</v>
      </c>
      <c r="H1595" s="1">
        <v>0.13950000000000001</v>
      </c>
      <c r="I1595" s="1">
        <v>0.16270000000000001</v>
      </c>
    </row>
    <row r="1596" spans="1:9">
      <c r="A1596" s="25" t="s">
        <v>202</v>
      </c>
      <c r="B1596">
        <v>110</v>
      </c>
      <c r="C1596" t="s">
        <v>189</v>
      </c>
      <c r="D1596">
        <v>10434</v>
      </c>
      <c r="F1596" s="1">
        <v>0.67110000000000003</v>
      </c>
      <c r="G1596" s="1">
        <v>1.5599999999999999E-2</v>
      </c>
      <c r="H1596" s="1">
        <v>6.3200000000000006E-2</v>
      </c>
      <c r="I1596" s="1">
        <v>0.25009999999999999</v>
      </c>
    </row>
    <row r="1597" spans="1:9">
      <c r="A1597" s="25" t="s">
        <v>203</v>
      </c>
      <c r="B1597">
        <v>8042</v>
      </c>
      <c r="C1597" t="s">
        <v>189</v>
      </c>
      <c r="D1597">
        <v>10434</v>
      </c>
      <c r="E1597" s="1">
        <v>1.1999999999999999E-3</v>
      </c>
      <c r="F1597" s="1">
        <v>0.91659999999999997</v>
      </c>
      <c r="G1597" s="1">
        <v>2.0999999999999999E-3</v>
      </c>
      <c r="H1597" s="1">
        <v>4.6899999999999997E-2</v>
      </c>
      <c r="I1597" s="1">
        <v>3.3300000000000003E-2</v>
      </c>
    </row>
    <row r="1598" spans="1:9">
      <c r="A1598" s="25" t="s">
        <v>204</v>
      </c>
      <c r="B1598">
        <v>31</v>
      </c>
      <c r="C1598" t="s">
        <v>189</v>
      </c>
      <c r="D1598">
        <v>10434</v>
      </c>
      <c r="E1598" s="1">
        <v>2.3900000000000001E-2</v>
      </c>
      <c r="F1598" s="1">
        <v>0.44219999999999998</v>
      </c>
      <c r="G1598" s="1">
        <v>0.19270000000000001</v>
      </c>
      <c r="H1598" s="1">
        <v>0.18390000000000001</v>
      </c>
      <c r="I1598" s="1">
        <v>0.1573</v>
      </c>
    </row>
    <row r="1599" spans="1:9">
      <c r="A1599" s="25" t="s">
        <v>205</v>
      </c>
      <c r="B1599">
        <v>1484</v>
      </c>
      <c r="C1599" t="s">
        <v>189</v>
      </c>
      <c r="D1599">
        <v>10434</v>
      </c>
      <c r="E1599" s="1">
        <v>4.0000000000000002E-4</v>
      </c>
      <c r="F1599" s="1">
        <v>0.52639999999999998</v>
      </c>
      <c r="G1599" s="1">
        <v>2E-3</v>
      </c>
      <c r="H1599" s="1">
        <v>8.0199999999999994E-2</v>
      </c>
      <c r="I1599" s="1">
        <v>0.39100000000000001</v>
      </c>
    </row>
    <row r="1600" spans="1:9">
      <c r="A1600" s="25" t="s">
        <v>192</v>
      </c>
      <c r="B1600">
        <v>10434</v>
      </c>
      <c r="C1600" t="s">
        <v>192</v>
      </c>
      <c r="D1600">
        <v>10434</v>
      </c>
      <c r="E1600" s="1">
        <v>1.1000000000000001E-3</v>
      </c>
      <c r="F1600" s="1">
        <v>0.84460000000000002</v>
      </c>
      <c r="G1600" s="1">
        <v>3.0000000000000001E-3</v>
      </c>
      <c r="H1600" s="1">
        <v>5.8299999999999998E-2</v>
      </c>
      <c r="I1600" s="1">
        <v>9.2999999999999999E-2</v>
      </c>
    </row>
    <row r="1602" spans="1:9" ht="43.5">
      <c r="A1602" s="25" t="s">
        <v>550</v>
      </c>
    </row>
    <row r="1603" spans="1:9">
      <c r="A1603" s="25" t="s">
        <v>182</v>
      </c>
      <c r="B1603" t="s">
        <v>219</v>
      </c>
      <c r="C1603" t="s">
        <v>181</v>
      </c>
      <c r="D1603" t="s">
        <v>188</v>
      </c>
      <c r="E1603" t="s">
        <v>241</v>
      </c>
      <c r="F1603" t="s">
        <v>544</v>
      </c>
      <c r="G1603" t="s">
        <v>243</v>
      </c>
      <c r="H1603" t="s">
        <v>545</v>
      </c>
      <c r="I1603" t="s">
        <v>546</v>
      </c>
    </row>
    <row r="1604" spans="1:9">
      <c r="A1604" s="25" t="s">
        <v>207</v>
      </c>
      <c r="B1604">
        <v>7254</v>
      </c>
      <c r="C1604" t="s">
        <v>189</v>
      </c>
      <c r="D1604">
        <v>10434</v>
      </c>
      <c r="E1604" s="1">
        <v>1E-3</v>
      </c>
      <c r="F1604" s="1">
        <v>0.82950000000000002</v>
      </c>
      <c r="G1604" s="1">
        <v>2E-3</v>
      </c>
      <c r="H1604" s="1">
        <v>5.8999999999999997E-2</v>
      </c>
      <c r="I1604" s="1">
        <v>0.1085</v>
      </c>
    </row>
    <row r="1605" spans="1:9">
      <c r="A1605" s="25" t="s">
        <v>208</v>
      </c>
      <c r="B1605">
        <v>2245</v>
      </c>
      <c r="C1605" t="s">
        <v>189</v>
      </c>
      <c r="D1605">
        <v>10434</v>
      </c>
      <c r="E1605" s="1">
        <v>1.4E-3</v>
      </c>
      <c r="F1605" s="1">
        <v>0.92130000000000001</v>
      </c>
      <c r="G1605" s="1">
        <v>6.8999999999999999E-3</v>
      </c>
      <c r="H1605" s="1">
        <v>5.4100000000000002E-2</v>
      </c>
      <c r="I1605" s="1">
        <v>1.6299999999999999E-2</v>
      </c>
    </row>
    <row r="1606" spans="1:9">
      <c r="A1606" s="25" t="s">
        <v>209</v>
      </c>
      <c r="B1606">
        <v>935</v>
      </c>
      <c r="C1606" t="s">
        <v>189</v>
      </c>
      <c r="D1606">
        <v>10434</v>
      </c>
      <c r="E1606" s="1">
        <v>1.2999999999999999E-3</v>
      </c>
      <c r="F1606" s="1">
        <v>0.75960000000000005</v>
      </c>
      <c r="G1606" s="1">
        <v>8.9999999999999998E-4</v>
      </c>
      <c r="H1606" s="1">
        <v>6.4000000000000001E-2</v>
      </c>
      <c r="I1606" s="1">
        <v>0.17419999999999999</v>
      </c>
    </row>
    <row r="1607" spans="1:9">
      <c r="A1607" s="25" t="s">
        <v>192</v>
      </c>
      <c r="B1607">
        <v>10434</v>
      </c>
      <c r="C1607" t="s">
        <v>192</v>
      </c>
      <c r="D1607">
        <v>10434</v>
      </c>
      <c r="E1607" s="1">
        <v>1.1000000000000001E-3</v>
      </c>
      <c r="F1607" s="1">
        <v>0.84460000000000002</v>
      </c>
      <c r="G1607" s="1">
        <v>3.0000000000000001E-3</v>
      </c>
      <c r="H1607" s="1">
        <v>5.8299999999999998E-2</v>
      </c>
      <c r="I1607" s="1">
        <v>9.2999999999999999E-2</v>
      </c>
    </row>
    <row r="1609" spans="1:9" ht="43.5">
      <c r="A1609" s="25" t="s">
        <v>551</v>
      </c>
    </row>
    <row r="1610" spans="1:9">
      <c r="A1610" s="25" t="s">
        <v>182</v>
      </c>
      <c r="B1610" t="s">
        <v>219</v>
      </c>
      <c r="C1610" t="s">
        <v>181</v>
      </c>
      <c r="D1610" t="s">
        <v>188</v>
      </c>
      <c r="E1610" t="s">
        <v>241</v>
      </c>
      <c r="F1610" t="s">
        <v>544</v>
      </c>
      <c r="G1610" t="s">
        <v>243</v>
      </c>
      <c r="H1610" t="s">
        <v>545</v>
      </c>
      <c r="I1610" t="s">
        <v>546</v>
      </c>
    </row>
    <row r="1611" spans="1:9">
      <c r="A1611" s="25" t="s">
        <v>211</v>
      </c>
      <c r="B1611">
        <v>4972</v>
      </c>
      <c r="C1611" t="s">
        <v>189</v>
      </c>
      <c r="D1611">
        <v>10434</v>
      </c>
      <c r="E1611" s="1">
        <v>1.1999999999999999E-3</v>
      </c>
      <c r="F1611" s="1">
        <v>0.81440000000000001</v>
      </c>
      <c r="G1611" s="1">
        <v>1E-3</v>
      </c>
      <c r="H1611" s="1">
        <v>5.5500000000000001E-2</v>
      </c>
      <c r="I1611" s="1">
        <v>0.12790000000000001</v>
      </c>
    </row>
    <row r="1612" spans="1:9">
      <c r="A1612" s="25" t="s">
        <v>212</v>
      </c>
      <c r="B1612">
        <v>3376</v>
      </c>
      <c r="C1612" t="s">
        <v>189</v>
      </c>
      <c r="D1612">
        <v>10434</v>
      </c>
      <c r="E1612" s="1">
        <v>1.2999999999999999E-3</v>
      </c>
      <c r="F1612" s="1">
        <v>0.89</v>
      </c>
      <c r="G1612" s="1">
        <v>4.1000000000000003E-3</v>
      </c>
      <c r="H1612" s="1">
        <v>5.8999999999999997E-2</v>
      </c>
      <c r="I1612" s="1">
        <v>4.5600000000000002E-2</v>
      </c>
    </row>
    <row r="1613" spans="1:9">
      <c r="A1613" s="25" t="s">
        <v>213</v>
      </c>
      <c r="B1613">
        <v>2086</v>
      </c>
      <c r="C1613" t="s">
        <v>189</v>
      </c>
      <c r="D1613">
        <v>10434</v>
      </c>
      <c r="E1613" s="1">
        <v>5.9999999999999995E-4</v>
      </c>
      <c r="F1613" s="1">
        <v>0.84509999999999996</v>
      </c>
      <c r="G1613" s="1">
        <v>5.8999999999999999E-3</v>
      </c>
      <c r="H1613" s="1">
        <v>6.3200000000000006E-2</v>
      </c>
      <c r="I1613" s="1">
        <v>8.5199999999999998E-2</v>
      </c>
    </row>
    <row r="1614" spans="1:9">
      <c r="A1614" s="25" t="s">
        <v>192</v>
      </c>
      <c r="B1614">
        <v>10434</v>
      </c>
      <c r="C1614" t="s">
        <v>192</v>
      </c>
      <c r="D1614">
        <v>10434</v>
      </c>
      <c r="E1614" s="1">
        <v>1.1000000000000001E-3</v>
      </c>
      <c r="F1614" s="1">
        <v>0.84460000000000002</v>
      </c>
      <c r="G1614" s="1">
        <v>3.0000000000000001E-3</v>
      </c>
      <c r="H1614" s="1">
        <v>5.8299999999999998E-2</v>
      </c>
      <c r="I1614" s="1">
        <v>9.2999999999999999E-2</v>
      </c>
    </row>
    <row r="1616" spans="1:9" ht="29.1">
      <c r="A1616" s="25" t="s">
        <v>552</v>
      </c>
    </row>
    <row r="1617" spans="1:9">
      <c r="A1617" s="25" t="s">
        <v>182</v>
      </c>
      <c r="B1617" t="s">
        <v>219</v>
      </c>
      <c r="C1617" t="s">
        <v>181</v>
      </c>
      <c r="D1617" t="s">
        <v>188</v>
      </c>
      <c r="E1617" t="s">
        <v>201</v>
      </c>
      <c r="F1617" t="s">
        <v>202</v>
      </c>
      <c r="G1617" t="s">
        <v>203</v>
      </c>
      <c r="H1617" t="s">
        <v>204</v>
      </c>
      <c r="I1617" t="s">
        <v>205</v>
      </c>
    </row>
    <row r="1618" spans="1:9">
      <c r="A1618" s="25" t="s">
        <v>190</v>
      </c>
      <c r="B1618">
        <v>4903</v>
      </c>
      <c r="C1618" t="s">
        <v>189</v>
      </c>
      <c r="D1618">
        <v>10434</v>
      </c>
      <c r="E1618" s="1">
        <v>4.2599999999999999E-2</v>
      </c>
      <c r="F1618" s="1">
        <v>2.5999999999999999E-3</v>
      </c>
      <c r="G1618" s="1">
        <v>0.88449999999999995</v>
      </c>
      <c r="H1618" s="1">
        <v>2.8E-3</v>
      </c>
      <c r="I1618" s="1">
        <v>6.7500000000000004E-2</v>
      </c>
    </row>
    <row r="1619" spans="1:9">
      <c r="A1619" s="25" t="s">
        <v>191</v>
      </c>
      <c r="B1619">
        <v>5474</v>
      </c>
      <c r="C1619" t="s">
        <v>189</v>
      </c>
      <c r="D1619">
        <v>10434</v>
      </c>
      <c r="E1619" s="1">
        <v>8.5599999999999996E-2</v>
      </c>
      <c r="F1619" s="1">
        <v>7.7999999999999996E-3</v>
      </c>
      <c r="G1619" s="1">
        <v>0.7248</v>
      </c>
      <c r="H1619" s="1">
        <v>1.2999999999999999E-3</v>
      </c>
      <c r="I1619" s="1">
        <v>0.18060000000000001</v>
      </c>
    </row>
    <row r="1620" spans="1:9">
      <c r="A1620" s="25" t="s">
        <v>192</v>
      </c>
      <c r="B1620">
        <v>10434</v>
      </c>
      <c r="C1620" t="s">
        <v>192</v>
      </c>
      <c r="D1620">
        <v>10434</v>
      </c>
      <c r="E1620" s="1">
        <v>6.9500000000000006E-2</v>
      </c>
      <c r="F1620" s="1">
        <v>5.7999999999999996E-3</v>
      </c>
      <c r="G1620" s="1">
        <v>0.7853</v>
      </c>
      <c r="H1620" s="1">
        <v>1.9E-3</v>
      </c>
      <c r="I1620" s="1">
        <v>0.1376</v>
      </c>
    </row>
    <row r="1622" spans="1:9" ht="43.5">
      <c r="A1622" s="25" t="s">
        <v>553</v>
      </c>
    </row>
    <row r="1623" spans="1:9">
      <c r="A1623" s="25" t="s">
        <v>182</v>
      </c>
      <c r="B1623" t="s">
        <v>219</v>
      </c>
      <c r="C1623" t="s">
        <v>181</v>
      </c>
      <c r="D1623" t="s">
        <v>188</v>
      </c>
      <c r="E1623" t="s">
        <v>201</v>
      </c>
      <c r="F1623" t="s">
        <v>202</v>
      </c>
      <c r="G1623" t="s">
        <v>203</v>
      </c>
      <c r="H1623" t="s">
        <v>204</v>
      </c>
      <c r="I1623" t="s">
        <v>205</v>
      </c>
    </row>
    <row r="1624" spans="1:9" ht="29.1">
      <c r="A1624" s="25" t="s">
        <v>194</v>
      </c>
      <c r="B1624">
        <v>5954</v>
      </c>
      <c r="C1624" t="s">
        <v>189</v>
      </c>
      <c r="D1624">
        <v>10434</v>
      </c>
      <c r="E1624" s="1">
        <v>5.5199999999999999E-2</v>
      </c>
      <c r="F1624" s="1">
        <v>1.8E-3</v>
      </c>
      <c r="G1624" s="1">
        <v>0.82210000000000005</v>
      </c>
      <c r="H1624" s="1">
        <v>1.9E-3</v>
      </c>
      <c r="I1624" s="1">
        <v>0.11899999999999999</v>
      </c>
    </row>
    <row r="1625" spans="1:9" ht="29.1">
      <c r="A1625" s="25" t="s">
        <v>195</v>
      </c>
      <c r="B1625">
        <v>2703</v>
      </c>
      <c r="C1625" t="s">
        <v>189</v>
      </c>
      <c r="D1625">
        <v>10434</v>
      </c>
      <c r="E1625" s="1">
        <v>9.1499999999999998E-2</v>
      </c>
      <c r="F1625" s="1">
        <v>6.8999999999999999E-3</v>
      </c>
      <c r="G1625" s="1">
        <v>0.77429999999999999</v>
      </c>
      <c r="H1625" s="1">
        <v>1.8E-3</v>
      </c>
      <c r="I1625" s="1">
        <v>0.1255</v>
      </c>
    </row>
    <row r="1626" spans="1:9" ht="29.1">
      <c r="A1626" s="25" t="s">
        <v>196</v>
      </c>
      <c r="B1626">
        <v>1720</v>
      </c>
      <c r="C1626" t="s">
        <v>189</v>
      </c>
      <c r="D1626">
        <v>10434</v>
      </c>
      <c r="E1626" s="1">
        <v>0.12989999999999999</v>
      </c>
      <c r="F1626" s="1">
        <v>3.3500000000000002E-2</v>
      </c>
      <c r="G1626" s="1">
        <v>0.53200000000000003</v>
      </c>
      <c r="H1626" s="1">
        <v>2E-3</v>
      </c>
      <c r="I1626" s="1">
        <v>0.30249999999999999</v>
      </c>
    </row>
    <row r="1627" spans="1:9">
      <c r="A1627" s="25" t="s">
        <v>192</v>
      </c>
      <c r="B1627">
        <v>10434</v>
      </c>
      <c r="C1627" t="s">
        <v>192</v>
      </c>
      <c r="D1627">
        <v>10434</v>
      </c>
      <c r="E1627" s="1">
        <v>6.9500000000000006E-2</v>
      </c>
      <c r="F1627" s="1">
        <v>5.7999999999999996E-3</v>
      </c>
      <c r="G1627" s="1">
        <v>0.7853</v>
      </c>
      <c r="H1627" s="1">
        <v>1.9E-3</v>
      </c>
      <c r="I1627" s="1">
        <v>0.1376</v>
      </c>
    </row>
    <row r="1629" spans="1:9" ht="29.1">
      <c r="A1629" s="25" t="s">
        <v>554</v>
      </c>
    </row>
    <row r="1630" spans="1:9">
      <c r="A1630" s="25" t="s">
        <v>182</v>
      </c>
      <c r="B1630" t="s">
        <v>219</v>
      </c>
      <c r="C1630" t="s">
        <v>181</v>
      </c>
      <c r="D1630" t="s">
        <v>188</v>
      </c>
      <c r="E1630" t="s">
        <v>201</v>
      </c>
      <c r="F1630" t="s">
        <v>202</v>
      </c>
      <c r="G1630" t="s">
        <v>203</v>
      </c>
      <c r="H1630" t="s">
        <v>204</v>
      </c>
      <c r="I1630" t="s">
        <v>205</v>
      </c>
    </row>
    <row r="1631" spans="1:9">
      <c r="A1631" s="25" t="s">
        <v>198</v>
      </c>
      <c r="B1631">
        <v>2264</v>
      </c>
      <c r="C1631" t="s">
        <v>189</v>
      </c>
      <c r="D1631">
        <v>10434</v>
      </c>
      <c r="E1631" s="1">
        <v>8.1600000000000006E-2</v>
      </c>
      <c r="F1631" s="1">
        <v>8.3999999999999995E-3</v>
      </c>
      <c r="G1631" s="1">
        <v>0.81330000000000002</v>
      </c>
      <c r="H1631" s="1">
        <v>1.1999999999999999E-3</v>
      </c>
      <c r="I1631" s="1">
        <v>9.5500000000000002E-2</v>
      </c>
    </row>
    <row r="1632" spans="1:9">
      <c r="A1632" s="25" t="s">
        <v>199</v>
      </c>
      <c r="B1632">
        <v>8170</v>
      </c>
      <c r="C1632" t="s">
        <v>189</v>
      </c>
      <c r="D1632">
        <v>10434</v>
      </c>
      <c r="E1632" s="1">
        <v>6.6799999999999998E-2</v>
      </c>
      <c r="F1632" s="1">
        <v>5.1999999999999998E-3</v>
      </c>
      <c r="G1632" s="1">
        <v>0.77900000000000003</v>
      </c>
      <c r="H1632" s="1">
        <v>2E-3</v>
      </c>
      <c r="I1632" s="1">
        <v>0.14699999999999999</v>
      </c>
    </row>
    <row r="1633" spans="1:9">
      <c r="A1633" s="25" t="s">
        <v>192</v>
      </c>
      <c r="B1633">
        <v>10434</v>
      </c>
      <c r="C1633" t="s">
        <v>192</v>
      </c>
      <c r="D1633">
        <v>10434</v>
      </c>
      <c r="E1633" s="1">
        <v>6.9500000000000006E-2</v>
      </c>
      <c r="F1633" s="1">
        <v>5.7999999999999996E-3</v>
      </c>
      <c r="G1633" s="1">
        <v>0.7853</v>
      </c>
      <c r="H1633" s="1">
        <v>1.9E-3</v>
      </c>
      <c r="I1633" s="1">
        <v>0.1376</v>
      </c>
    </row>
    <row r="1635" spans="1:9" ht="29.1">
      <c r="A1635" s="25" t="s">
        <v>555</v>
      </c>
    </row>
    <row r="1636" spans="1:9">
      <c r="A1636" s="25" t="s">
        <v>182</v>
      </c>
      <c r="B1636" t="s">
        <v>219</v>
      </c>
      <c r="C1636" t="s">
        <v>181</v>
      </c>
      <c r="D1636" t="s">
        <v>188</v>
      </c>
      <c r="E1636" t="s">
        <v>201</v>
      </c>
      <c r="F1636" t="s">
        <v>202</v>
      </c>
      <c r="G1636" t="s">
        <v>203</v>
      </c>
      <c r="H1636" t="s">
        <v>204</v>
      </c>
      <c r="I1636" t="s">
        <v>205</v>
      </c>
    </row>
    <row r="1637" spans="1:9">
      <c r="A1637" s="25" t="s">
        <v>296</v>
      </c>
      <c r="B1637">
        <v>3536</v>
      </c>
      <c r="C1637" t="s">
        <v>189</v>
      </c>
      <c r="D1637">
        <v>10434</v>
      </c>
      <c r="E1637" s="1">
        <v>0.104</v>
      </c>
      <c r="F1637" s="1">
        <v>8.0999999999999996E-3</v>
      </c>
      <c r="G1637" s="1">
        <v>0.67190000000000005</v>
      </c>
      <c r="H1637" s="1">
        <v>1.2999999999999999E-3</v>
      </c>
      <c r="I1637" s="1">
        <v>0.21479999999999999</v>
      </c>
    </row>
    <row r="1638" spans="1:9">
      <c r="A1638" s="25" t="s">
        <v>297</v>
      </c>
      <c r="B1638">
        <v>6898</v>
      </c>
      <c r="C1638" t="s">
        <v>189</v>
      </c>
      <c r="D1638">
        <v>10434</v>
      </c>
      <c r="E1638" s="1">
        <v>5.2900000000000003E-2</v>
      </c>
      <c r="F1638" s="1">
        <v>4.7000000000000002E-3</v>
      </c>
      <c r="G1638" s="1">
        <v>0.8397</v>
      </c>
      <c r="H1638" s="1">
        <v>2.2000000000000001E-3</v>
      </c>
      <c r="I1638" s="1">
        <v>0.10059999999999999</v>
      </c>
    </row>
    <row r="1639" spans="1:9">
      <c r="A1639" s="25" t="s">
        <v>192</v>
      </c>
      <c r="B1639">
        <v>10434</v>
      </c>
      <c r="C1639" t="s">
        <v>192</v>
      </c>
      <c r="D1639">
        <v>10434</v>
      </c>
      <c r="E1639" s="1">
        <v>6.9500000000000006E-2</v>
      </c>
      <c r="F1639" s="1">
        <v>5.7999999999999996E-3</v>
      </c>
      <c r="G1639" s="1">
        <v>0.7853</v>
      </c>
      <c r="H1639" s="1">
        <v>1.9E-3</v>
      </c>
      <c r="I1639" s="1">
        <v>0.1376</v>
      </c>
    </row>
    <row r="1641" spans="1:9" ht="29.1">
      <c r="A1641" s="25" t="s">
        <v>556</v>
      </c>
    </row>
    <row r="1642" spans="1:9">
      <c r="A1642" s="25" t="s">
        <v>182</v>
      </c>
      <c r="B1642" t="s">
        <v>219</v>
      </c>
      <c r="C1642" t="s">
        <v>181</v>
      </c>
      <c r="D1642" t="s">
        <v>188</v>
      </c>
      <c r="E1642" t="s">
        <v>201</v>
      </c>
      <c r="F1642" t="s">
        <v>202</v>
      </c>
      <c r="G1642" t="s">
        <v>203</v>
      </c>
      <c r="H1642" t="s">
        <v>204</v>
      </c>
      <c r="I1642" t="s">
        <v>205</v>
      </c>
    </row>
    <row r="1643" spans="1:9">
      <c r="A1643" s="25" t="s">
        <v>207</v>
      </c>
      <c r="B1643">
        <v>7254</v>
      </c>
      <c r="C1643" t="s">
        <v>189</v>
      </c>
      <c r="D1643">
        <v>10434</v>
      </c>
      <c r="E1643" s="1">
        <v>7.6700000000000004E-2</v>
      </c>
      <c r="F1643" s="1">
        <v>7.4999999999999997E-3</v>
      </c>
      <c r="G1643" s="1">
        <v>0.7651</v>
      </c>
      <c r="H1643" s="1">
        <v>2E-3</v>
      </c>
      <c r="I1643" s="1">
        <v>0.1487</v>
      </c>
    </row>
    <row r="1644" spans="1:9">
      <c r="A1644" s="25" t="s">
        <v>208</v>
      </c>
      <c r="B1644">
        <v>2245</v>
      </c>
      <c r="C1644" t="s">
        <v>189</v>
      </c>
      <c r="D1644">
        <v>10434</v>
      </c>
      <c r="E1644" s="1">
        <v>4.5900000000000003E-2</v>
      </c>
      <c r="F1644" s="1">
        <v>1.8E-3</v>
      </c>
      <c r="G1644" s="1">
        <v>0.85240000000000005</v>
      </c>
      <c r="H1644" s="1">
        <v>2E-3</v>
      </c>
      <c r="I1644" s="1">
        <v>9.7900000000000001E-2</v>
      </c>
    </row>
    <row r="1645" spans="1:9">
      <c r="A1645" s="25" t="s">
        <v>209</v>
      </c>
      <c r="B1645">
        <v>935</v>
      </c>
      <c r="C1645" t="s">
        <v>189</v>
      </c>
      <c r="D1645">
        <v>10434</v>
      </c>
      <c r="E1645" s="1">
        <v>7.2800000000000004E-2</v>
      </c>
      <c r="F1645" s="1">
        <v>1.8E-3</v>
      </c>
      <c r="G1645" s="1">
        <v>0.7722</v>
      </c>
      <c r="H1645" s="1">
        <v>8.0000000000000004E-4</v>
      </c>
      <c r="I1645" s="1">
        <v>0.1525</v>
      </c>
    </row>
    <row r="1646" spans="1:9">
      <c r="A1646" s="25" t="s">
        <v>192</v>
      </c>
      <c r="B1646">
        <v>10434</v>
      </c>
      <c r="C1646" t="s">
        <v>192</v>
      </c>
      <c r="D1646">
        <v>10434</v>
      </c>
      <c r="E1646" s="1">
        <v>6.9500000000000006E-2</v>
      </c>
      <c r="F1646" s="1">
        <v>5.7999999999999996E-3</v>
      </c>
      <c r="G1646" s="1">
        <v>0.7853</v>
      </c>
      <c r="H1646" s="1">
        <v>1.9E-3</v>
      </c>
      <c r="I1646" s="1">
        <v>0.1376</v>
      </c>
    </row>
    <row r="1648" spans="1:9" ht="29.1">
      <c r="A1648" s="25" t="s">
        <v>557</v>
      </c>
    </row>
    <row r="1649" spans="1:9">
      <c r="A1649" s="25" t="s">
        <v>182</v>
      </c>
      <c r="B1649" t="s">
        <v>219</v>
      </c>
      <c r="C1649" t="s">
        <v>181</v>
      </c>
      <c r="D1649" t="s">
        <v>188</v>
      </c>
      <c r="E1649" t="s">
        <v>201</v>
      </c>
      <c r="F1649" t="s">
        <v>202</v>
      </c>
      <c r="G1649" t="s">
        <v>203</v>
      </c>
      <c r="H1649" t="s">
        <v>204</v>
      </c>
      <c r="I1649" t="s">
        <v>205</v>
      </c>
    </row>
    <row r="1650" spans="1:9">
      <c r="A1650" s="25" t="s">
        <v>211</v>
      </c>
      <c r="B1650">
        <v>4972</v>
      </c>
      <c r="C1650" t="s">
        <v>189</v>
      </c>
      <c r="D1650">
        <v>10434</v>
      </c>
      <c r="E1650" s="1">
        <v>6.4299999999999996E-2</v>
      </c>
      <c r="F1650" s="1">
        <v>6.7999999999999996E-3</v>
      </c>
      <c r="G1650" s="1">
        <v>0.75819999999999999</v>
      </c>
      <c r="H1650" s="1">
        <v>1.9E-3</v>
      </c>
      <c r="I1650" s="1">
        <v>0.16880000000000001</v>
      </c>
    </row>
    <row r="1651" spans="1:9">
      <c r="A1651" s="25" t="s">
        <v>212</v>
      </c>
      <c r="B1651">
        <v>3376</v>
      </c>
      <c r="C1651" t="s">
        <v>189</v>
      </c>
      <c r="D1651">
        <v>10434</v>
      </c>
      <c r="E1651" s="1">
        <v>7.9699999999999993E-2</v>
      </c>
      <c r="F1651" s="1">
        <v>4.8999999999999998E-3</v>
      </c>
      <c r="G1651" s="1">
        <v>0.79979999999999996</v>
      </c>
      <c r="H1651" s="1">
        <v>1.1999999999999999E-3</v>
      </c>
      <c r="I1651" s="1">
        <v>0.1145</v>
      </c>
    </row>
    <row r="1652" spans="1:9">
      <c r="A1652" s="25" t="s">
        <v>213</v>
      </c>
      <c r="B1652">
        <v>2086</v>
      </c>
      <c r="C1652" t="s">
        <v>189</v>
      </c>
      <c r="D1652">
        <v>10434</v>
      </c>
      <c r="E1652" s="1">
        <v>6.6199999999999995E-2</v>
      </c>
      <c r="F1652" s="1">
        <v>4.8999999999999998E-3</v>
      </c>
      <c r="G1652" s="1">
        <v>0.82289999999999996</v>
      </c>
      <c r="H1652" s="1">
        <v>2.7000000000000001E-3</v>
      </c>
      <c r="I1652" s="1">
        <v>0.1033</v>
      </c>
    </row>
    <row r="1653" spans="1:9">
      <c r="A1653" s="25" t="s">
        <v>192</v>
      </c>
      <c r="B1653">
        <v>10434</v>
      </c>
      <c r="C1653" t="s">
        <v>192</v>
      </c>
      <c r="D1653">
        <v>10434</v>
      </c>
      <c r="E1653" s="1">
        <v>6.9500000000000006E-2</v>
      </c>
      <c r="F1653" s="1">
        <v>5.7999999999999996E-3</v>
      </c>
      <c r="G1653" s="1">
        <v>0.7853</v>
      </c>
      <c r="H1653" s="1">
        <v>1.9E-3</v>
      </c>
      <c r="I1653" s="1">
        <v>0.1376</v>
      </c>
    </row>
    <row r="1655" spans="1:9" ht="43.5">
      <c r="A1655" s="25" t="s">
        <v>558</v>
      </c>
    </row>
    <row r="1656" spans="1:9">
      <c r="A1656" s="25" t="s">
        <v>182</v>
      </c>
      <c r="B1656" t="s">
        <v>219</v>
      </c>
      <c r="C1656" t="s">
        <v>181</v>
      </c>
      <c r="D1656" t="s">
        <v>188</v>
      </c>
      <c r="E1656" t="s">
        <v>201</v>
      </c>
      <c r="F1656" t="s">
        <v>202</v>
      </c>
      <c r="G1656" t="s">
        <v>203</v>
      </c>
      <c r="H1656" t="s">
        <v>204</v>
      </c>
      <c r="I1656" t="s">
        <v>205</v>
      </c>
    </row>
    <row r="1657" spans="1:9">
      <c r="A1657" s="25" t="s">
        <v>559</v>
      </c>
      <c r="B1657">
        <v>3032</v>
      </c>
      <c r="C1657" t="s">
        <v>189</v>
      </c>
      <c r="D1657">
        <v>10434</v>
      </c>
      <c r="E1657" s="1">
        <v>3.6400000000000002E-2</v>
      </c>
      <c r="F1657" s="1">
        <v>2.0999999999999999E-3</v>
      </c>
      <c r="G1657" s="1">
        <v>0.90080000000000005</v>
      </c>
      <c r="H1657" s="1">
        <v>1.4E-3</v>
      </c>
      <c r="I1657" s="1">
        <v>5.9400000000000001E-2</v>
      </c>
    </row>
    <row r="1658" spans="1:9" ht="29.1">
      <c r="A1658" s="25" t="s">
        <v>560</v>
      </c>
      <c r="B1658">
        <v>2166</v>
      </c>
      <c r="C1658" t="s">
        <v>189</v>
      </c>
      <c r="D1658">
        <v>10434</v>
      </c>
      <c r="E1658" s="1">
        <v>8.7599999999999997E-2</v>
      </c>
      <c r="F1658" s="1">
        <v>6.6E-3</v>
      </c>
      <c r="G1658" s="1">
        <v>0.71809999999999996</v>
      </c>
      <c r="H1658" s="1">
        <v>1.6999999999999999E-3</v>
      </c>
      <c r="I1658" s="1">
        <v>0.18590000000000001</v>
      </c>
    </row>
    <row r="1659" spans="1:9">
      <c r="A1659" s="25" t="s">
        <v>561</v>
      </c>
      <c r="B1659">
        <v>4162</v>
      </c>
      <c r="C1659" t="s">
        <v>189</v>
      </c>
      <c r="D1659">
        <v>10434</v>
      </c>
      <c r="E1659" s="1">
        <v>6.9199999999999998E-2</v>
      </c>
      <c r="F1659" s="1">
        <v>5.7999999999999996E-3</v>
      </c>
      <c r="G1659" s="1">
        <v>0.74609999999999999</v>
      </c>
      <c r="H1659" s="1">
        <v>1.9E-3</v>
      </c>
      <c r="I1659" s="1">
        <v>0.17699999999999999</v>
      </c>
    </row>
    <row r="1660" spans="1:9">
      <c r="A1660" s="25" t="s">
        <v>562</v>
      </c>
      <c r="B1660">
        <v>1059</v>
      </c>
      <c r="C1660" t="s">
        <v>189</v>
      </c>
      <c r="D1660">
        <v>10434</v>
      </c>
      <c r="E1660" s="1">
        <v>0.1497</v>
      </c>
      <c r="F1660" s="1">
        <v>1.7600000000000001E-2</v>
      </c>
      <c r="G1660" s="1">
        <v>0.74639999999999995</v>
      </c>
      <c r="H1660" s="1">
        <v>2.8E-3</v>
      </c>
      <c r="I1660" s="1">
        <v>8.3500000000000005E-2</v>
      </c>
    </row>
    <row r="1661" spans="1:9">
      <c r="A1661" s="25" t="s">
        <v>204</v>
      </c>
      <c r="B1661">
        <v>15</v>
      </c>
      <c r="C1661" t="s">
        <v>189</v>
      </c>
      <c r="D1661">
        <v>10434</v>
      </c>
      <c r="E1661" s="1">
        <v>2.6700000000000002E-2</v>
      </c>
      <c r="G1661" s="1">
        <v>0.7248</v>
      </c>
      <c r="H1661" s="1">
        <v>8.8200000000000001E-2</v>
      </c>
      <c r="I1661" s="1">
        <v>0.1603</v>
      </c>
    </row>
    <row r="1662" spans="1:9">
      <c r="A1662" s="25" t="s">
        <v>192</v>
      </c>
      <c r="B1662">
        <v>10434</v>
      </c>
      <c r="C1662" t="s">
        <v>192</v>
      </c>
      <c r="D1662">
        <v>10434</v>
      </c>
      <c r="E1662" s="1">
        <v>6.9500000000000006E-2</v>
      </c>
      <c r="F1662" s="1">
        <v>5.7999999999999996E-3</v>
      </c>
      <c r="G1662" s="1">
        <v>0.7853</v>
      </c>
      <c r="H1662" s="1">
        <v>1.9E-3</v>
      </c>
      <c r="I1662" s="1">
        <v>0.1376</v>
      </c>
    </row>
    <row r="1664" spans="1:9" ht="29.1">
      <c r="A1664" s="25" t="s">
        <v>563</v>
      </c>
    </row>
    <row r="1665" spans="1:8">
      <c r="A1665" s="25" t="s">
        <v>182</v>
      </c>
      <c r="B1665" t="s">
        <v>219</v>
      </c>
      <c r="C1665" t="s">
        <v>181</v>
      </c>
      <c r="D1665" t="s">
        <v>188</v>
      </c>
      <c r="E1665" t="s">
        <v>241</v>
      </c>
      <c r="F1665" t="s">
        <v>220</v>
      </c>
      <c r="G1665" t="s">
        <v>243</v>
      </c>
      <c r="H1665" t="s">
        <v>221</v>
      </c>
    </row>
    <row r="1666" spans="1:8">
      <c r="A1666" s="25" t="s">
        <v>190</v>
      </c>
      <c r="B1666">
        <v>855</v>
      </c>
      <c r="C1666" t="s">
        <v>189</v>
      </c>
      <c r="D1666">
        <v>2366</v>
      </c>
      <c r="E1666" s="1">
        <v>5.0000000000000001E-4</v>
      </c>
      <c r="F1666" s="1">
        <v>0.75829999999999997</v>
      </c>
      <c r="G1666" s="1">
        <v>2.9999999999999997E-4</v>
      </c>
      <c r="H1666" s="1">
        <v>0.24079999999999999</v>
      </c>
    </row>
    <row r="1667" spans="1:8">
      <c r="A1667" s="25" t="s">
        <v>191</v>
      </c>
      <c r="B1667">
        <v>1475</v>
      </c>
      <c r="C1667" t="s">
        <v>189</v>
      </c>
      <c r="D1667">
        <v>2366</v>
      </c>
      <c r="E1667" s="1">
        <v>6.9999999999999999E-4</v>
      </c>
      <c r="F1667" s="1">
        <v>0.72470000000000001</v>
      </c>
      <c r="G1667" s="1">
        <v>1.9E-3</v>
      </c>
      <c r="H1667" s="1">
        <v>0.2727</v>
      </c>
    </row>
    <row r="1668" spans="1:8">
      <c r="A1668" s="25" t="s">
        <v>192</v>
      </c>
      <c r="B1668">
        <v>2366</v>
      </c>
      <c r="C1668" t="s">
        <v>192</v>
      </c>
      <c r="D1668">
        <v>2366</v>
      </c>
      <c r="E1668" s="1">
        <v>5.9999999999999995E-4</v>
      </c>
      <c r="F1668" s="1">
        <v>0.7319</v>
      </c>
      <c r="G1668" s="1">
        <v>1.6000000000000001E-3</v>
      </c>
      <c r="H1668" s="1">
        <v>0.26590000000000003</v>
      </c>
    </row>
    <row r="1670" spans="1:8" ht="43.5">
      <c r="A1670" s="25" t="s">
        <v>564</v>
      </c>
    </row>
    <row r="1671" spans="1:8">
      <c r="A1671" s="25" t="s">
        <v>182</v>
      </c>
      <c r="B1671" t="s">
        <v>219</v>
      </c>
      <c r="C1671" t="s">
        <v>181</v>
      </c>
      <c r="D1671" t="s">
        <v>188</v>
      </c>
      <c r="E1671" t="s">
        <v>241</v>
      </c>
      <c r="F1671" t="s">
        <v>220</v>
      </c>
      <c r="G1671" t="s">
        <v>243</v>
      </c>
      <c r="H1671" t="s">
        <v>221</v>
      </c>
    </row>
    <row r="1672" spans="1:8" ht="29.1">
      <c r="A1672" s="25" t="s">
        <v>194</v>
      </c>
      <c r="B1672">
        <v>829</v>
      </c>
      <c r="C1672" t="s">
        <v>189</v>
      </c>
      <c r="D1672">
        <v>2366</v>
      </c>
      <c r="F1672" s="1">
        <v>0.7107</v>
      </c>
      <c r="G1672" s="1">
        <v>2E-3</v>
      </c>
      <c r="H1672" s="1">
        <v>0.2873</v>
      </c>
    </row>
    <row r="1673" spans="1:8" ht="29.1">
      <c r="A1673" s="25" t="s">
        <v>195</v>
      </c>
      <c r="B1673">
        <v>678</v>
      </c>
      <c r="C1673" t="s">
        <v>189</v>
      </c>
      <c r="D1673">
        <v>2366</v>
      </c>
      <c r="E1673" s="1">
        <v>2.0999999999999999E-3</v>
      </c>
      <c r="F1673" s="1">
        <v>0.72289999999999999</v>
      </c>
      <c r="H1673" s="1">
        <v>0.27510000000000001</v>
      </c>
    </row>
    <row r="1674" spans="1:8" ht="29.1">
      <c r="A1674" s="25" t="s">
        <v>196</v>
      </c>
      <c r="B1674">
        <v>823</v>
      </c>
      <c r="C1674" t="s">
        <v>189</v>
      </c>
      <c r="D1674">
        <v>2366</v>
      </c>
      <c r="E1674" s="1">
        <v>1.1000000000000001E-3</v>
      </c>
      <c r="F1674" s="1">
        <v>0.79959999999999998</v>
      </c>
      <c r="G1674" s="1">
        <v>2E-3</v>
      </c>
      <c r="H1674" s="1">
        <v>0.1973</v>
      </c>
    </row>
    <row r="1675" spans="1:8">
      <c r="A1675" s="25" t="s">
        <v>192</v>
      </c>
      <c r="B1675">
        <v>2366</v>
      </c>
      <c r="C1675" t="s">
        <v>192</v>
      </c>
      <c r="D1675">
        <v>2366</v>
      </c>
      <c r="E1675" s="1">
        <v>5.9999999999999995E-4</v>
      </c>
      <c r="F1675" s="1">
        <v>0.7319</v>
      </c>
      <c r="G1675" s="1">
        <v>1.6000000000000001E-3</v>
      </c>
      <c r="H1675" s="1">
        <v>0.26590000000000003</v>
      </c>
    </row>
    <row r="1677" spans="1:8" ht="43.5">
      <c r="A1677" s="25" t="s">
        <v>565</v>
      </c>
    </row>
    <row r="1678" spans="1:8">
      <c r="A1678" s="25" t="s">
        <v>182</v>
      </c>
      <c r="B1678" t="s">
        <v>219</v>
      </c>
      <c r="C1678" t="s">
        <v>181</v>
      </c>
      <c r="D1678" t="s">
        <v>188</v>
      </c>
      <c r="E1678" t="s">
        <v>241</v>
      </c>
      <c r="F1678" t="s">
        <v>220</v>
      </c>
      <c r="G1678" t="s">
        <v>243</v>
      </c>
      <c r="H1678" t="s">
        <v>221</v>
      </c>
    </row>
    <row r="1679" spans="1:8">
      <c r="A1679" s="25" t="s">
        <v>198</v>
      </c>
      <c r="B1679">
        <v>501</v>
      </c>
      <c r="C1679" t="s">
        <v>189</v>
      </c>
      <c r="D1679">
        <v>2366</v>
      </c>
      <c r="E1679" s="1">
        <v>6.9999999999999999E-4</v>
      </c>
      <c r="F1679" s="1">
        <v>0.80079999999999996</v>
      </c>
      <c r="G1679" s="1">
        <v>3.8E-3</v>
      </c>
      <c r="H1679" s="1">
        <v>0.1948</v>
      </c>
    </row>
    <row r="1680" spans="1:8">
      <c r="A1680" s="25" t="s">
        <v>199</v>
      </c>
      <c r="B1680">
        <v>1865</v>
      </c>
      <c r="C1680" t="s">
        <v>189</v>
      </c>
      <c r="D1680">
        <v>2366</v>
      </c>
      <c r="E1680" s="1">
        <v>5.9999999999999995E-4</v>
      </c>
      <c r="F1680" s="1">
        <v>0.71879999999999999</v>
      </c>
      <c r="G1680" s="1">
        <v>1.1999999999999999E-3</v>
      </c>
      <c r="H1680" s="1">
        <v>0.27939999999999998</v>
      </c>
    </row>
    <row r="1681" spans="1:8">
      <c r="A1681" s="25" t="s">
        <v>192</v>
      </c>
      <c r="B1681">
        <v>2366</v>
      </c>
      <c r="C1681" t="s">
        <v>192</v>
      </c>
      <c r="D1681">
        <v>2366</v>
      </c>
      <c r="E1681" s="1">
        <v>5.9999999999999995E-4</v>
      </c>
      <c r="F1681" s="1">
        <v>0.7319</v>
      </c>
      <c r="G1681" s="1">
        <v>1.6000000000000001E-3</v>
      </c>
      <c r="H1681" s="1">
        <v>0.26590000000000003</v>
      </c>
    </row>
    <row r="1683" spans="1:8" ht="43.5">
      <c r="A1683" s="25" t="s">
        <v>566</v>
      </c>
    </row>
    <row r="1684" spans="1:8">
      <c r="A1684" s="25" t="s">
        <v>182</v>
      </c>
      <c r="B1684" t="s">
        <v>219</v>
      </c>
      <c r="C1684" t="s">
        <v>181</v>
      </c>
      <c r="D1684" t="s">
        <v>188</v>
      </c>
      <c r="E1684" t="s">
        <v>241</v>
      </c>
      <c r="F1684" t="s">
        <v>220</v>
      </c>
      <c r="G1684" t="s">
        <v>243</v>
      </c>
      <c r="H1684" t="s">
        <v>221</v>
      </c>
    </row>
    <row r="1685" spans="1:8">
      <c r="A1685" s="25" t="s">
        <v>201</v>
      </c>
      <c r="B1685">
        <v>767</v>
      </c>
      <c r="C1685" t="s">
        <v>189</v>
      </c>
      <c r="D1685">
        <v>2366</v>
      </c>
      <c r="F1685" s="1">
        <v>0.88129999999999997</v>
      </c>
      <c r="H1685" s="1">
        <v>0.1187</v>
      </c>
    </row>
    <row r="1686" spans="1:8">
      <c r="A1686" s="25" t="s">
        <v>202</v>
      </c>
      <c r="B1686">
        <v>110</v>
      </c>
      <c r="C1686" t="s">
        <v>189</v>
      </c>
      <c r="D1686">
        <v>2366</v>
      </c>
      <c r="F1686" s="1">
        <v>0.92130000000000001</v>
      </c>
      <c r="G1686" s="1">
        <v>2.5999999999999999E-3</v>
      </c>
      <c r="H1686" s="1">
        <v>7.6200000000000004E-2</v>
      </c>
    </row>
    <row r="1687" spans="1:8">
      <c r="A1687" s="25" t="s">
        <v>204</v>
      </c>
      <c r="B1687">
        <v>5</v>
      </c>
      <c r="C1687" t="s">
        <v>189</v>
      </c>
      <c r="D1687">
        <v>2366</v>
      </c>
      <c r="F1687" s="1">
        <v>0.35659999999999997</v>
      </c>
      <c r="H1687" s="1">
        <v>0.64339999999999997</v>
      </c>
    </row>
    <row r="1688" spans="1:8">
      <c r="A1688" s="25" t="s">
        <v>205</v>
      </c>
      <c r="B1688">
        <v>1484</v>
      </c>
      <c r="C1688" t="s">
        <v>189</v>
      </c>
      <c r="D1688">
        <v>2366</v>
      </c>
      <c r="E1688" s="1">
        <v>1E-3</v>
      </c>
      <c r="F1688" s="1">
        <v>0.64900000000000002</v>
      </c>
      <c r="G1688" s="1">
        <v>2.3999999999999998E-3</v>
      </c>
      <c r="H1688" s="1">
        <v>0.34760000000000002</v>
      </c>
    </row>
    <row r="1689" spans="1:8">
      <c r="A1689" s="25" t="s">
        <v>192</v>
      </c>
      <c r="B1689">
        <v>2366</v>
      </c>
      <c r="C1689" t="s">
        <v>192</v>
      </c>
      <c r="D1689">
        <v>2366</v>
      </c>
      <c r="E1689" s="1">
        <v>5.9999999999999995E-4</v>
      </c>
      <c r="F1689" s="1">
        <v>0.7319</v>
      </c>
      <c r="G1689" s="1">
        <v>1.6000000000000001E-3</v>
      </c>
      <c r="H1689" s="1">
        <v>0.26590000000000003</v>
      </c>
    </row>
    <row r="1691" spans="1:8" ht="43.5">
      <c r="A1691" s="25" t="s">
        <v>567</v>
      </c>
    </row>
    <row r="1692" spans="1:8">
      <c r="A1692" s="25" t="s">
        <v>182</v>
      </c>
      <c r="B1692" t="s">
        <v>219</v>
      </c>
      <c r="C1692" t="s">
        <v>181</v>
      </c>
      <c r="D1692" t="s">
        <v>188</v>
      </c>
      <c r="E1692" t="s">
        <v>241</v>
      </c>
      <c r="F1692" t="s">
        <v>220</v>
      </c>
      <c r="G1692" t="s">
        <v>243</v>
      </c>
      <c r="H1692" t="s">
        <v>221</v>
      </c>
    </row>
    <row r="1693" spans="1:8">
      <c r="A1693" s="25" t="s">
        <v>207</v>
      </c>
      <c r="B1693">
        <v>1778</v>
      </c>
      <c r="C1693" t="s">
        <v>189</v>
      </c>
      <c r="D1693">
        <v>2366</v>
      </c>
      <c r="E1693" s="1">
        <v>6.9999999999999999E-4</v>
      </c>
      <c r="F1693" s="1">
        <v>0.73729999999999996</v>
      </c>
      <c r="G1693" s="1">
        <v>1.6000000000000001E-3</v>
      </c>
      <c r="H1693" s="1">
        <v>0.26040000000000002</v>
      </c>
    </row>
    <row r="1694" spans="1:8">
      <c r="A1694" s="25" t="s">
        <v>208</v>
      </c>
      <c r="B1694">
        <v>324</v>
      </c>
      <c r="C1694" t="s">
        <v>189</v>
      </c>
      <c r="D1694">
        <v>2366</v>
      </c>
      <c r="E1694" s="1">
        <v>6.9999999999999999E-4</v>
      </c>
      <c r="F1694" s="1">
        <v>0.71509999999999996</v>
      </c>
      <c r="G1694" s="1">
        <v>2.3E-3</v>
      </c>
      <c r="H1694" s="1">
        <v>0.28189999999999998</v>
      </c>
    </row>
    <row r="1695" spans="1:8">
      <c r="A1695" s="25" t="s">
        <v>209</v>
      </c>
      <c r="B1695">
        <v>264</v>
      </c>
      <c r="C1695" t="s">
        <v>189</v>
      </c>
      <c r="D1695">
        <v>2366</v>
      </c>
      <c r="F1695" s="1">
        <v>0.71379999999999999</v>
      </c>
      <c r="H1695" s="1">
        <v>0.28620000000000001</v>
      </c>
    </row>
    <row r="1696" spans="1:8">
      <c r="A1696" s="25" t="s">
        <v>192</v>
      </c>
      <c r="B1696">
        <v>2366</v>
      </c>
      <c r="C1696" t="s">
        <v>192</v>
      </c>
      <c r="D1696">
        <v>2366</v>
      </c>
      <c r="E1696" s="1">
        <v>5.9999999999999995E-4</v>
      </c>
      <c r="F1696" s="1">
        <v>0.7319</v>
      </c>
      <c r="G1696" s="1">
        <v>1.6000000000000001E-3</v>
      </c>
      <c r="H1696" s="1">
        <v>0.26590000000000003</v>
      </c>
    </row>
    <row r="1698" spans="1:10" ht="43.5">
      <c r="A1698" s="25" t="s">
        <v>568</v>
      </c>
    </row>
    <row r="1699" spans="1:10">
      <c r="A1699" s="25" t="s">
        <v>182</v>
      </c>
      <c r="B1699" t="s">
        <v>219</v>
      </c>
      <c r="C1699" t="s">
        <v>181</v>
      </c>
      <c r="D1699" t="s">
        <v>188</v>
      </c>
      <c r="E1699" t="s">
        <v>241</v>
      </c>
      <c r="F1699" t="s">
        <v>220</v>
      </c>
      <c r="G1699" t="s">
        <v>243</v>
      </c>
      <c r="H1699" t="s">
        <v>221</v>
      </c>
    </row>
    <row r="1700" spans="1:10">
      <c r="A1700" s="25" t="s">
        <v>211</v>
      </c>
      <c r="B1700">
        <v>1201</v>
      </c>
      <c r="C1700" t="s">
        <v>189</v>
      </c>
      <c r="D1700">
        <v>2366</v>
      </c>
      <c r="E1700" s="1">
        <v>1E-3</v>
      </c>
      <c r="F1700" s="1">
        <v>0.7319</v>
      </c>
      <c r="H1700" s="1">
        <v>0.2671</v>
      </c>
    </row>
    <row r="1701" spans="1:10">
      <c r="A1701" s="25" t="s">
        <v>212</v>
      </c>
      <c r="B1701">
        <v>795</v>
      </c>
      <c r="C1701" t="s">
        <v>189</v>
      </c>
      <c r="D1701">
        <v>2366</v>
      </c>
      <c r="E1701" s="1">
        <v>4.0000000000000002E-4</v>
      </c>
      <c r="F1701" s="1">
        <v>0.70389999999999997</v>
      </c>
      <c r="G1701" s="1">
        <v>3.3E-3</v>
      </c>
      <c r="H1701" s="1">
        <v>0.29249999999999998</v>
      </c>
    </row>
    <row r="1702" spans="1:10">
      <c r="A1702" s="25" t="s">
        <v>213</v>
      </c>
      <c r="B1702">
        <v>370</v>
      </c>
      <c r="C1702" t="s">
        <v>189</v>
      </c>
      <c r="D1702">
        <v>2366</v>
      </c>
      <c r="F1702" s="1">
        <v>0.77759999999999996</v>
      </c>
      <c r="G1702" s="1">
        <v>3.5999999999999999E-3</v>
      </c>
      <c r="H1702" s="1">
        <v>0.21890000000000001</v>
      </c>
    </row>
    <row r="1703" spans="1:10">
      <c r="A1703" s="25" t="s">
        <v>192</v>
      </c>
      <c r="B1703">
        <v>2366</v>
      </c>
      <c r="C1703" t="s">
        <v>192</v>
      </c>
      <c r="D1703">
        <v>2366</v>
      </c>
      <c r="E1703" s="1">
        <v>5.9999999999999995E-4</v>
      </c>
      <c r="F1703" s="1">
        <v>0.7319</v>
      </c>
      <c r="G1703" s="1">
        <v>1.6000000000000001E-3</v>
      </c>
      <c r="H1703" s="1">
        <v>0.26590000000000003</v>
      </c>
    </row>
    <row r="1705" spans="1:10" ht="57.95">
      <c r="A1705" s="25" t="s">
        <v>569</v>
      </c>
    </row>
    <row r="1706" spans="1:10">
      <c r="A1706" s="25" t="s">
        <v>182</v>
      </c>
      <c r="B1706" t="s">
        <v>219</v>
      </c>
      <c r="C1706" t="s">
        <v>181</v>
      </c>
      <c r="D1706" t="s">
        <v>188</v>
      </c>
      <c r="E1706" t="s">
        <v>570</v>
      </c>
      <c r="F1706" t="s">
        <v>571</v>
      </c>
      <c r="G1706" t="s">
        <v>572</v>
      </c>
      <c r="H1706" t="s">
        <v>573</v>
      </c>
      <c r="I1706" t="s">
        <v>574</v>
      </c>
      <c r="J1706" t="s">
        <v>575</v>
      </c>
    </row>
    <row r="1707" spans="1:10">
      <c r="A1707" s="25" t="s">
        <v>201</v>
      </c>
      <c r="B1707">
        <v>767</v>
      </c>
      <c r="C1707" t="s">
        <v>189</v>
      </c>
      <c r="D1707">
        <v>1087</v>
      </c>
      <c r="E1707" s="1">
        <v>3.0800000000000001E-2</v>
      </c>
      <c r="F1707" s="1">
        <v>0.77480000000000004</v>
      </c>
      <c r="G1707" s="1">
        <v>4.5199999999999997E-2</v>
      </c>
      <c r="H1707" s="1">
        <v>5.2200000000000003E-2</v>
      </c>
      <c r="I1707" s="1">
        <v>6.7599999999999993E-2</v>
      </c>
      <c r="J1707" s="1">
        <v>2.9499999999999998E-2</v>
      </c>
    </row>
    <row r="1708" spans="1:10">
      <c r="A1708" s="25" t="s">
        <v>202</v>
      </c>
      <c r="B1708">
        <v>110</v>
      </c>
      <c r="C1708" t="s">
        <v>189</v>
      </c>
      <c r="D1708">
        <v>1087</v>
      </c>
      <c r="E1708" s="1">
        <v>5.1400000000000001E-2</v>
      </c>
      <c r="F1708" s="1">
        <v>0.76249999999999996</v>
      </c>
      <c r="G1708" s="1">
        <v>3.8699999999999998E-2</v>
      </c>
      <c r="H1708" s="1">
        <v>2.4E-2</v>
      </c>
      <c r="I1708" s="1">
        <v>5.5899999999999998E-2</v>
      </c>
      <c r="J1708" s="1">
        <v>6.7400000000000002E-2</v>
      </c>
    </row>
    <row r="1709" spans="1:10">
      <c r="A1709" s="25" t="s">
        <v>204</v>
      </c>
      <c r="B1709">
        <v>2</v>
      </c>
      <c r="C1709" t="s">
        <v>189</v>
      </c>
      <c r="D1709">
        <v>1087</v>
      </c>
      <c r="F1709" s="1">
        <v>0.37369999999999998</v>
      </c>
      <c r="G1709" s="1">
        <v>0.62629999999999997</v>
      </c>
    </row>
    <row r="1710" spans="1:10">
      <c r="A1710" s="25" t="s">
        <v>205</v>
      </c>
      <c r="B1710">
        <v>208</v>
      </c>
      <c r="C1710" t="s">
        <v>189</v>
      </c>
      <c r="D1710">
        <v>1087</v>
      </c>
      <c r="E1710" s="1">
        <v>6.5000000000000002E-2</v>
      </c>
      <c r="F1710" s="1">
        <v>0.62729999999999997</v>
      </c>
      <c r="G1710" s="1">
        <v>4.8399999999999999E-2</v>
      </c>
      <c r="H1710" s="1">
        <v>8.0299999999999996E-2</v>
      </c>
      <c r="I1710" s="1">
        <v>0.15010000000000001</v>
      </c>
      <c r="J1710" s="1">
        <v>2.9000000000000001E-2</v>
      </c>
    </row>
    <row r="1711" spans="1:10">
      <c r="A1711" s="25" t="s">
        <v>192</v>
      </c>
      <c r="B1711">
        <v>1087</v>
      </c>
      <c r="C1711" t="s">
        <v>192</v>
      </c>
      <c r="D1711">
        <v>1087</v>
      </c>
      <c r="E1711" s="1">
        <v>3.6900000000000002E-2</v>
      </c>
      <c r="F1711" s="1">
        <v>0.75290000000000001</v>
      </c>
      <c r="G1711" s="1">
        <v>4.5600000000000002E-2</v>
      </c>
      <c r="H1711" s="1">
        <v>5.4300000000000001E-2</v>
      </c>
      <c r="I1711" s="1">
        <v>7.8399999999999997E-2</v>
      </c>
      <c r="J1711" s="1">
        <v>3.1899999999999998E-2</v>
      </c>
    </row>
    <row r="1713" spans="1:19" ht="43.5">
      <c r="A1713" s="25" t="s">
        <v>576</v>
      </c>
    </row>
    <row r="1714" spans="1:19">
      <c r="A1714" s="25" t="s">
        <v>182</v>
      </c>
      <c r="B1714" t="s">
        <v>219</v>
      </c>
      <c r="C1714" t="s">
        <v>181</v>
      </c>
      <c r="D1714" t="s">
        <v>188</v>
      </c>
      <c r="E1714" t="s">
        <v>577</v>
      </c>
      <c r="F1714" t="s">
        <v>578</v>
      </c>
      <c r="G1714" t="s">
        <v>579</v>
      </c>
      <c r="H1714" t="s">
        <v>580</v>
      </c>
      <c r="I1714" t="s">
        <v>581</v>
      </c>
      <c r="J1714" t="s">
        <v>582</v>
      </c>
      <c r="K1714" t="s">
        <v>583</v>
      </c>
      <c r="L1714" t="s">
        <v>584</v>
      </c>
      <c r="M1714" t="s">
        <v>585</v>
      </c>
      <c r="N1714" t="s">
        <v>586</v>
      </c>
      <c r="O1714" t="s">
        <v>269</v>
      </c>
      <c r="P1714" t="s">
        <v>587</v>
      </c>
      <c r="Q1714" t="s">
        <v>243</v>
      </c>
      <c r="R1714" t="s">
        <v>588</v>
      </c>
      <c r="S1714" t="s">
        <v>589</v>
      </c>
    </row>
    <row r="1715" spans="1:19">
      <c r="A1715" s="25" t="s">
        <v>190</v>
      </c>
      <c r="B1715">
        <v>521</v>
      </c>
      <c r="C1715" t="s">
        <v>189</v>
      </c>
      <c r="D1715">
        <v>1475</v>
      </c>
      <c r="E1715" s="1">
        <v>7.46E-2</v>
      </c>
      <c r="F1715" s="1">
        <v>2.8999999999999998E-3</v>
      </c>
      <c r="G1715" s="1">
        <v>8.9999999999999998E-4</v>
      </c>
      <c r="H1715" s="1">
        <v>0.1207</v>
      </c>
      <c r="I1715" s="1">
        <v>0.16589999999999999</v>
      </c>
      <c r="J1715" s="1">
        <v>1.5599999999999999E-2</v>
      </c>
      <c r="K1715" s="1">
        <v>8.3000000000000001E-3</v>
      </c>
      <c r="L1715" s="1">
        <v>2.9899999999999999E-2</v>
      </c>
      <c r="M1715" s="1">
        <v>6.3E-2</v>
      </c>
      <c r="N1715" s="1">
        <v>1.46E-2</v>
      </c>
      <c r="O1715" s="1">
        <v>8.0000000000000004E-4</v>
      </c>
      <c r="P1715" s="1">
        <v>0.35949999999999999</v>
      </c>
      <c r="Q1715" s="1">
        <v>1.2E-2</v>
      </c>
      <c r="R1715" s="1">
        <v>0.56740000000000002</v>
      </c>
      <c r="S1715" s="1">
        <v>2.0500000000000001E-2</v>
      </c>
    </row>
    <row r="1716" spans="1:19">
      <c r="A1716" s="25" t="s">
        <v>191</v>
      </c>
      <c r="B1716">
        <v>936</v>
      </c>
      <c r="C1716" t="s">
        <v>189</v>
      </c>
      <c r="D1716">
        <v>1475</v>
      </c>
      <c r="E1716" s="1">
        <v>0.1288</v>
      </c>
      <c r="F1716" s="1">
        <v>1.23E-2</v>
      </c>
      <c r="G1716" s="1">
        <v>1.9E-3</v>
      </c>
      <c r="H1716" s="1">
        <v>0.19320000000000001</v>
      </c>
      <c r="I1716" s="1">
        <v>0.15790000000000001</v>
      </c>
      <c r="J1716" s="1">
        <v>3.6200000000000003E-2</v>
      </c>
      <c r="K1716" s="1">
        <v>1.4999999999999999E-2</v>
      </c>
      <c r="L1716" s="1">
        <v>4.2700000000000002E-2</v>
      </c>
      <c r="M1716" s="1">
        <v>5.5E-2</v>
      </c>
      <c r="N1716" s="1">
        <v>4.8999999999999998E-3</v>
      </c>
      <c r="O1716" s="1">
        <v>1.01E-2</v>
      </c>
      <c r="P1716" s="1">
        <v>0.46289999999999998</v>
      </c>
      <c r="Q1716" s="1">
        <v>4.4000000000000003E-3</v>
      </c>
      <c r="R1716" s="1">
        <v>0.48</v>
      </c>
      <c r="S1716" s="1">
        <v>1.3899999999999999E-2</v>
      </c>
    </row>
    <row r="1717" spans="1:19">
      <c r="A1717" s="25" t="s">
        <v>192</v>
      </c>
      <c r="B1717">
        <v>1475</v>
      </c>
      <c r="C1717" t="s">
        <v>192</v>
      </c>
      <c r="D1717">
        <v>1475</v>
      </c>
      <c r="E1717" s="1">
        <v>0.11849999999999999</v>
      </c>
      <c r="F1717" s="1">
        <v>1.0500000000000001E-2</v>
      </c>
      <c r="G1717" s="1">
        <v>2.2000000000000001E-3</v>
      </c>
      <c r="H1717" s="1">
        <v>0.17949999999999999</v>
      </c>
      <c r="I1717" s="1">
        <v>0.15909999999999999</v>
      </c>
      <c r="J1717" s="1">
        <v>3.2300000000000002E-2</v>
      </c>
      <c r="K1717" s="1">
        <v>1.37E-2</v>
      </c>
      <c r="L1717" s="1">
        <v>4.02E-2</v>
      </c>
      <c r="M1717" s="1">
        <v>5.6399999999999999E-2</v>
      </c>
      <c r="N1717" s="1">
        <v>6.7000000000000002E-3</v>
      </c>
      <c r="O1717" s="1">
        <v>8.3000000000000001E-3</v>
      </c>
      <c r="P1717" s="1">
        <v>0.44330000000000003</v>
      </c>
      <c r="Q1717" s="1">
        <v>5.7999999999999996E-3</v>
      </c>
      <c r="R1717" s="1">
        <v>0.49640000000000001</v>
      </c>
      <c r="S1717" s="1">
        <v>1.5100000000000001E-2</v>
      </c>
    </row>
    <row r="1719" spans="1:19" ht="57.95">
      <c r="A1719" s="25" t="s">
        <v>590</v>
      </c>
    </row>
    <row r="1720" spans="1:19">
      <c r="A1720" s="25" t="s">
        <v>182</v>
      </c>
      <c r="B1720" t="s">
        <v>219</v>
      </c>
      <c r="C1720" t="s">
        <v>181</v>
      </c>
      <c r="D1720" t="s">
        <v>188</v>
      </c>
      <c r="E1720" t="s">
        <v>577</v>
      </c>
      <c r="F1720" t="s">
        <v>578</v>
      </c>
      <c r="G1720" t="s">
        <v>579</v>
      </c>
      <c r="H1720" t="s">
        <v>580</v>
      </c>
      <c r="I1720" t="s">
        <v>581</v>
      </c>
      <c r="J1720" t="s">
        <v>582</v>
      </c>
      <c r="K1720" t="s">
        <v>583</v>
      </c>
      <c r="L1720" t="s">
        <v>584</v>
      </c>
      <c r="M1720" t="s">
        <v>585</v>
      </c>
      <c r="N1720" t="s">
        <v>586</v>
      </c>
      <c r="O1720" t="s">
        <v>269</v>
      </c>
      <c r="P1720" t="s">
        <v>587</v>
      </c>
      <c r="Q1720" t="s">
        <v>243</v>
      </c>
      <c r="R1720" t="s">
        <v>588</v>
      </c>
      <c r="S1720" t="s">
        <v>589</v>
      </c>
    </row>
    <row r="1721" spans="1:19" ht="29.1">
      <c r="A1721" s="25" t="s">
        <v>194</v>
      </c>
      <c r="B1721">
        <v>532</v>
      </c>
      <c r="C1721" t="s">
        <v>189</v>
      </c>
      <c r="D1721">
        <v>1475</v>
      </c>
      <c r="E1721" s="1">
        <v>0.1022</v>
      </c>
      <c r="F1721" s="1">
        <v>1.12E-2</v>
      </c>
      <c r="H1721" s="1">
        <v>0.1575</v>
      </c>
      <c r="I1721" s="1">
        <v>0.16550000000000001</v>
      </c>
      <c r="J1721" s="1">
        <v>3.3599999999999998E-2</v>
      </c>
      <c r="K1721" s="1">
        <v>1.5800000000000002E-2</v>
      </c>
      <c r="L1721" s="1">
        <v>3.5900000000000001E-2</v>
      </c>
      <c r="M1721" s="1">
        <v>3.9300000000000002E-2</v>
      </c>
      <c r="N1721" s="1">
        <v>7.6E-3</v>
      </c>
      <c r="O1721" s="1">
        <v>1.1900000000000001E-2</v>
      </c>
      <c r="P1721" s="1">
        <v>0.41160000000000002</v>
      </c>
      <c r="Q1721" s="1">
        <v>7.7000000000000002E-3</v>
      </c>
      <c r="R1721" s="1">
        <v>0.59230000000000005</v>
      </c>
      <c r="S1721" s="1">
        <v>1.5599999999999999E-2</v>
      </c>
    </row>
    <row r="1722" spans="1:19" ht="29.1">
      <c r="A1722" s="25" t="s">
        <v>195</v>
      </c>
      <c r="B1722">
        <v>424</v>
      </c>
      <c r="C1722" t="s">
        <v>189</v>
      </c>
      <c r="D1722">
        <v>1475</v>
      </c>
      <c r="E1722" s="1">
        <v>0.12089999999999999</v>
      </c>
      <c r="F1722" s="1">
        <v>7.4999999999999997E-3</v>
      </c>
      <c r="G1722" s="1">
        <v>3.5999999999999999E-3</v>
      </c>
      <c r="H1722" s="1">
        <v>0.1973</v>
      </c>
      <c r="I1722" s="1">
        <v>0.1447</v>
      </c>
      <c r="J1722" s="1">
        <v>3.5499999999999997E-2</v>
      </c>
      <c r="K1722" s="1">
        <v>9.2999999999999992E-3</v>
      </c>
      <c r="L1722" s="1">
        <v>4.5199999999999997E-2</v>
      </c>
      <c r="M1722" s="1">
        <v>7.3599999999999999E-2</v>
      </c>
      <c r="N1722" s="1">
        <v>7.4999999999999997E-3</v>
      </c>
      <c r="O1722" s="1">
        <v>8.0000000000000004E-4</v>
      </c>
      <c r="P1722" s="1">
        <v>0.51380000000000003</v>
      </c>
      <c r="Q1722" s="1">
        <v>3.8E-3</v>
      </c>
      <c r="R1722" s="1">
        <v>0.45229999999999998</v>
      </c>
      <c r="S1722" s="1">
        <v>3.5000000000000001E-3</v>
      </c>
    </row>
    <row r="1723" spans="1:19" ht="29.1">
      <c r="A1723" s="25" t="s">
        <v>196</v>
      </c>
      <c r="B1723">
        <v>501</v>
      </c>
      <c r="C1723" t="s">
        <v>189</v>
      </c>
      <c r="D1723">
        <v>1475</v>
      </c>
      <c r="E1723" s="1">
        <v>0.16639999999999999</v>
      </c>
      <c r="F1723" s="1">
        <v>1.12E-2</v>
      </c>
      <c r="G1723" s="1">
        <v>5.4000000000000003E-3</v>
      </c>
      <c r="H1723" s="1">
        <v>0.23139999999999999</v>
      </c>
      <c r="I1723" s="1">
        <v>0.15379999999999999</v>
      </c>
      <c r="J1723" s="1">
        <v>2.58E-2</v>
      </c>
      <c r="K1723" s="1">
        <v>1.14E-2</v>
      </c>
      <c r="L1723" s="1">
        <v>4.9399999999999999E-2</v>
      </c>
      <c r="M1723" s="1">
        <v>9.3399999999999997E-2</v>
      </c>
      <c r="N1723" s="1">
        <v>3.3999999999999998E-3</v>
      </c>
      <c r="O1723" s="1">
        <v>4.0000000000000001E-3</v>
      </c>
      <c r="P1723" s="1">
        <v>0.47989999999999999</v>
      </c>
      <c r="Q1723" s="1">
        <v>2.0999999999999999E-3</v>
      </c>
      <c r="R1723" s="1">
        <v>0.2462</v>
      </c>
      <c r="S1723" s="1">
        <v>2.3800000000000002E-2</v>
      </c>
    </row>
    <row r="1724" spans="1:19">
      <c r="A1724" s="25" t="s">
        <v>192</v>
      </c>
      <c r="B1724">
        <v>1475</v>
      </c>
      <c r="C1724" t="s">
        <v>192</v>
      </c>
      <c r="D1724">
        <v>1475</v>
      </c>
      <c r="E1724" s="1">
        <v>0.11849999999999999</v>
      </c>
      <c r="F1724" s="1">
        <v>1.0500000000000001E-2</v>
      </c>
      <c r="G1724" s="1">
        <v>2.2000000000000001E-3</v>
      </c>
      <c r="H1724" s="1">
        <v>0.17949999999999999</v>
      </c>
      <c r="I1724" s="1">
        <v>0.15909999999999999</v>
      </c>
      <c r="J1724" s="1">
        <v>3.2300000000000002E-2</v>
      </c>
      <c r="K1724" s="1">
        <v>1.37E-2</v>
      </c>
      <c r="L1724" s="1">
        <v>4.02E-2</v>
      </c>
      <c r="M1724" s="1">
        <v>5.6399999999999999E-2</v>
      </c>
      <c r="N1724" s="1">
        <v>6.7000000000000002E-3</v>
      </c>
      <c r="O1724" s="1">
        <v>8.3000000000000001E-3</v>
      </c>
      <c r="P1724" s="1">
        <v>0.44330000000000003</v>
      </c>
      <c r="Q1724" s="1">
        <v>5.7999999999999996E-3</v>
      </c>
      <c r="R1724" s="1">
        <v>0.49640000000000001</v>
      </c>
      <c r="S1724" s="1">
        <v>1.5100000000000001E-2</v>
      </c>
    </row>
    <row r="1726" spans="1:19" ht="43.5">
      <c r="A1726" s="25" t="s">
        <v>591</v>
      </c>
    </row>
    <row r="1727" spans="1:19">
      <c r="A1727" s="25" t="s">
        <v>182</v>
      </c>
      <c r="B1727" t="s">
        <v>219</v>
      </c>
      <c r="C1727" t="s">
        <v>181</v>
      </c>
      <c r="D1727" t="s">
        <v>188</v>
      </c>
      <c r="E1727" t="s">
        <v>577</v>
      </c>
      <c r="F1727" t="s">
        <v>578</v>
      </c>
      <c r="G1727" t="s">
        <v>579</v>
      </c>
      <c r="H1727" t="s">
        <v>580</v>
      </c>
      <c r="I1727" t="s">
        <v>581</v>
      </c>
      <c r="J1727" t="s">
        <v>582</v>
      </c>
      <c r="K1727" t="s">
        <v>583</v>
      </c>
      <c r="L1727" t="s">
        <v>584</v>
      </c>
      <c r="M1727" t="s">
        <v>585</v>
      </c>
      <c r="N1727" t="s">
        <v>586</v>
      </c>
      <c r="O1727" t="s">
        <v>269</v>
      </c>
      <c r="P1727" t="s">
        <v>587</v>
      </c>
      <c r="Q1727" t="s">
        <v>243</v>
      </c>
      <c r="R1727" t="s">
        <v>588</v>
      </c>
      <c r="S1727" t="s">
        <v>589</v>
      </c>
    </row>
    <row r="1728" spans="1:19">
      <c r="A1728" s="25" t="s">
        <v>198</v>
      </c>
      <c r="B1728">
        <v>280</v>
      </c>
      <c r="C1728" t="s">
        <v>189</v>
      </c>
      <c r="D1728">
        <v>1475</v>
      </c>
      <c r="E1728" s="1">
        <v>0.14680000000000001</v>
      </c>
      <c r="F1728" s="1">
        <v>2.2200000000000001E-2</v>
      </c>
      <c r="G1728" s="1">
        <v>2.5999999999999999E-3</v>
      </c>
      <c r="H1728" s="1">
        <v>0.12859999999999999</v>
      </c>
      <c r="I1728" s="1">
        <v>8.6800000000000002E-2</v>
      </c>
      <c r="J1728" s="1">
        <v>1.11E-2</v>
      </c>
      <c r="K1728" s="1">
        <v>2.1299999999999999E-2</v>
      </c>
      <c r="L1728" s="1">
        <v>7.1900000000000006E-2</v>
      </c>
      <c r="M1728" s="1">
        <v>6.4600000000000005E-2</v>
      </c>
      <c r="N1728" s="1">
        <v>1.7299999999999999E-2</v>
      </c>
      <c r="O1728" s="1">
        <v>2.3E-3</v>
      </c>
      <c r="P1728" s="1">
        <v>0.41470000000000001</v>
      </c>
      <c r="Q1728" s="1">
        <v>8.0000000000000004E-4</v>
      </c>
      <c r="R1728" s="1">
        <v>0.45269999999999999</v>
      </c>
      <c r="S1728" s="1">
        <v>1.5699999999999999E-2</v>
      </c>
    </row>
    <row r="1729" spans="1:19">
      <c r="A1729" s="25" t="s">
        <v>199</v>
      </c>
      <c r="B1729">
        <v>1195</v>
      </c>
      <c r="C1729" t="s">
        <v>189</v>
      </c>
      <c r="D1729">
        <v>1475</v>
      </c>
      <c r="E1729" s="1">
        <v>0.1144</v>
      </c>
      <c r="F1729" s="1">
        <v>8.8999999999999999E-3</v>
      </c>
      <c r="G1729" s="1">
        <v>2.0999999999999999E-3</v>
      </c>
      <c r="H1729" s="1">
        <v>0.18690000000000001</v>
      </c>
      <c r="I1729" s="1">
        <v>0.1696</v>
      </c>
      <c r="J1729" s="1">
        <v>3.5400000000000001E-2</v>
      </c>
      <c r="K1729" s="1">
        <v>1.26E-2</v>
      </c>
      <c r="L1729" s="1">
        <v>3.56E-2</v>
      </c>
      <c r="M1729" s="1">
        <v>5.5199999999999999E-2</v>
      </c>
      <c r="N1729" s="1">
        <v>5.1999999999999998E-3</v>
      </c>
      <c r="O1729" s="1">
        <v>9.1999999999999998E-3</v>
      </c>
      <c r="P1729" s="1">
        <v>0.44750000000000001</v>
      </c>
      <c r="Q1729" s="1">
        <v>6.6E-3</v>
      </c>
      <c r="R1729" s="1">
        <v>0.50270000000000004</v>
      </c>
      <c r="S1729" s="1">
        <v>1.4999999999999999E-2</v>
      </c>
    </row>
    <row r="1730" spans="1:19">
      <c r="A1730" s="25" t="s">
        <v>192</v>
      </c>
      <c r="B1730">
        <v>1475</v>
      </c>
      <c r="C1730" t="s">
        <v>192</v>
      </c>
      <c r="D1730">
        <v>1475</v>
      </c>
      <c r="E1730" s="1">
        <v>0.11849999999999999</v>
      </c>
      <c r="F1730" s="1">
        <v>1.0500000000000001E-2</v>
      </c>
      <c r="G1730" s="1">
        <v>2.2000000000000001E-3</v>
      </c>
      <c r="H1730" s="1">
        <v>0.17949999999999999</v>
      </c>
      <c r="I1730" s="1">
        <v>0.15909999999999999</v>
      </c>
      <c r="J1730" s="1">
        <v>3.2300000000000002E-2</v>
      </c>
      <c r="K1730" s="1">
        <v>1.37E-2</v>
      </c>
      <c r="L1730" s="1">
        <v>4.02E-2</v>
      </c>
      <c r="M1730" s="1">
        <v>5.6399999999999999E-2</v>
      </c>
      <c r="N1730" s="1">
        <v>6.7000000000000002E-3</v>
      </c>
      <c r="O1730" s="1">
        <v>8.3000000000000001E-3</v>
      </c>
      <c r="P1730" s="1">
        <v>0.44330000000000003</v>
      </c>
      <c r="Q1730" s="1">
        <v>5.7999999999999996E-3</v>
      </c>
      <c r="R1730" s="1">
        <v>0.49640000000000001</v>
      </c>
      <c r="S1730" s="1">
        <v>1.5100000000000001E-2</v>
      </c>
    </row>
    <row r="1732" spans="1:19" ht="43.5">
      <c r="A1732" s="25" t="s">
        <v>592</v>
      </c>
    </row>
    <row r="1733" spans="1:19">
      <c r="A1733" s="25" t="s">
        <v>182</v>
      </c>
      <c r="B1733" t="s">
        <v>219</v>
      </c>
      <c r="C1733" t="s">
        <v>181</v>
      </c>
      <c r="D1733" t="s">
        <v>188</v>
      </c>
      <c r="E1733" t="s">
        <v>577</v>
      </c>
      <c r="F1733" t="s">
        <v>578</v>
      </c>
      <c r="G1733" t="s">
        <v>579</v>
      </c>
      <c r="H1733" t="s">
        <v>580</v>
      </c>
      <c r="I1733" t="s">
        <v>581</v>
      </c>
      <c r="J1733" t="s">
        <v>582</v>
      </c>
      <c r="K1733" t="s">
        <v>583</v>
      </c>
      <c r="L1733" t="s">
        <v>584</v>
      </c>
      <c r="M1733" t="s">
        <v>585</v>
      </c>
      <c r="N1733" t="s">
        <v>586</v>
      </c>
      <c r="O1733" t="s">
        <v>269</v>
      </c>
      <c r="P1733" t="s">
        <v>587</v>
      </c>
      <c r="Q1733" t="s">
        <v>243</v>
      </c>
      <c r="R1733" t="s">
        <v>588</v>
      </c>
      <c r="S1733" t="s">
        <v>589</v>
      </c>
    </row>
    <row r="1734" spans="1:19">
      <c r="A1734" s="25" t="s">
        <v>207</v>
      </c>
      <c r="B1734">
        <v>1107</v>
      </c>
      <c r="C1734" t="s">
        <v>189</v>
      </c>
      <c r="D1734">
        <v>1475</v>
      </c>
      <c r="E1734" s="1">
        <v>0.1239</v>
      </c>
      <c r="F1734" s="1">
        <v>4.5999999999999999E-3</v>
      </c>
      <c r="G1734" s="1">
        <v>1.6999999999999999E-3</v>
      </c>
      <c r="H1734" s="1">
        <v>0.16689999999999999</v>
      </c>
      <c r="I1734" s="1">
        <v>0.14910000000000001</v>
      </c>
      <c r="J1734" s="1">
        <v>2.35E-2</v>
      </c>
      <c r="K1734" s="1">
        <v>1.6500000000000001E-2</v>
      </c>
      <c r="L1734" s="1">
        <v>4.4999999999999998E-2</v>
      </c>
      <c r="M1734" s="1">
        <v>4.9599999999999998E-2</v>
      </c>
      <c r="N1734" s="1">
        <v>6.7999999999999996E-3</v>
      </c>
      <c r="O1734" s="1">
        <v>1.0999999999999999E-2</v>
      </c>
      <c r="P1734" s="1">
        <v>0.4803</v>
      </c>
      <c r="Q1734" s="1">
        <v>6.1000000000000004E-3</v>
      </c>
      <c r="R1734" s="1">
        <v>0.4672</v>
      </c>
      <c r="S1734" s="1">
        <v>1.7100000000000001E-2</v>
      </c>
    </row>
    <row r="1735" spans="1:19">
      <c r="A1735" s="25" t="s">
        <v>208</v>
      </c>
      <c r="B1735">
        <v>194</v>
      </c>
      <c r="C1735" t="s">
        <v>189</v>
      </c>
      <c r="D1735">
        <v>1475</v>
      </c>
      <c r="E1735" s="1">
        <v>0.13919999999999999</v>
      </c>
      <c r="F1735" s="1">
        <v>3.5900000000000001E-2</v>
      </c>
      <c r="G1735" s="1">
        <v>3.8999999999999998E-3</v>
      </c>
      <c r="H1735" s="1">
        <v>0.24390000000000001</v>
      </c>
      <c r="I1735" s="1">
        <v>0.19309999999999999</v>
      </c>
      <c r="J1735" s="1">
        <v>6.9199999999999998E-2</v>
      </c>
      <c r="K1735" s="1">
        <v>8.9999999999999998E-4</v>
      </c>
      <c r="L1735" s="1">
        <v>7.4999999999999997E-3</v>
      </c>
      <c r="M1735" s="1">
        <v>9.9099999999999994E-2</v>
      </c>
      <c r="P1735" s="1">
        <v>0.29289999999999999</v>
      </c>
      <c r="Q1735" s="1">
        <v>4.8999999999999998E-3</v>
      </c>
      <c r="R1735" s="1">
        <v>0.60140000000000005</v>
      </c>
      <c r="S1735" s="1">
        <v>1.6999999999999999E-3</v>
      </c>
    </row>
    <row r="1736" spans="1:19">
      <c r="A1736" s="25" t="s">
        <v>209</v>
      </c>
      <c r="B1736">
        <v>174</v>
      </c>
      <c r="C1736" t="s">
        <v>189</v>
      </c>
      <c r="D1736">
        <v>1475</v>
      </c>
      <c r="E1736" s="1">
        <v>3.3500000000000002E-2</v>
      </c>
      <c r="F1736" s="1">
        <v>1.52E-2</v>
      </c>
      <c r="G1736" s="1">
        <v>3.2000000000000002E-3</v>
      </c>
      <c r="H1736" s="1">
        <v>0.1711</v>
      </c>
      <c r="I1736" s="1">
        <v>0.18360000000000001</v>
      </c>
      <c r="J1736" s="1">
        <v>4.0800000000000003E-2</v>
      </c>
      <c r="K1736" s="1">
        <v>1.3299999999999999E-2</v>
      </c>
      <c r="L1736" s="1">
        <v>5.8599999999999999E-2</v>
      </c>
      <c r="M1736" s="1">
        <v>3.6900000000000002E-2</v>
      </c>
      <c r="N1736" s="1">
        <v>1.8200000000000001E-2</v>
      </c>
      <c r="P1736" s="1">
        <v>0.39889999999999998</v>
      </c>
      <c r="Q1736" s="1">
        <v>4.7000000000000002E-3</v>
      </c>
      <c r="R1736" s="1">
        <v>0.55649999999999999</v>
      </c>
      <c r="S1736" s="1">
        <v>2.29E-2</v>
      </c>
    </row>
    <row r="1737" spans="1:19">
      <c r="A1737" s="25" t="s">
        <v>192</v>
      </c>
      <c r="B1737">
        <v>1475</v>
      </c>
      <c r="C1737" t="s">
        <v>192</v>
      </c>
      <c r="D1737">
        <v>1475</v>
      </c>
      <c r="E1737" s="1">
        <v>0.11849999999999999</v>
      </c>
      <c r="F1737" s="1">
        <v>1.0500000000000001E-2</v>
      </c>
      <c r="G1737" s="1">
        <v>2.2000000000000001E-3</v>
      </c>
      <c r="H1737" s="1">
        <v>0.17949999999999999</v>
      </c>
      <c r="I1737" s="1">
        <v>0.15909999999999999</v>
      </c>
      <c r="J1737" s="1">
        <v>3.2300000000000002E-2</v>
      </c>
      <c r="K1737" s="1">
        <v>1.37E-2</v>
      </c>
      <c r="L1737" s="1">
        <v>4.02E-2</v>
      </c>
      <c r="M1737" s="1">
        <v>5.6399999999999999E-2</v>
      </c>
      <c r="N1737" s="1">
        <v>6.7000000000000002E-3</v>
      </c>
      <c r="O1737" s="1">
        <v>8.3000000000000001E-3</v>
      </c>
      <c r="P1737" s="1">
        <v>0.44330000000000003</v>
      </c>
      <c r="Q1737" s="1">
        <v>5.7999999999999996E-3</v>
      </c>
      <c r="R1737" s="1">
        <v>0.49640000000000001</v>
      </c>
      <c r="S1737" s="1">
        <v>1.5100000000000001E-2</v>
      </c>
    </row>
    <row r="1739" spans="1:19" ht="43.5">
      <c r="A1739" s="25" t="s">
        <v>593</v>
      </c>
    </row>
    <row r="1740" spans="1:19">
      <c r="A1740" s="25" t="s">
        <v>182</v>
      </c>
      <c r="B1740" t="s">
        <v>219</v>
      </c>
      <c r="C1740" t="s">
        <v>181</v>
      </c>
      <c r="D1740" t="s">
        <v>188</v>
      </c>
      <c r="E1740" t="s">
        <v>577</v>
      </c>
      <c r="F1740" t="s">
        <v>578</v>
      </c>
      <c r="G1740" t="s">
        <v>579</v>
      </c>
      <c r="H1740" t="s">
        <v>580</v>
      </c>
      <c r="I1740" t="s">
        <v>581</v>
      </c>
      <c r="J1740" t="s">
        <v>582</v>
      </c>
      <c r="K1740" t="s">
        <v>583</v>
      </c>
      <c r="L1740" t="s">
        <v>584</v>
      </c>
      <c r="M1740" t="s">
        <v>585</v>
      </c>
      <c r="N1740" t="s">
        <v>586</v>
      </c>
      <c r="O1740" t="s">
        <v>269</v>
      </c>
      <c r="P1740" t="s">
        <v>587</v>
      </c>
      <c r="Q1740" t="s">
        <v>243</v>
      </c>
      <c r="R1740" t="s">
        <v>588</v>
      </c>
      <c r="S1740" t="s">
        <v>589</v>
      </c>
    </row>
    <row r="1741" spans="1:19">
      <c r="A1741" s="25" t="s">
        <v>211</v>
      </c>
      <c r="B1741">
        <v>808</v>
      </c>
      <c r="C1741" t="s">
        <v>189</v>
      </c>
      <c r="D1741">
        <v>1475</v>
      </c>
      <c r="E1741" s="1">
        <v>0.1202</v>
      </c>
      <c r="F1741" s="1">
        <v>7.0000000000000001E-3</v>
      </c>
      <c r="G1741" s="1">
        <v>8.0000000000000004E-4</v>
      </c>
      <c r="H1741" s="1">
        <v>0.1711</v>
      </c>
      <c r="I1741" s="1">
        <v>0.14899999999999999</v>
      </c>
      <c r="J1741" s="1">
        <v>2.0199999999999999E-2</v>
      </c>
      <c r="K1741" s="1">
        <v>1.89E-2</v>
      </c>
      <c r="L1741" s="1">
        <v>5.8099999999999999E-2</v>
      </c>
      <c r="M1741" s="1">
        <v>4.5199999999999997E-2</v>
      </c>
      <c r="N1741" s="1">
        <v>6.1000000000000004E-3</v>
      </c>
      <c r="O1741" s="1">
        <v>1.15E-2</v>
      </c>
      <c r="P1741" s="1">
        <v>0.49509999999999998</v>
      </c>
      <c r="Q1741" s="1">
        <v>6.7000000000000002E-3</v>
      </c>
      <c r="R1741" s="1">
        <v>0.46910000000000002</v>
      </c>
      <c r="S1741" s="1">
        <v>2.0899999999999998E-2</v>
      </c>
    </row>
    <row r="1742" spans="1:19">
      <c r="A1742" s="25" t="s">
        <v>212</v>
      </c>
      <c r="B1742">
        <v>450</v>
      </c>
      <c r="C1742" t="s">
        <v>189</v>
      </c>
      <c r="D1742">
        <v>1475</v>
      </c>
      <c r="E1742" s="1">
        <v>0.13159999999999999</v>
      </c>
      <c r="F1742" s="1">
        <v>2.2599999999999999E-2</v>
      </c>
      <c r="G1742" s="1">
        <v>3.3E-3</v>
      </c>
      <c r="H1742" s="1">
        <v>0.215</v>
      </c>
      <c r="I1742" s="1">
        <v>0.16739999999999999</v>
      </c>
      <c r="J1742" s="1">
        <v>4.5699999999999998E-2</v>
      </c>
      <c r="K1742" s="1">
        <v>6.4000000000000003E-3</v>
      </c>
      <c r="L1742" s="1">
        <v>1.8100000000000002E-2</v>
      </c>
      <c r="M1742" s="1">
        <v>7.7399999999999997E-2</v>
      </c>
      <c r="N1742" s="1">
        <v>6.6E-3</v>
      </c>
      <c r="O1742" s="1">
        <v>2.7000000000000001E-3</v>
      </c>
      <c r="P1742" s="1">
        <v>0.3705</v>
      </c>
      <c r="Q1742" s="1">
        <v>1.6999999999999999E-3</v>
      </c>
      <c r="R1742" s="1">
        <v>0.56640000000000001</v>
      </c>
      <c r="S1742" s="1">
        <v>7.4999999999999997E-3</v>
      </c>
    </row>
    <row r="1743" spans="1:19">
      <c r="A1743" s="25" t="s">
        <v>213</v>
      </c>
      <c r="B1743">
        <v>217</v>
      </c>
      <c r="C1743" t="s">
        <v>189</v>
      </c>
      <c r="D1743">
        <v>1475</v>
      </c>
      <c r="E1743" s="1">
        <v>9.1399999999999995E-2</v>
      </c>
      <c r="F1743" s="1">
        <v>4.0000000000000001E-3</v>
      </c>
      <c r="G1743" s="1">
        <v>5.4000000000000003E-3</v>
      </c>
      <c r="H1743" s="1">
        <v>0.15260000000000001</v>
      </c>
      <c r="I1743" s="1">
        <v>0.18149999999999999</v>
      </c>
      <c r="J1743" s="1">
        <v>5.33E-2</v>
      </c>
      <c r="K1743" s="1">
        <v>7.1999999999999998E-3</v>
      </c>
      <c r="L1743" s="1">
        <v>1.24E-2</v>
      </c>
      <c r="M1743" s="1">
        <v>6.2399999999999997E-2</v>
      </c>
      <c r="N1743" s="1">
        <v>9.1999999999999998E-3</v>
      </c>
      <c r="O1743" s="1">
        <v>6.1000000000000004E-3</v>
      </c>
      <c r="P1743" s="1">
        <v>0.377</v>
      </c>
      <c r="Q1743" s="1">
        <v>9.1999999999999998E-3</v>
      </c>
      <c r="R1743" s="1">
        <v>0.48099999999999998</v>
      </c>
      <c r="S1743" s="1">
        <v>6.7999999999999996E-3</v>
      </c>
    </row>
    <row r="1744" spans="1:19">
      <c r="A1744" s="25" t="s">
        <v>192</v>
      </c>
      <c r="B1744">
        <v>1475</v>
      </c>
      <c r="C1744" t="s">
        <v>192</v>
      </c>
      <c r="D1744">
        <v>1475</v>
      </c>
      <c r="E1744" s="1">
        <v>0.11849999999999999</v>
      </c>
      <c r="F1744" s="1">
        <v>1.0500000000000001E-2</v>
      </c>
      <c r="G1744" s="1">
        <v>2.2000000000000001E-3</v>
      </c>
      <c r="H1744" s="1">
        <v>0.17949999999999999</v>
      </c>
      <c r="I1744" s="1">
        <v>0.15909999999999999</v>
      </c>
      <c r="J1744" s="1">
        <v>3.2300000000000002E-2</v>
      </c>
      <c r="K1744" s="1">
        <v>1.37E-2</v>
      </c>
      <c r="L1744" s="1">
        <v>4.02E-2</v>
      </c>
      <c r="M1744" s="1">
        <v>5.6399999999999999E-2</v>
      </c>
      <c r="N1744" s="1">
        <v>6.7000000000000002E-3</v>
      </c>
      <c r="O1744" s="1">
        <v>8.3000000000000001E-3</v>
      </c>
      <c r="P1744" s="1">
        <v>0.44330000000000003</v>
      </c>
      <c r="Q1744" s="1">
        <v>5.7999999999999996E-3</v>
      </c>
      <c r="R1744" s="1">
        <v>0.49640000000000001</v>
      </c>
      <c r="S1744" s="1">
        <v>1.5100000000000001E-2</v>
      </c>
    </row>
    <row r="1746" spans="1:12" ht="43.5">
      <c r="A1746" s="25" t="s">
        <v>594</v>
      </c>
    </row>
    <row r="1747" spans="1:12">
      <c r="A1747" s="25" t="s">
        <v>182</v>
      </c>
      <c r="B1747" t="s">
        <v>219</v>
      </c>
      <c r="C1747" t="s">
        <v>181</v>
      </c>
      <c r="D1747" t="s">
        <v>188</v>
      </c>
      <c r="E1747" t="s">
        <v>595</v>
      </c>
      <c r="F1747" t="s">
        <v>596</v>
      </c>
      <c r="G1747" t="s">
        <v>597</v>
      </c>
      <c r="H1747" t="s">
        <v>598</v>
      </c>
      <c r="I1747" t="s">
        <v>599</v>
      </c>
      <c r="J1747" t="s">
        <v>600</v>
      </c>
      <c r="K1747" t="s">
        <v>243</v>
      </c>
      <c r="L1747" t="s">
        <v>601</v>
      </c>
    </row>
    <row r="1748" spans="1:12">
      <c r="A1748" s="25" t="s">
        <v>190</v>
      </c>
      <c r="B1748">
        <v>4903</v>
      </c>
      <c r="C1748" t="s">
        <v>189</v>
      </c>
      <c r="D1748">
        <v>10434</v>
      </c>
      <c r="E1748" s="1">
        <v>1.67E-2</v>
      </c>
      <c r="F1748" s="1">
        <v>6.6E-3</v>
      </c>
      <c r="G1748" s="1">
        <v>3.2000000000000002E-3</v>
      </c>
      <c r="H1748" s="1">
        <v>1.9E-3</v>
      </c>
      <c r="I1748" s="1">
        <v>3.8999999999999998E-3</v>
      </c>
      <c r="J1748" s="1">
        <v>0.90620000000000001</v>
      </c>
      <c r="K1748" s="1">
        <v>2.3E-3</v>
      </c>
      <c r="L1748" s="1">
        <v>5.9200000000000003E-2</v>
      </c>
    </row>
    <row r="1749" spans="1:12">
      <c r="A1749" s="25" t="s">
        <v>191</v>
      </c>
      <c r="B1749">
        <v>5474</v>
      </c>
      <c r="C1749" t="s">
        <v>189</v>
      </c>
      <c r="D1749">
        <v>10434</v>
      </c>
      <c r="E1749" s="1">
        <v>3.85E-2</v>
      </c>
      <c r="F1749" s="1">
        <v>1.5100000000000001E-2</v>
      </c>
      <c r="G1749" s="1">
        <v>6.8999999999999999E-3</v>
      </c>
      <c r="H1749" s="1">
        <v>3.8999999999999998E-3</v>
      </c>
      <c r="I1749" s="1">
        <v>5.8999999999999999E-3</v>
      </c>
      <c r="J1749" s="1">
        <v>0.81140000000000001</v>
      </c>
      <c r="K1749" s="1">
        <v>4.4000000000000003E-3</v>
      </c>
      <c r="L1749" s="1">
        <v>0.114</v>
      </c>
    </row>
    <row r="1750" spans="1:12">
      <c r="A1750" s="25" t="s">
        <v>192</v>
      </c>
      <c r="B1750">
        <v>10434</v>
      </c>
      <c r="C1750" t="s">
        <v>192</v>
      </c>
      <c r="D1750">
        <v>10434</v>
      </c>
      <c r="E1750" s="1">
        <v>3.0200000000000001E-2</v>
      </c>
      <c r="F1750" s="1">
        <v>1.18E-2</v>
      </c>
      <c r="G1750" s="1">
        <v>5.4999999999999997E-3</v>
      </c>
      <c r="H1750" s="1">
        <v>3.0999999999999999E-3</v>
      </c>
      <c r="I1750" s="1">
        <v>5.1000000000000004E-3</v>
      </c>
      <c r="J1750" s="1">
        <v>0.84730000000000005</v>
      </c>
      <c r="K1750" s="1">
        <v>3.5999999999999999E-3</v>
      </c>
      <c r="L1750" s="1">
        <v>9.3299999999999994E-2</v>
      </c>
    </row>
    <row r="1752" spans="1:12" ht="43.5">
      <c r="A1752" s="25" t="s">
        <v>602</v>
      </c>
    </row>
    <row r="1753" spans="1:12">
      <c r="A1753" s="25" t="s">
        <v>182</v>
      </c>
      <c r="B1753" t="s">
        <v>219</v>
      </c>
      <c r="C1753" t="s">
        <v>181</v>
      </c>
      <c r="D1753" t="s">
        <v>188</v>
      </c>
      <c r="E1753" t="s">
        <v>595</v>
      </c>
      <c r="F1753" t="s">
        <v>596</v>
      </c>
      <c r="G1753" t="s">
        <v>597</v>
      </c>
      <c r="H1753" t="s">
        <v>598</v>
      </c>
      <c r="I1753" t="s">
        <v>599</v>
      </c>
      <c r="J1753" t="s">
        <v>600</v>
      </c>
      <c r="K1753" t="s">
        <v>243</v>
      </c>
      <c r="L1753" t="s">
        <v>601</v>
      </c>
    </row>
    <row r="1754" spans="1:12" ht="29.1">
      <c r="A1754" s="25" t="s">
        <v>194</v>
      </c>
      <c r="B1754">
        <v>5954</v>
      </c>
      <c r="C1754" t="s">
        <v>189</v>
      </c>
      <c r="D1754">
        <v>10434</v>
      </c>
      <c r="E1754" s="1">
        <v>2.8899999999999999E-2</v>
      </c>
      <c r="F1754" s="1">
        <v>7.7000000000000002E-3</v>
      </c>
      <c r="G1754" s="1">
        <v>3.5000000000000001E-3</v>
      </c>
      <c r="H1754" s="1">
        <v>2.8E-3</v>
      </c>
      <c r="I1754" s="1">
        <v>4.4999999999999997E-3</v>
      </c>
      <c r="J1754" s="1">
        <v>0.88390000000000002</v>
      </c>
      <c r="K1754" s="1">
        <v>4.5999999999999999E-3</v>
      </c>
      <c r="L1754" s="1">
        <v>6.4100000000000004E-2</v>
      </c>
    </row>
    <row r="1755" spans="1:12" ht="29.1">
      <c r="A1755" s="25" t="s">
        <v>195</v>
      </c>
      <c r="B1755">
        <v>2703</v>
      </c>
      <c r="C1755" t="s">
        <v>189</v>
      </c>
      <c r="D1755">
        <v>10434</v>
      </c>
      <c r="E1755" s="1">
        <v>3.3500000000000002E-2</v>
      </c>
      <c r="F1755" s="1">
        <v>1.2500000000000001E-2</v>
      </c>
      <c r="G1755" s="1">
        <v>4.4000000000000003E-3</v>
      </c>
      <c r="H1755" s="1">
        <v>4.1000000000000003E-3</v>
      </c>
      <c r="I1755" s="1">
        <v>7.3000000000000001E-3</v>
      </c>
      <c r="J1755" s="1">
        <v>0.80649999999999999</v>
      </c>
      <c r="K1755" s="1">
        <v>1.1000000000000001E-3</v>
      </c>
      <c r="L1755" s="1">
        <v>0.13070000000000001</v>
      </c>
    </row>
    <row r="1756" spans="1:12" ht="29.1">
      <c r="A1756" s="25" t="s">
        <v>196</v>
      </c>
      <c r="B1756">
        <v>1720</v>
      </c>
      <c r="C1756" t="s">
        <v>189</v>
      </c>
      <c r="D1756">
        <v>10434</v>
      </c>
      <c r="E1756" s="1">
        <v>3.3399999999999999E-2</v>
      </c>
      <c r="F1756" s="1">
        <v>4.1799999999999997E-2</v>
      </c>
      <c r="G1756" s="1">
        <v>2.3199999999999998E-2</v>
      </c>
      <c r="H1756" s="1">
        <v>3.7000000000000002E-3</v>
      </c>
      <c r="I1756" s="1">
        <v>5.7000000000000002E-3</v>
      </c>
      <c r="J1756" s="1">
        <v>0.65529999999999999</v>
      </c>
      <c r="K1756" s="1">
        <v>8.0000000000000004E-4</v>
      </c>
      <c r="L1756" s="1">
        <v>0.2361</v>
      </c>
    </row>
    <row r="1757" spans="1:12">
      <c r="A1757" s="25" t="s">
        <v>192</v>
      </c>
      <c r="B1757">
        <v>10434</v>
      </c>
      <c r="C1757" t="s">
        <v>192</v>
      </c>
      <c r="D1757">
        <v>10434</v>
      </c>
      <c r="E1757" s="1">
        <v>3.0200000000000001E-2</v>
      </c>
      <c r="F1757" s="1">
        <v>1.18E-2</v>
      </c>
      <c r="G1757" s="1">
        <v>5.4999999999999997E-3</v>
      </c>
      <c r="H1757" s="1">
        <v>3.0999999999999999E-3</v>
      </c>
      <c r="I1757" s="1">
        <v>5.1000000000000004E-3</v>
      </c>
      <c r="J1757" s="1">
        <v>0.84730000000000005</v>
      </c>
      <c r="K1757" s="1">
        <v>3.5999999999999999E-3</v>
      </c>
      <c r="L1757" s="1">
        <v>9.3299999999999994E-2</v>
      </c>
    </row>
    <row r="1759" spans="1:12" ht="43.5">
      <c r="A1759" s="25" t="s">
        <v>603</v>
      </c>
    </row>
    <row r="1760" spans="1:12">
      <c r="A1760" s="25" t="s">
        <v>182</v>
      </c>
      <c r="B1760" t="s">
        <v>219</v>
      </c>
      <c r="C1760" t="s">
        <v>181</v>
      </c>
      <c r="D1760" t="s">
        <v>188</v>
      </c>
      <c r="E1760" t="s">
        <v>595</v>
      </c>
      <c r="F1760" t="s">
        <v>596</v>
      </c>
      <c r="G1760" t="s">
        <v>597</v>
      </c>
      <c r="H1760" t="s">
        <v>598</v>
      </c>
      <c r="I1760" t="s">
        <v>599</v>
      </c>
      <c r="J1760" t="s">
        <v>600</v>
      </c>
      <c r="K1760" t="s">
        <v>243</v>
      </c>
      <c r="L1760" t="s">
        <v>601</v>
      </c>
    </row>
    <row r="1761" spans="1:12">
      <c r="A1761" s="25" t="s">
        <v>198</v>
      </c>
      <c r="B1761">
        <v>2264</v>
      </c>
      <c r="C1761" t="s">
        <v>189</v>
      </c>
      <c r="D1761">
        <v>10434</v>
      </c>
      <c r="E1761" s="1">
        <v>1.67E-2</v>
      </c>
      <c r="F1761" s="1">
        <v>6.3E-3</v>
      </c>
      <c r="G1761" s="1">
        <v>8.9999999999999998E-4</v>
      </c>
      <c r="H1761" s="1">
        <v>3.0999999999999999E-3</v>
      </c>
      <c r="I1761" s="1">
        <v>1.32E-2</v>
      </c>
      <c r="J1761" s="1">
        <v>0.88339999999999996</v>
      </c>
      <c r="K1761" s="1">
        <v>5.1999999999999998E-3</v>
      </c>
      <c r="L1761" s="1">
        <v>7.1199999999999999E-2</v>
      </c>
    </row>
    <row r="1762" spans="1:12">
      <c r="A1762" s="25" t="s">
        <v>199</v>
      </c>
      <c r="B1762">
        <v>8170</v>
      </c>
      <c r="C1762" t="s">
        <v>189</v>
      </c>
      <c r="D1762">
        <v>10434</v>
      </c>
      <c r="E1762" s="1">
        <v>3.32E-2</v>
      </c>
      <c r="F1762" s="1">
        <v>1.3100000000000001E-2</v>
      </c>
      <c r="G1762" s="1">
        <v>6.4999999999999997E-3</v>
      </c>
      <c r="H1762" s="1">
        <v>3.2000000000000002E-3</v>
      </c>
      <c r="I1762" s="1">
        <v>3.3E-3</v>
      </c>
      <c r="J1762" s="1">
        <v>0.83919999999999995</v>
      </c>
      <c r="K1762" s="1">
        <v>3.2000000000000002E-3</v>
      </c>
      <c r="L1762" s="1">
        <v>9.8299999999999998E-2</v>
      </c>
    </row>
    <row r="1763" spans="1:12">
      <c r="A1763" s="25" t="s">
        <v>192</v>
      </c>
      <c r="B1763">
        <v>10434</v>
      </c>
      <c r="C1763" t="s">
        <v>192</v>
      </c>
      <c r="D1763">
        <v>10434</v>
      </c>
      <c r="E1763" s="1">
        <v>3.0200000000000001E-2</v>
      </c>
      <c r="F1763" s="1">
        <v>1.18E-2</v>
      </c>
      <c r="G1763" s="1">
        <v>5.4999999999999997E-3</v>
      </c>
      <c r="H1763" s="1">
        <v>3.0999999999999999E-3</v>
      </c>
      <c r="I1763" s="1">
        <v>5.1000000000000004E-3</v>
      </c>
      <c r="J1763" s="1">
        <v>0.84730000000000005</v>
      </c>
      <c r="K1763" s="1">
        <v>3.5999999999999999E-3</v>
      </c>
      <c r="L1763" s="1">
        <v>9.3299999999999994E-2</v>
      </c>
    </row>
    <row r="1765" spans="1:12" ht="43.5">
      <c r="A1765" s="25" t="s">
        <v>604</v>
      </c>
    </row>
    <row r="1766" spans="1:12">
      <c r="A1766" s="25" t="s">
        <v>182</v>
      </c>
      <c r="B1766" t="s">
        <v>219</v>
      </c>
      <c r="C1766" t="s">
        <v>181</v>
      </c>
      <c r="D1766" t="s">
        <v>188</v>
      </c>
      <c r="E1766" t="s">
        <v>595</v>
      </c>
      <c r="F1766" t="s">
        <v>596</v>
      </c>
      <c r="G1766" t="s">
        <v>597</v>
      </c>
      <c r="H1766" t="s">
        <v>598</v>
      </c>
      <c r="I1766" t="s">
        <v>599</v>
      </c>
      <c r="J1766" t="s">
        <v>600</v>
      </c>
      <c r="K1766" t="s">
        <v>243</v>
      </c>
      <c r="L1766" t="s">
        <v>601</v>
      </c>
    </row>
    <row r="1767" spans="1:12">
      <c r="A1767" s="25" t="s">
        <v>201</v>
      </c>
      <c r="B1767">
        <v>767</v>
      </c>
      <c r="C1767" t="s">
        <v>189</v>
      </c>
      <c r="D1767">
        <v>10434</v>
      </c>
      <c r="E1767" s="1">
        <v>2.7799999999999998E-2</v>
      </c>
      <c r="F1767" s="1">
        <v>2.8899999999999999E-2</v>
      </c>
      <c r="G1767" s="1">
        <v>6.1999999999999998E-3</v>
      </c>
      <c r="H1767" s="1">
        <v>9.4999999999999998E-3</v>
      </c>
      <c r="I1767" s="1">
        <v>7.3999999999999996E-2</v>
      </c>
      <c r="J1767" s="1">
        <v>0.54269999999999996</v>
      </c>
      <c r="K1767" s="1">
        <v>8.0000000000000004E-4</v>
      </c>
      <c r="L1767" s="1">
        <v>0.31009999999999999</v>
      </c>
    </row>
    <row r="1768" spans="1:12">
      <c r="A1768" s="25" t="s">
        <v>202</v>
      </c>
      <c r="B1768">
        <v>110</v>
      </c>
      <c r="C1768" t="s">
        <v>189</v>
      </c>
      <c r="D1768">
        <v>10434</v>
      </c>
      <c r="E1768" s="1">
        <v>1.54E-2</v>
      </c>
      <c r="F1768" s="1">
        <v>3.2199999999999999E-2</v>
      </c>
      <c r="G1768" s="1">
        <v>5.0900000000000001E-2</v>
      </c>
      <c r="H1768" s="1">
        <v>6.4999999999999997E-3</v>
      </c>
      <c r="J1768" s="1">
        <v>0.71630000000000005</v>
      </c>
      <c r="L1768" s="1">
        <v>0.1787</v>
      </c>
    </row>
    <row r="1769" spans="1:12">
      <c r="A1769" s="25" t="s">
        <v>203</v>
      </c>
      <c r="B1769">
        <v>8042</v>
      </c>
      <c r="C1769" t="s">
        <v>189</v>
      </c>
      <c r="D1769">
        <v>10434</v>
      </c>
      <c r="E1769" s="1">
        <v>2.6700000000000002E-2</v>
      </c>
      <c r="F1769" s="1">
        <v>8.9999999999999993E-3</v>
      </c>
      <c r="G1769" s="1">
        <v>4.4999999999999997E-3</v>
      </c>
      <c r="H1769" s="1">
        <v>3.0000000000000001E-3</v>
      </c>
      <c r="J1769" s="1">
        <v>0.89090000000000003</v>
      </c>
      <c r="K1769" s="1">
        <v>3.3E-3</v>
      </c>
      <c r="L1769" s="1">
        <v>6.2600000000000003E-2</v>
      </c>
    </row>
    <row r="1770" spans="1:12">
      <c r="A1770" s="25" t="s">
        <v>204</v>
      </c>
      <c r="B1770">
        <v>31</v>
      </c>
      <c r="C1770" t="s">
        <v>189</v>
      </c>
      <c r="D1770">
        <v>10434</v>
      </c>
      <c r="E1770" s="1">
        <v>1.0800000000000001E-2</v>
      </c>
      <c r="H1770" s="1">
        <v>1.9E-3</v>
      </c>
      <c r="J1770" s="1">
        <v>0.6512</v>
      </c>
      <c r="K1770" s="1">
        <v>7.2400000000000006E-2</v>
      </c>
      <c r="L1770" s="1">
        <v>0.26369999999999999</v>
      </c>
    </row>
    <row r="1771" spans="1:12">
      <c r="A1771" s="25" t="s">
        <v>205</v>
      </c>
      <c r="B1771">
        <v>1484</v>
      </c>
      <c r="C1771" t="s">
        <v>189</v>
      </c>
      <c r="D1771">
        <v>10434</v>
      </c>
      <c r="E1771" s="1">
        <v>5.1700000000000003E-2</v>
      </c>
      <c r="F1771" s="1">
        <v>1.8800000000000001E-2</v>
      </c>
      <c r="G1771" s="1">
        <v>9.1999999999999998E-3</v>
      </c>
      <c r="H1771" s="1">
        <v>4.0000000000000002E-4</v>
      </c>
      <c r="J1771" s="1">
        <v>0.76019999999999999</v>
      </c>
      <c r="K1771" s="1">
        <v>6.0000000000000001E-3</v>
      </c>
      <c r="L1771" s="1">
        <v>0.15359999999999999</v>
      </c>
    </row>
    <row r="1772" spans="1:12">
      <c r="A1772" s="25" t="s">
        <v>192</v>
      </c>
      <c r="B1772">
        <v>10434</v>
      </c>
      <c r="C1772" t="s">
        <v>192</v>
      </c>
      <c r="D1772">
        <v>10434</v>
      </c>
      <c r="E1772" s="1">
        <v>3.0200000000000001E-2</v>
      </c>
      <c r="F1772" s="1">
        <v>1.18E-2</v>
      </c>
      <c r="G1772" s="1">
        <v>5.4999999999999997E-3</v>
      </c>
      <c r="H1772" s="1">
        <v>3.0999999999999999E-3</v>
      </c>
      <c r="I1772" s="1">
        <v>5.1000000000000004E-3</v>
      </c>
      <c r="J1772" s="1">
        <v>0.84730000000000005</v>
      </c>
      <c r="K1772" s="1">
        <v>3.5999999999999999E-3</v>
      </c>
      <c r="L1772" s="1">
        <v>9.3299999999999994E-2</v>
      </c>
    </row>
    <row r="1774" spans="1:12" ht="43.5">
      <c r="A1774" s="25" t="s">
        <v>605</v>
      </c>
    </row>
    <row r="1775" spans="1:12">
      <c r="A1775" s="25" t="s">
        <v>182</v>
      </c>
      <c r="B1775" t="s">
        <v>219</v>
      </c>
      <c r="C1775" t="s">
        <v>181</v>
      </c>
      <c r="D1775" t="s">
        <v>188</v>
      </c>
      <c r="E1775" t="s">
        <v>595</v>
      </c>
      <c r="F1775" t="s">
        <v>596</v>
      </c>
      <c r="G1775" t="s">
        <v>597</v>
      </c>
      <c r="H1775" t="s">
        <v>598</v>
      </c>
      <c r="I1775" t="s">
        <v>599</v>
      </c>
      <c r="J1775" t="s">
        <v>600</v>
      </c>
      <c r="K1775" t="s">
        <v>243</v>
      </c>
      <c r="L1775" t="s">
        <v>601</v>
      </c>
    </row>
    <row r="1776" spans="1:12">
      <c r="A1776" s="25" t="s">
        <v>207</v>
      </c>
      <c r="B1776">
        <v>7254</v>
      </c>
      <c r="C1776" t="s">
        <v>189</v>
      </c>
      <c r="D1776">
        <v>10434</v>
      </c>
      <c r="E1776" s="1">
        <v>2.93E-2</v>
      </c>
      <c r="F1776" s="1">
        <v>1.3100000000000001E-2</v>
      </c>
      <c r="G1776" s="1">
        <v>5.1999999999999998E-3</v>
      </c>
      <c r="H1776" s="1">
        <v>2.3999999999999998E-3</v>
      </c>
      <c r="I1776" s="1">
        <v>5.4000000000000003E-3</v>
      </c>
      <c r="J1776" s="1">
        <v>0.84109999999999996</v>
      </c>
      <c r="K1776" s="1">
        <v>2.8999999999999998E-3</v>
      </c>
      <c r="L1776" s="1">
        <v>0.1007</v>
      </c>
    </row>
    <row r="1777" spans="1:12">
      <c r="A1777" s="25" t="s">
        <v>208</v>
      </c>
      <c r="B1777">
        <v>2245</v>
      </c>
      <c r="C1777" t="s">
        <v>189</v>
      </c>
      <c r="D1777">
        <v>10434</v>
      </c>
      <c r="E1777" s="1">
        <v>3.5099999999999999E-2</v>
      </c>
      <c r="F1777" s="1">
        <v>7.6E-3</v>
      </c>
      <c r="G1777" s="1">
        <v>5.3E-3</v>
      </c>
      <c r="H1777" s="1">
        <v>5.5999999999999999E-3</v>
      </c>
      <c r="I1777" s="1">
        <v>5.7000000000000002E-3</v>
      </c>
      <c r="J1777" s="1">
        <v>0.86260000000000003</v>
      </c>
      <c r="K1777" s="1">
        <v>6.1999999999999998E-3</v>
      </c>
      <c r="L1777" s="1">
        <v>7.1999999999999995E-2</v>
      </c>
    </row>
    <row r="1778" spans="1:12">
      <c r="A1778" s="25" t="s">
        <v>209</v>
      </c>
      <c r="B1778">
        <v>935</v>
      </c>
      <c r="C1778" t="s">
        <v>189</v>
      </c>
      <c r="D1778">
        <v>10434</v>
      </c>
      <c r="E1778" s="1">
        <v>2.3900000000000001E-2</v>
      </c>
      <c r="F1778" s="1">
        <v>1.3299999999999999E-2</v>
      </c>
      <c r="G1778" s="1">
        <v>8.6E-3</v>
      </c>
      <c r="H1778" s="1">
        <v>2.8E-3</v>
      </c>
      <c r="I1778" s="1">
        <v>1.4E-3</v>
      </c>
      <c r="J1778" s="1">
        <v>0.85819999999999996</v>
      </c>
      <c r="K1778" s="1">
        <v>2.5000000000000001E-3</v>
      </c>
      <c r="L1778" s="1">
        <v>8.9300000000000004E-2</v>
      </c>
    </row>
    <row r="1779" spans="1:12">
      <c r="A1779" s="25" t="s">
        <v>192</v>
      </c>
      <c r="B1779">
        <v>10434</v>
      </c>
      <c r="C1779" t="s">
        <v>192</v>
      </c>
      <c r="D1779">
        <v>10434</v>
      </c>
      <c r="E1779" s="1">
        <v>3.0200000000000001E-2</v>
      </c>
      <c r="F1779" s="1">
        <v>1.18E-2</v>
      </c>
      <c r="G1779" s="1">
        <v>5.4999999999999997E-3</v>
      </c>
      <c r="H1779" s="1">
        <v>3.0999999999999999E-3</v>
      </c>
      <c r="I1779" s="1">
        <v>5.1000000000000004E-3</v>
      </c>
      <c r="J1779" s="1">
        <v>0.84730000000000005</v>
      </c>
      <c r="K1779" s="1">
        <v>3.5999999999999999E-3</v>
      </c>
      <c r="L1779" s="1">
        <v>9.3299999999999994E-2</v>
      </c>
    </row>
    <row r="1781" spans="1:12" ht="43.5">
      <c r="A1781" s="25" t="s">
        <v>606</v>
      </c>
    </row>
    <row r="1782" spans="1:12">
      <c r="A1782" s="25" t="s">
        <v>182</v>
      </c>
      <c r="B1782" t="s">
        <v>219</v>
      </c>
      <c r="C1782" t="s">
        <v>181</v>
      </c>
      <c r="D1782" t="s">
        <v>188</v>
      </c>
      <c r="E1782" t="s">
        <v>595</v>
      </c>
      <c r="F1782" t="s">
        <v>596</v>
      </c>
      <c r="G1782" t="s">
        <v>597</v>
      </c>
      <c r="H1782" t="s">
        <v>598</v>
      </c>
      <c r="I1782" t="s">
        <v>599</v>
      </c>
      <c r="J1782" t="s">
        <v>600</v>
      </c>
      <c r="K1782" t="s">
        <v>243</v>
      </c>
      <c r="L1782" t="s">
        <v>601</v>
      </c>
    </row>
    <row r="1783" spans="1:12">
      <c r="A1783" s="25" t="s">
        <v>211</v>
      </c>
      <c r="B1783">
        <v>4972</v>
      </c>
      <c r="C1783" t="s">
        <v>189</v>
      </c>
      <c r="D1783">
        <v>10434</v>
      </c>
      <c r="E1783" s="1">
        <v>2.5100000000000001E-2</v>
      </c>
      <c r="F1783" s="1">
        <v>1.2E-2</v>
      </c>
      <c r="G1783" s="1">
        <v>5.4000000000000003E-3</v>
      </c>
      <c r="H1783" s="1">
        <v>2.5000000000000001E-3</v>
      </c>
      <c r="I1783" s="1">
        <v>5.0000000000000001E-3</v>
      </c>
      <c r="J1783" s="1">
        <v>0.85850000000000004</v>
      </c>
      <c r="K1783" s="1">
        <v>3.8E-3</v>
      </c>
      <c r="L1783" s="1">
        <v>8.7800000000000003E-2</v>
      </c>
    </row>
    <row r="1784" spans="1:12">
      <c r="A1784" s="25" t="s">
        <v>212</v>
      </c>
      <c r="B1784">
        <v>3376</v>
      </c>
      <c r="C1784" t="s">
        <v>189</v>
      </c>
      <c r="D1784">
        <v>10434</v>
      </c>
      <c r="E1784" s="1">
        <v>3.5799999999999998E-2</v>
      </c>
      <c r="F1784" s="1">
        <v>1.0500000000000001E-2</v>
      </c>
      <c r="G1784" s="1">
        <v>3.7000000000000002E-3</v>
      </c>
      <c r="H1784" s="1">
        <v>2.5000000000000001E-3</v>
      </c>
      <c r="I1784" s="1">
        <v>5.5999999999999999E-3</v>
      </c>
      <c r="J1784" s="1">
        <v>0.84519999999999995</v>
      </c>
      <c r="K1784" s="1">
        <v>3.0000000000000001E-3</v>
      </c>
      <c r="L1784" s="1">
        <v>9.3700000000000006E-2</v>
      </c>
    </row>
    <row r="1785" spans="1:12">
      <c r="A1785" s="25" t="s">
        <v>213</v>
      </c>
      <c r="B1785">
        <v>2086</v>
      </c>
      <c r="C1785" t="s">
        <v>189</v>
      </c>
      <c r="D1785">
        <v>10434</v>
      </c>
      <c r="E1785" s="1">
        <v>3.3000000000000002E-2</v>
      </c>
      <c r="F1785" s="1">
        <v>1.3299999999999999E-2</v>
      </c>
      <c r="G1785" s="1">
        <v>8.3999999999999995E-3</v>
      </c>
      <c r="H1785" s="1">
        <v>5.4999999999999997E-3</v>
      </c>
      <c r="I1785" s="1">
        <v>4.8999999999999998E-3</v>
      </c>
      <c r="J1785" s="1">
        <v>0.82620000000000005</v>
      </c>
      <c r="K1785" s="1">
        <v>3.8999999999999998E-3</v>
      </c>
      <c r="L1785" s="1">
        <v>0.1047</v>
      </c>
    </row>
    <row r="1786" spans="1:12">
      <c r="A1786" s="25" t="s">
        <v>192</v>
      </c>
      <c r="B1786">
        <v>10434</v>
      </c>
      <c r="C1786" t="s">
        <v>192</v>
      </c>
      <c r="D1786">
        <v>10434</v>
      </c>
      <c r="E1786" s="1">
        <v>3.0200000000000001E-2</v>
      </c>
      <c r="F1786" s="1">
        <v>1.18E-2</v>
      </c>
      <c r="G1786" s="1">
        <v>5.4999999999999997E-3</v>
      </c>
      <c r="H1786" s="1">
        <v>3.0999999999999999E-3</v>
      </c>
      <c r="I1786" s="1">
        <v>5.1000000000000004E-3</v>
      </c>
      <c r="J1786" s="1">
        <v>0.84730000000000005</v>
      </c>
      <c r="K1786" s="1">
        <v>3.5999999999999999E-3</v>
      </c>
      <c r="L1786" s="1">
        <v>9.3299999999999994E-2</v>
      </c>
    </row>
    <row r="1788" spans="1:12" ht="43.5">
      <c r="A1788" s="25" t="s">
        <v>607</v>
      </c>
    </row>
    <row r="1789" spans="1:12">
      <c r="A1789" s="25" t="s">
        <v>182</v>
      </c>
      <c r="B1789" t="s">
        <v>219</v>
      </c>
      <c r="C1789" t="s">
        <v>181</v>
      </c>
      <c r="D1789" t="s">
        <v>188</v>
      </c>
      <c r="E1789" t="s">
        <v>241</v>
      </c>
      <c r="F1789" t="s">
        <v>608</v>
      </c>
      <c r="G1789" t="s">
        <v>243</v>
      </c>
      <c r="H1789" t="s">
        <v>609</v>
      </c>
      <c r="I1789" t="s">
        <v>610</v>
      </c>
    </row>
    <row r="1790" spans="1:12">
      <c r="A1790" s="25" t="s">
        <v>190</v>
      </c>
      <c r="B1790">
        <v>4903</v>
      </c>
      <c r="C1790" t="s">
        <v>189</v>
      </c>
      <c r="D1790">
        <v>10434</v>
      </c>
      <c r="E1790" s="1">
        <v>8.0000000000000004E-4</v>
      </c>
      <c r="F1790" s="1">
        <v>0.94779999999999998</v>
      </c>
      <c r="G1790" s="1">
        <v>0</v>
      </c>
      <c r="H1790" s="1">
        <v>3.3000000000000002E-2</v>
      </c>
      <c r="I1790" s="1">
        <v>1.84E-2</v>
      </c>
    </row>
    <row r="1791" spans="1:12">
      <c r="A1791" s="25" t="s">
        <v>191</v>
      </c>
      <c r="B1791">
        <v>5474</v>
      </c>
      <c r="C1791" t="s">
        <v>189</v>
      </c>
      <c r="D1791">
        <v>10434</v>
      </c>
      <c r="E1791" s="1">
        <v>1.8E-3</v>
      </c>
      <c r="F1791" s="1">
        <v>0.89690000000000003</v>
      </c>
      <c r="G1791" s="1">
        <v>1E-4</v>
      </c>
      <c r="H1791" s="1">
        <v>7.6300000000000007E-2</v>
      </c>
      <c r="I1791" s="1">
        <v>2.4799999999999999E-2</v>
      </c>
    </row>
    <row r="1792" spans="1:12">
      <c r="A1792" s="25" t="s">
        <v>192</v>
      </c>
      <c r="B1792">
        <v>10434</v>
      </c>
      <c r="C1792" t="s">
        <v>192</v>
      </c>
      <c r="D1792">
        <v>10434</v>
      </c>
      <c r="E1792" s="1">
        <v>1.5E-3</v>
      </c>
      <c r="F1792" s="1">
        <v>0.91590000000000005</v>
      </c>
      <c r="G1792" s="1">
        <v>1E-4</v>
      </c>
      <c r="H1792" s="1">
        <v>5.9900000000000002E-2</v>
      </c>
      <c r="I1792" s="1">
        <v>2.2599999999999999E-2</v>
      </c>
    </row>
    <row r="1794" spans="1:9" ht="43.5">
      <c r="A1794" s="25" t="s">
        <v>611</v>
      </c>
    </row>
    <row r="1795" spans="1:9">
      <c r="A1795" s="25" t="s">
        <v>182</v>
      </c>
      <c r="B1795" t="s">
        <v>219</v>
      </c>
      <c r="C1795" t="s">
        <v>181</v>
      </c>
      <c r="D1795" t="s">
        <v>188</v>
      </c>
      <c r="E1795" t="s">
        <v>241</v>
      </c>
      <c r="F1795" t="s">
        <v>608</v>
      </c>
      <c r="G1795" t="s">
        <v>243</v>
      </c>
      <c r="H1795" t="s">
        <v>609</v>
      </c>
      <c r="I1795" t="s">
        <v>610</v>
      </c>
    </row>
    <row r="1796" spans="1:9" ht="29.1">
      <c r="A1796" s="25" t="s">
        <v>194</v>
      </c>
      <c r="B1796">
        <v>5954</v>
      </c>
      <c r="C1796" t="s">
        <v>189</v>
      </c>
      <c r="D1796">
        <v>10434</v>
      </c>
      <c r="E1796" s="1">
        <v>1.2999999999999999E-3</v>
      </c>
      <c r="F1796" s="1">
        <v>0.93989999999999996</v>
      </c>
      <c r="H1796" s="1">
        <v>4.7600000000000003E-2</v>
      </c>
      <c r="I1796" s="1">
        <v>1.12E-2</v>
      </c>
    </row>
    <row r="1797" spans="1:9" ht="29.1">
      <c r="A1797" s="25" t="s">
        <v>195</v>
      </c>
      <c r="B1797">
        <v>2703</v>
      </c>
      <c r="C1797" t="s">
        <v>189</v>
      </c>
      <c r="D1797">
        <v>10434</v>
      </c>
      <c r="E1797" s="1">
        <v>1.1999999999999999E-3</v>
      </c>
      <c r="F1797" s="1">
        <v>0.90129999999999999</v>
      </c>
      <c r="H1797" s="1">
        <v>6.5199999999999994E-2</v>
      </c>
      <c r="I1797" s="1">
        <v>3.2399999999999998E-2</v>
      </c>
    </row>
    <row r="1798" spans="1:9" ht="29.1">
      <c r="A1798" s="25" t="s">
        <v>196</v>
      </c>
      <c r="B1798">
        <v>1720</v>
      </c>
      <c r="C1798" t="s">
        <v>189</v>
      </c>
      <c r="D1798">
        <v>10434</v>
      </c>
      <c r="E1798" s="1">
        <v>3.0999999999999999E-3</v>
      </c>
      <c r="F1798" s="1">
        <v>0.76739999999999997</v>
      </c>
      <c r="G1798" s="1">
        <v>1E-3</v>
      </c>
      <c r="H1798" s="1">
        <v>0.14199999999999999</v>
      </c>
      <c r="I1798" s="1">
        <v>8.6499999999999994E-2</v>
      </c>
    </row>
    <row r="1799" spans="1:9">
      <c r="A1799" s="25" t="s">
        <v>192</v>
      </c>
      <c r="B1799">
        <v>10434</v>
      </c>
      <c r="C1799" t="s">
        <v>192</v>
      </c>
      <c r="D1799">
        <v>10434</v>
      </c>
      <c r="E1799" s="1">
        <v>1.5E-3</v>
      </c>
      <c r="F1799" s="1">
        <v>0.91590000000000005</v>
      </c>
      <c r="G1799" s="1">
        <v>1E-4</v>
      </c>
      <c r="H1799" s="1">
        <v>5.9900000000000002E-2</v>
      </c>
      <c r="I1799" s="1">
        <v>2.2599999999999999E-2</v>
      </c>
    </row>
    <row r="1801" spans="1:9" ht="43.5">
      <c r="A1801" s="25" t="s">
        <v>612</v>
      </c>
    </row>
    <row r="1802" spans="1:9">
      <c r="A1802" s="25" t="s">
        <v>182</v>
      </c>
      <c r="B1802" t="s">
        <v>219</v>
      </c>
      <c r="C1802" t="s">
        <v>181</v>
      </c>
      <c r="D1802" t="s">
        <v>188</v>
      </c>
      <c r="E1802" t="s">
        <v>241</v>
      </c>
      <c r="F1802" t="s">
        <v>608</v>
      </c>
      <c r="G1802" t="s">
        <v>243</v>
      </c>
      <c r="H1802" t="s">
        <v>609</v>
      </c>
      <c r="I1802" t="s">
        <v>610</v>
      </c>
    </row>
    <row r="1803" spans="1:9">
      <c r="A1803" s="25" t="s">
        <v>198</v>
      </c>
      <c r="B1803">
        <v>2264</v>
      </c>
      <c r="C1803" t="s">
        <v>189</v>
      </c>
      <c r="D1803">
        <v>10434</v>
      </c>
      <c r="E1803" s="1">
        <v>1.5E-3</v>
      </c>
      <c r="F1803" s="1">
        <v>0.90110000000000001</v>
      </c>
      <c r="G1803" s="1">
        <v>1E-4</v>
      </c>
      <c r="H1803" s="1">
        <v>7.2900000000000006E-2</v>
      </c>
      <c r="I1803" s="1">
        <v>2.4500000000000001E-2</v>
      </c>
    </row>
    <row r="1804" spans="1:9">
      <c r="A1804" s="25" t="s">
        <v>199</v>
      </c>
      <c r="B1804">
        <v>8170</v>
      </c>
      <c r="C1804" t="s">
        <v>189</v>
      </c>
      <c r="D1804">
        <v>10434</v>
      </c>
      <c r="E1804" s="1">
        <v>1.5E-3</v>
      </c>
      <c r="F1804" s="1">
        <v>0.91920000000000002</v>
      </c>
      <c r="G1804" s="1">
        <v>1E-4</v>
      </c>
      <c r="H1804" s="1">
        <v>5.7000000000000002E-2</v>
      </c>
      <c r="I1804" s="1">
        <v>2.2200000000000001E-2</v>
      </c>
    </row>
    <row r="1805" spans="1:9">
      <c r="A1805" s="25" t="s">
        <v>192</v>
      </c>
      <c r="B1805">
        <v>10434</v>
      </c>
      <c r="C1805" t="s">
        <v>192</v>
      </c>
      <c r="D1805">
        <v>10434</v>
      </c>
      <c r="E1805" s="1">
        <v>1.5E-3</v>
      </c>
      <c r="F1805" s="1">
        <v>0.91590000000000005</v>
      </c>
      <c r="G1805" s="1">
        <v>1E-4</v>
      </c>
      <c r="H1805" s="1">
        <v>5.9900000000000002E-2</v>
      </c>
      <c r="I1805" s="1">
        <v>2.2599999999999999E-2</v>
      </c>
    </row>
    <row r="1807" spans="1:9" ht="43.5">
      <c r="A1807" s="25" t="s">
        <v>613</v>
      </c>
    </row>
    <row r="1808" spans="1:9">
      <c r="A1808" s="25" t="s">
        <v>182</v>
      </c>
      <c r="B1808" t="s">
        <v>219</v>
      </c>
      <c r="C1808" t="s">
        <v>181</v>
      </c>
      <c r="D1808" t="s">
        <v>188</v>
      </c>
      <c r="E1808" t="s">
        <v>241</v>
      </c>
      <c r="F1808" t="s">
        <v>608</v>
      </c>
      <c r="G1808" t="s">
        <v>243</v>
      </c>
      <c r="H1808" t="s">
        <v>609</v>
      </c>
      <c r="I1808" t="s">
        <v>610</v>
      </c>
    </row>
    <row r="1809" spans="1:9">
      <c r="A1809" s="25" t="s">
        <v>201</v>
      </c>
      <c r="B1809">
        <v>767</v>
      </c>
      <c r="C1809" t="s">
        <v>189</v>
      </c>
      <c r="D1809">
        <v>10434</v>
      </c>
      <c r="E1809" s="1">
        <v>6.9999999999999999E-4</v>
      </c>
      <c r="F1809" s="1">
        <v>0.11609999999999999</v>
      </c>
      <c r="G1809" s="1">
        <v>5.9999999999999995E-4</v>
      </c>
      <c r="H1809" s="1">
        <v>0.73099999999999998</v>
      </c>
      <c r="I1809" s="1">
        <v>0.1517</v>
      </c>
    </row>
    <row r="1810" spans="1:9">
      <c r="A1810" s="25" t="s">
        <v>202</v>
      </c>
      <c r="B1810">
        <v>110</v>
      </c>
      <c r="C1810" t="s">
        <v>189</v>
      </c>
      <c r="D1810">
        <v>10434</v>
      </c>
      <c r="F1810" s="1">
        <v>0.7409</v>
      </c>
      <c r="G1810" s="1">
        <v>2.5999999999999999E-3</v>
      </c>
      <c r="H1810" s="1">
        <v>0.19339999999999999</v>
      </c>
      <c r="I1810" s="1">
        <v>6.3100000000000003E-2</v>
      </c>
    </row>
    <row r="1811" spans="1:9">
      <c r="A1811" s="25" t="s">
        <v>203</v>
      </c>
      <c r="B1811">
        <v>8042</v>
      </c>
      <c r="C1811" t="s">
        <v>189</v>
      </c>
      <c r="D1811">
        <v>10434</v>
      </c>
      <c r="E1811" s="1">
        <v>5.9999999999999995E-4</v>
      </c>
      <c r="F1811" s="1">
        <v>0.99060000000000004</v>
      </c>
      <c r="G1811" s="1">
        <v>0</v>
      </c>
      <c r="H1811" s="1">
        <v>2.7000000000000001E-3</v>
      </c>
      <c r="I1811" s="1">
        <v>6.1000000000000004E-3</v>
      </c>
    </row>
    <row r="1812" spans="1:9">
      <c r="A1812" s="25" t="s">
        <v>204</v>
      </c>
      <c r="B1812">
        <v>31</v>
      </c>
      <c r="C1812" t="s">
        <v>189</v>
      </c>
      <c r="D1812">
        <v>10434</v>
      </c>
      <c r="F1812" s="1">
        <v>0.86299999999999999</v>
      </c>
      <c r="H1812" s="1">
        <v>1.6E-2</v>
      </c>
      <c r="I1812" s="1">
        <v>0.121</v>
      </c>
    </row>
    <row r="1813" spans="1:9">
      <c r="A1813" s="25" t="s">
        <v>205</v>
      </c>
      <c r="B1813">
        <v>1484</v>
      </c>
      <c r="C1813" t="s">
        <v>189</v>
      </c>
      <c r="D1813">
        <v>10434</v>
      </c>
      <c r="E1813" s="1">
        <v>6.8999999999999999E-3</v>
      </c>
      <c r="F1813" s="1">
        <v>0.90149999999999997</v>
      </c>
      <c r="H1813" s="1">
        <v>4.2500000000000003E-2</v>
      </c>
      <c r="I1813" s="1">
        <v>4.9099999999999998E-2</v>
      </c>
    </row>
    <row r="1814" spans="1:9">
      <c r="A1814" s="25" t="s">
        <v>192</v>
      </c>
      <c r="B1814">
        <v>10434</v>
      </c>
      <c r="C1814" t="s">
        <v>192</v>
      </c>
      <c r="D1814">
        <v>10434</v>
      </c>
      <c r="E1814" s="1">
        <v>1.5E-3</v>
      </c>
      <c r="F1814" s="1">
        <v>0.91590000000000005</v>
      </c>
      <c r="G1814" s="1">
        <v>1E-4</v>
      </c>
      <c r="H1814" s="1">
        <v>5.9900000000000002E-2</v>
      </c>
      <c r="I1814" s="1">
        <v>2.2599999999999999E-2</v>
      </c>
    </row>
    <row r="1816" spans="1:9" ht="43.5">
      <c r="A1816" s="25" t="s">
        <v>614</v>
      </c>
    </row>
    <row r="1817" spans="1:9">
      <c r="A1817" s="25" t="s">
        <v>182</v>
      </c>
      <c r="B1817" t="s">
        <v>219</v>
      </c>
      <c r="C1817" t="s">
        <v>181</v>
      </c>
      <c r="D1817" t="s">
        <v>188</v>
      </c>
      <c r="E1817" t="s">
        <v>241</v>
      </c>
      <c r="F1817" t="s">
        <v>608</v>
      </c>
      <c r="G1817" t="s">
        <v>243</v>
      </c>
      <c r="H1817" t="s">
        <v>609</v>
      </c>
      <c r="I1817" t="s">
        <v>610</v>
      </c>
    </row>
    <row r="1818" spans="1:9">
      <c r="A1818" s="25" t="s">
        <v>207</v>
      </c>
      <c r="B1818">
        <v>7254</v>
      </c>
      <c r="C1818" t="s">
        <v>189</v>
      </c>
      <c r="D1818">
        <v>10434</v>
      </c>
      <c r="E1818" s="1">
        <v>6.9999999999999999E-4</v>
      </c>
      <c r="F1818" s="1">
        <v>0.90890000000000004</v>
      </c>
      <c r="G1818" s="1">
        <v>1E-4</v>
      </c>
      <c r="H1818" s="1">
        <v>6.3899999999999998E-2</v>
      </c>
      <c r="I1818" s="1">
        <v>2.64E-2</v>
      </c>
    </row>
    <row r="1819" spans="1:9">
      <c r="A1819" s="25" t="s">
        <v>208</v>
      </c>
      <c r="B1819">
        <v>2245</v>
      </c>
      <c r="C1819" t="s">
        <v>189</v>
      </c>
      <c r="D1819">
        <v>10434</v>
      </c>
      <c r="E1819" s="1">
        <v>1.1999999999999999E-3</v>
      </c>
      <c r="F1819" s="1">
        <v>0.95089999999999997</v>
      </c>
      <c r="H1819" s="1">
        <v>4.6300000000000001E-2</v>
      </c>
      <c r="I1819" s="1">
        <v>1.6000000000000001E-3</v>
      </c>
    </row>
    <row r="1820" spans="1:9">
      <c r="A1820" s="25" t="s">
        <v>209</v>
      </c>
      <c r="B1820">
        <v>935</v>
      </c>
      <c r="C1820" t="s">
        <v>189</v>
      </c>
      <c r="D1820">
        <v>10434</v>
      </c>
      <c r="E1820" s="1">
        <v>8.9999999999999993E-3</v>
      </c>
      <c r="F1820" s="1">
        <v>0.878</v>
      </c>
      <c r="H1820" s="1">
        <v>6.3700000000000007E-2</v>
      </c>
      <c r="I1820" s="1">
        <v>4.9299999999999997E-2</v>
      </c>
    </row>
    <row r="1821" spans="1:9">
      <c r="A1821" s="25" t="s">
        <v>192</v>
      </c>
      <c r="B1821">
        <v>10434</v>
      </c>
      <c r="C1821" t="s">
        <v>192</v>
      </c>
      <c r="D1821">
        <v>10434</v>
      </c>
      <c r="E1821" s="1">
        <v>1.5E-3</v>
      </c>
      <c r="F1821" s="1">
        <v>0.91590000000000005</v>
      </c>
      <c r="G1821" s="1">
        <v>1E-4</v>
      </c>
      <c r="H1821" s="1">
        <v>5.9900000000000002E-2</v>
      </c>
      <c r="I1821" s="1">
        <v>2.2599999999999999E-2</v>
      </c>
    </row>
    <row r="1823" spans="1:9" ht="43.5">
      <c r="A1823" s="25" t="s">
        <v>615</v>
      </c>
    </row>
    <row r="1824" spans="1:9">
      <c r="A1824" s="25" t="s">
        <v>182</v>
      </c>
      <c r="B1824" t="s">
        <v>219</v>
      </c>
      <c r="C1824" t="s">
        <v>181</v>
      </c>
      <c r="D1824" t="s">
        <v>188</v>
      </c>
      <c r="E1824" t="s">
        <v>241</v>
      </c>
      <c r="F1824" t="s">
        <v>608</v>
      </c>
      <c r="G1824" t="s">
        <v>243</v>
      </c>
      <c r="H1824" t="s">
        <v>609</v>
      </c>
      <c r="I1824" t="s">
        <v>610</v>
      </c>
    </row>
    <row r="1825" spans="1:9">
      <c r="A1825" s="25" t="s">
        <v>211</v>
      </c>
      <c r="B1825">
        <v>4972</v>
      </c>
      <c r="C1825" t="s">
        <v>189</v>
      </c>
      <c r="D1825">
        <v>10434</v>
      </c>
      <c r="E1825" s="1">
        <v>8.9999999999999998E-4</v>
      </c>
      <c r="F1825" s="1">
        <v>0.91490000000000005</v>
      </c>
      <c r="G1825" s="1">
        <v>1E-4</v>
      </c>
      <c r="H1825" s="1">
        <v>5.0900000000000001E-2</v>
      </c>
      <c r="I1825" s="1">
        <v>3.32E-2</v>
      </c>
    </row>
    <row r="1826" spans="1:9">
      <c r="A1826" s="25" t="s">
        <v>212</v>
      </c>
      <c r="B1826">
        <v>3376</v>
      </c>
      <c r="C1826" t="s">
        <v>189</v>
      </c>
      <c r="D1826">
        <v>10434</v>
      </c>
      <c r="E1826" s="1">
        <v>5.0000000000000001E-4</v>
      </c>
      <c r="F1826" s="1">
        <v>0.90649999999999997</v>
      </c>
      <c r="G1826" s="1">
        <v>0</v>
      </c>
      <c r="H1826" s="1">
        <v>7.8899999999999998E-2</v>
      </c>
      <c r="I1826" s="1">
        <v>1.4E-2</v>
      </c>
    </row>
    <row r="1827" spans="1:9">
      <c r="A1827" s="25" t="s">
        <v>213</v>
      </c>
      <c r="B1827">
        <v>2086</v>
      </c>
      <c r="C1827" t="s">
        <v>189</v>
      </c>
      <c r="D1827">
        <v>10434</v>
      </c>
      <c r="E1827" s="1">
        <v>4.1000000000000003E-3</v>
      </c>
      <c r="F1827" s="1">
        <v>0.93130000000000002</v>
      </c>
      <c r="G1827" s="1">
        <v>2.0000000000000001E-4</v>
      </c>
      <c r="H1827" s="1">
        <v>5.2200000000000003E-2</v>
      </c>
      <c r="I1827" s="1">
        <v>1.2200000000000001E-2</v>
      </c>
    </row>
    <row r="1828" spans="1:9">
      <c r="A1828" s="25" t="s">
        <v>192</v>
      </c>
      <c r="B1828">
        <v>10434</v>
      </c>
      <c r="C1828" t="s">
        <v>192</v>
      </c>
      <c r="D1828">
        <v>10434</v>
      </c>
      <c r="E1828" s="1">
        <v>1.5E-3</v>
      </c>
      <c r="F1828" s="1">
        <v>0.91590000000000005</v>
      </c>
      <c r="G1828" s="1">
        <v>1E-4</v>
      </c>
      <c r="H1828" s="1">
        <v>5.9900000000000002E-2</v>
      </c>
      <c r="I1828" s="1">
        <v>2.2599999999999999E-2</v>
      </c>
    </row>
    <row r="1830" spans="1:9" ht="57.95">
      <c r="A1830" s="25" t="s">
        <v>616</v>
      </c>
    </row>
    <row r="1831" spans="1:9">
      <c r="A1831" s="25" t="s">
        <v>182</v>
      </c>
      <c r="B1831" t="s">
        <v>219</v>
      </c>
      <c r="C1831" t="s">
        <v>181</v>
      </c>
      <c r="D1831" t="s">
        <v>188</v>
      </c>
      <c r="E1831" t="s">
        <v>241</v>
      </c>
      <c r="F1831" t="s">
        <v>220</v>
      </c>
      <c r="G1831" t="s">
        <v>243</v>
      </c>
      <c r="H1831" t="s">
        <v>221</v>
      </c>
    </row>
    <row r="1832" spans="1:9">
      <c r="A1832" s="25" t="s">
        <v>190</v>
      </c>
      <c r="B1832">
        <v>2407</v>
      </c>
      <c r="C1832" t="s">
        <v>189</v>
      </c>
      <c r="D1832">
        <v>4611</v>
      </c>
      <c r="E1832" s="1">
        <v>8.0000000000000004E-4</v>
      </c>
      <c r="F1832" s="1">
        <v>4.36E-2</v>
      </c>
      <c r="G1832" s="1">
        <v>1.4E-3</v>
      </c>
      <c r="H1832" s="1">
        <v>0.95420000000000005</v>
      </c>
    </row>
    <row r="1833" spans="1:9">
      <c r="A1833" s="25" t="s">
        <v>191</v>
      </c>
      <c r="B1833">
        <v>2162</v>
      </c>
      <c r="C1833" t="s">
        <v>189</v>
      </c>
      <c r="D1833">
        <v>4611</v>
      </c>
      <c r="E1833" s="1">
        <v>8.0000000000000004E-4</v>
      </c>
      <c r="F1833" s="1">
        <v>0.04</v>
      </c>
      <c r="H1833" s="1">
        <v>0.95909999999999995</v>
      </c>
    </row>
    <row r="1834" spans="1:9">
      <c r="A1834" s="25" t="s">
        <v>192</v>
      </c>
      <c r="B1834">
        <v>4611</v>
      </c>
      <c r="C1834" t="s">
        <v>192</v>
      </c>
      <c r="D1834">
        <v>4611</v>
      </c>
      <c r="E1834" s="1">
        <v>8.0000000000000004E-4</v>
      </c>
      <c r="F1834" s="1">
        <v>4.1799999999999997E-2</v>
      </c>
      <c r="G1834" s="1">
        <v>5.9999999999999995E-4</v>
      </c>
      <c r="H1834" s="1">
        <v>0.95679999999999998</v>
      </c>
    </row>
    <row r="1836" spans="1:9" ht="57.95">
      <c r="A1836" s="25" t="s">
        <v>617</v>
      </c>
    </row>
    <row r="1837" spans="1:9">
      <c r="A1837" s="25" t="s">
        <v>182</v>
      </c>
      <c r="B1837" t="s">
        <v>219</v>
      </c>
      <c r="C1837" t="s">
        <v>181</v>
      </c>
      <c r="D1837" t="s">
        <v>188</v>
      </c>
      <c r="E1837" t="s">
        <v>241</v>
      </c>
      <c r="F1837" t="s">
        <v>220</v>
      </c>
      <c r="G1837" t="s">
        <v>243</v>
      </c>
      <c r="H1837" t="s">
        <v>221</v>
      </c>
    </row>
    <row r="1838" spans="1:9" ht="29.1">
      <c r="A1838" s="25" t="s">
        <v>194</v>
      </c>
      <c r="B1838">
        <v>2435</v>
      </c>
      <c r="C1838" t="s">
        <v>189</v>
      </c>
      <c r="D1838">
        <v>4611</v>
      </c>
      <c r="E1838" s="1">
        <v>1.1000000000000001E-3</v>
      </c>
      <c r="F1838" s="1">
        <v>3.1600000000000003E-2</v>
      </c>
      <c r="G1838" s="1">
        <v>8.9999999999999998E-4</v>
      </c>
      <c r="H1838" s="1">
        <v>0.96640000000000004</v>
      </c>
    </row>
    <row r="1839" spans="1:9" ht="29.1">
      <c r="A1839" s="25" t="s">
        <v>195</v>
      </c>
      <c r="B1839">
        <v>1177</v>
      </c>
      <c r="C1839" t="s">
        <v>189</v>
      </c>
      <c r="D1839">
        <v>4611</v>
      </c>
      <c r="F1839" s="1">
        <v>6.0400000000000002E-2</v>
      </c>
      <c r="H1839" s="1">
        <v>0.93959999999999999</v>
      </c>
    </row>
    <row r="1840" spans="1:9" ht="29.1">
      <c r="A1840" s="25" t="s">
        <v>196</v>
      </c>
      <c r="B1840">
        <v>957</v>
      </c>
      <c r="C1840" t="s">
        <v>189</v>
      </c>
      <c r="D1840">
        <v>4611</v>
      </c>
      <c r="F1840" s="1">
        <v>7.4099999999999999E-2</v>
      </c>
      <c r="H1840" s="1">
        <v>0.92589999999999995</v>
      </c>
    </row>
    <row r="1841" spans="1:8">
      <c r="A1841" s="25" t="s">
        <v>192</v>
      </c>
      <c r="B1841">
        <v>4611</v>
      </c>
      <c r="C1841" t="s">
        <v>192</v>
      </c>
      <c r="D1841">
        <v>4611</v>
      </c>
      <c r="E1841" s="1">
        <v>8.0000000000000004E-4</v>
      </c>
      <c r="F1841" s="1">
        <v>4.1799999999999997E-2</v>
      </c>
      <c r="G1841" s="1">
        <v>5.9999999999999995E-4</v>
      </c>
      <c r="H1841" s="1">
        <v>0.95679999999999998</v>
      </c>
    </row>
    <row r="1843" spans="1:8" ht="57.95">
      <c r="A1843" s="25" t="s">
        <v>618</v>
      </c>
    </row>
    <row r="1844" spans="1:8">
      <c r="A1844" s="25" t="s">
        <v>182</v>
      </c>
      <c r="B1844" t="s">
        <v>219</v>
      </c>
      <c r="C1844" t="s">
        <v>181</v>
      </c>
      <c r="D1844" t="s">
        <v>188</v>
      </c>
      <c r="E1844" t="s">
        <v>241</v>
      </c>
      <c r="F1844" t="s">
        <v>220</v>
      </c>
      <c r="G1844" t="s">
        <v>243</v>
      </c>
      <c r="H1844" t="s">
        <v>221</v>
      </c>
    </row>
    <row r="1845" spans="1:8">
      <c r="A1845" s="25" t="s">
        <v>198</v>
      </c>
      <c r="B1845">
        <v>642</v>
      </c>
      <c r="C1845" t="s">
        <v>189</v>
      </c>
      <c r="D1845">
        <v>4611</v>
      </c>
      <c r="E1845" s="1">
        <v>4.0000000000000001E-3</v>
      </c>
      <c r="F1845" s="1">
        <v>5.8799999999999998E-2</v>
      </c>
      <c r="H1845" s="1">
        <v>0.93710000000000004</v>
      </c>
    </row>
    <row r="1846" spans="1:8">
      <c r="A1846" s="25" t="s">
        <v>199</v>
      </c>
      <c r="B1846">
        <v>3969</v>
      </c>
      <c r="C1846" t="s">
        <v>189</v>
      </c>
      <c r="D1846">
        <v>4611</v>
      </c>
      <c r="E1846" s="1">
        <v>4.0000000000000002E-4</v>
      </c>
      <c r="F1846" s="1">
        <v>3.9600000000000003E-2</v>
      </c>
      <c r="G1846" s="1">
        <v>6.9999999999999999E-4</v>
      </c>
      <c r="H1846" s="1">
        <v>0.95930000000000004</v>
      </c>
    </row>
    <row r="1847" spans="1:8">
      <c r="A1847" s="25" t="s">
        <v>192</v>
      </c>
      <c r="B1847">
        <v>4611</v>
      </c>
      <c r="C1847" t="s">
        <v>192</v>
      </c>
      <c r="D1847">
        <v>4611</v>
      </c>
      <c r="E1847" s="1">
        <v>8.0000000000000004E-4</v>
      </c>
      <c r="F1847" s="1">
        <v>4.1799999999999997E-2</v>
      </c>
      <c r="G1847" s="1">
        <v>5.9999999999999995E-4</v>
      </c>
      <c r="H1847" s="1">
        <v>0.95679999999999998</v>
      </c>
    </row>
    <row r="1849" spans="1:8" ht="57.95">
      <c r="A1849" s="25" t="s">
        <v>619</v>
      </c>
    </row>
    <row r="1850" spans="1:8">
      <c r="A1850" s="25" t="s">
        <v>182</v>
      </c>
      <c r="B1850" t="s">
        <v>219</v>
      </c>
      <c r="C1850" t="s">
        <v>181</v>
      </c>
      <c r="D1850" t="s">
        <v>188</v>
      </c>
      <c r="E1850" t="s">
        <v>241</v>
      </c>
      <c r="F1850" t="s">
        <v>220</v>
      </c>
      <c r="G1850" t="s">
        <v>243</v>
      </c>
      <c r="H1850" t="s">
        <v>221</v>
      </c>
    </row>
    <row r="1851" spans="1:8">
      <c r="A1851" s="25" t="s">
        <v>201</v>
      </c>
      <c r="B1851">
        <v>485</v>
      </c>
      <c r="C1851" t="s">
        <v>189</v>
      </c>
      <c r="D1851">
        <v>4611</v>
      </c>
      <c r="F1851" s="1">
        <v>6.4500000000000002E-2</v>
      </c>
      <c r="H1851" s="1">
        <v>0.9355</v>
      </c>
    </row>
    <row r="1852" spans="1:8">
      <c r="A1852" s="25" t="s">
        <v>237</v>
      </c>
      <c r="B1852">
        <v>62</v>
      </c>
      <c r="C1852" t="s">
        <v>189</v>
      </c>
      <c r="D1852">
        <v>4611</v>
      </c>
      <c r="F1852" s="1">
        <v>5.4699999999999999E-2</v>
      </c>
      <c r="H1852" s="1">
        <v>0.94530000000000003</v>
      </c>
    </row>
    <row r="1853" spans="1:8">
      <c r="A1853" s="25" t="s">
        <v>203</v>
      </c>
      <c r="B1853">
        <v>3075</v>
      </c>
      <c r="C1853" t="s">
        <v>189</v>
      </c>
      <c r="D1853">
        <v>4611</v>
      </c>
      <c r="E1853" s="1">
        <v>1.1999999999999999E-3</v>
      </c>
      <c r="F1853" s="1">
        <v>3.7400000000000003E-2</v>
      </c>
      <c r="G1853" s="1">
        <v>8.9999999999999998E-4</v>
      </c>
      <c r="H1853" s="1">
        <v>0.96050000000000002</v>
      </c>
    </row>
    <row r="1854" spans="1:8">
      <c r="A1854" s="25" t="s">
        <v>204</v>
      </c>
      <c r="B1854">
        <v>8</v>
      </c>
      <c r="C1854" t="s">
        <v>189</v>
      </c>
      <c r="D1854">
        <v>4611</v>
      </c>
      <c r="F1854" s="1">
        <v>8.8599999999999998E-2</v>
      </c>
      <c r="H1854" s="1">
        <v>0.91139999999999999</v>
      </c>
    </row>
    <row r="1855" spans="1:8">
      <c r="A1855" s="25" t="s">
        <v>205</v>
      </c>
      <c r="B1855">
        <v>981</v>
      </c>
      <c r="C1855" t="s">
        <v>189</v>
      </c>
      <c r="D1855">
        <v>4611</v>
      </c>
      <c r="F1855" s="1">
        <v>4.4900000000000002E-2</v>
      </c>
      <c r="H1855" s="1">
        <v>0.95509999999999995</v>
      </c>
    </row>
    <row r="1856" spans="1:8">
      <c r="A1856" s="25" t="s">
        <v>192</v>
      </c>
      <c r="B1856">
        <v>4611</v>
      </c>
      <c r="C1856" t="s">
        <v>192</v>
      </c>
      <c r="D1856">
        <v>4611</v>
      </c>
      <c r="E1856" s="1">
        <v>8.0000000000000004E-4</v>
      </c>
      <c r="F1856" s="1">
        <v>4.1799999999999997E-2</v>
      </c>
      <c r="G1856" s="1">
        <v>5.9999999999999995E-4</v>
      </c>
      <c r="H1856" s="1">
        <v>0.95679999999999998</v>
      </c>
    </row>
    <row r="1858" spans="1:8" ht="57.95">
      <c r="A1858" s="25" t="s">
        <v>620</v>
      </c>
    </row>
    <row r="1859" spans="1:8">
      <c r="A1859" s="25" t="s">
        <v>182</v>
      </c>
      <c r="B1859" t="s">
        <v>219</v>
      </c>
      <c r="C1859" t="s">
        <v>181</v>
      </c>
      <c r="D1859" t="s">
        <v>188</v>
      </c>
      <c r="E1859" t="s">
        <v>241</v>
      </c>
      <c r="F1859" t="s">
        <v>220</v>
      </c>
      <c r="G1859" t="s">
        <v>243</v>
      </c>
      <c r="H1859" t="s">
        <v>221</v>
      </c>
    </row>
    <row r="1860" spans="1:8">
      <c r="A1860" s="25" t="s">
        <v>207</v>
      </c>
      <c r="B1860">
        <v>2940</v>
      </c>
      <c r="C1860" t="s">
        <v>189</v>
      </c>
      <c r="D1860">
        <v>4611</v>
      </c>
      <c r="E1860" s="1">
        <v>5.0000000000000001E-4</v>
      </c>
      <c r="F1860" s="1">
        <v>3.8899999999999997E-2</v>
      </c>
      <c r="G1860" s="1">
        <v>1E-3</v>
      </c>
      <c r="H1860" s="1">
        <v>0.9597</v>
      </c>
    </row>
    <row r="1861" spans="1:8">
      <c r="A1861" s="25" t="s">
        <v>208</v>
      </c>
      <c r="B1861">
        <v>4</v>
      </c>
      <c r="C1861" t="s">
        <v>189</v>
      </c>
      <c r="D1861">
        <v>4611</v>
      </c>
      <c r="H1861" s="1">
        <v>1</v>
      </c>
    </row>
    <row r="1862" spans="1:8">
      <c r="A1862" s="25" t="s">
        <v>209</v>
      </c>
      <c r="B1862">
        <v>1667</v>
      </c>
      <c r="C1862" t="s">
        <v>189</v>
      </c>
      <c r="D1862">
        <v>4611</v>
      </c>
      <c r="E1862" s="1">
        <v>1.4E-3</v>
      </c>
      <c r="F1862" s="1">
        <v>4.8099999999999997E-2</v>
      </c>
      <c r="H1862" s="1">
        <v>0.95050000000000001</v>
      </c>
    </row>
    <row r="1863" spans="1:8">
      <c r="A1863" s="25" t="s">
        <v>192</v>
      </c>
      <c r="B1863">
        <v>4611</v>
      </c>
      <c r="C1863" t="s">
        <v>192</v>
      </c>
      <c r="D1863">
        <v>4611</v>
      </c>
      <c r="E1863" s="1">
        <v>8.0000000000000004E-4</v>
      </c>
      <c r="F1863" s="1">
        <v>4.1799999999999997E-2</v>
      </c>
      <c r="G1863" s="1">
        <v>5.9999999999999995E-4</v>
      </c>
      <c r="H1863" s="1">
        <v>0.95679999999999998</v>
      </c>
    </row>
    <row r="1865" spans="1:8" ht="57.95">
      <c r="A1865" s="25" t="s">
        <v>621</v>
      </c>
    </row>
    <row r="1866" spans="1:8">
      <c r="A1866" s="25" t="s">
        <v>182</v>
      </c>
      <c r="B1866" t="s">
        <v>219</v>
      </c>
      <c r="C1866" t="s">
        <v>181</v>
      </c>
      <c r="D1866" t="s">
        <v>188</v>
      </c>
      <c r="E1866" t="s">
        <v>241</v>
      </c>
      <c r="F1866" t="s">
        <v>220</v>
      </c>
      <c r="G1866" t="s">
        <v>243</v>
      </c>
      <c r="H1866" t="s">
        <v>221</v>
      </c>
    </row>
    <row r="1867" spans="1:8">
      <c r="A1867" s="25" t="s">
        <v>622</v>
      </c>
      <c r="B1867">
        <v>1690</v>
      </c>
      <c r="C1867" t="s">
        <v>189</v>
      </c>
      <c r="D1867">
        <v>4611</v>
      </c>
      <c r="F1867" s="1">
        <v>1.46E-2</v>
      </c>
      <c r="G1867" s="1">
        <v>2.9999999999999997E-4</v>
      </c>
      <c r="H1867" s="1">
        <v>0.98509999999999998</v>
      </c>
    </row>
    <row r="1868" spans="1:8">
      <c r="A1868" s="25" t="s">
        <v>623</v>
      </c>
      <c r="B1868">
        <v>191</v>
      </c>
      <c r="C1868" t="s">
        <v>189</v>
      </c>
      <c r="D1868">
        <v>4611</v>
      </c>
      <c r="F1868" s="1">
        <v>0.1123</v>
      </c>
      <c r="H1868" s="1">
        <v>0.88770000000000004</v>
      </c>
    </row>
    <row r="1869" spans="1:8">
      <c r="A1869" s="25" t="s">
        <v>624</v>
      </c>
      <c r="B1869">
        <v>566</v>
      </c>
      <c r="C1869" t="s">
        <v>189</v>
      </c>
      <c r="D1869">
        <v>4611</v>
      </c>
      <c r="E1869" s="1">
        <v>6.0000000000000001E-3</v>
      </c>
      <c r="F1869" s="1">
        <v>0.1991</v>
      </c>
      <c r="G1869" s="1">
        <v>3.3999999999999998E-3</v>
      </c>
      <c r="H1869" s="1">
        <v>0.79149999999999998</v>
      </c>
    </row>
    <row r="1870" spans="1:8">
      <c r="A1870" s="25" t="s">
        <v>625</v>
      </c>
      <c r="B1870">
        <v>2164</v>
      </c>
      <c r="C1870" t="s">
        <v>189</v>
      </c>
      <c r="D1870">
        <v>4611</v>
      </c>
      <c r="F1870" s="1">
        <v>1.11E-2</v>
      </c>
      <c r="G1870" s="1">
        <v>2.0000000000000001E-4</v>
      </c>
      <c r="H1870" s="1">
        <v>0.98870000000000002</v>
      </c>
    </row>
    <row r="1871" spans="1:8">
      <c r="A1871" s="25" t="s">
        <v>192</v>
      </c>
      <c r="B1871">
        <v>4611</v>
      </c>
      <c r="C1871" t="s">
        <v>192</v>
      </c>
      <c r="D1871">
        <v>4611</v>
      </c>
      <c r="E1871" s="1">
        <v>8.0000000000000004E-4</v>
      </c>
      <c r="F1871" s="1">
        <v>4.1799999999999997E-2</v>
      </c>
      <c r="G1871" s="1">
        <v>5.9999999999999995E-4</v>
      </c>
      <c r="H1871" s="1">
        <v>0.95679999999999998</v>
      </c>
    </row>
    <row r="1873" spans="1:9" ht="57.95">
      <c r="A1873" s="25" t="s">
        <v>626</v>
      </c>
    </row>
    <row r="1874" spans="1:9">
      <c r="A1874" s="25" t="s">
        <v>182</v>
      </c>
      <c r="B1874" t="s">
        <v>286</v>
      </c>
      <c r="C1874" t="s">
        <v>219</v>
      </c>
      <c r="D1874" t="s">
        <v>181</v>
      </c>
      <c r="E1874" t="s">
        <v>188</v>
      </c>
      <c r="F1874" t="s">
        <v>241</v>
      </c>
      <c r="G1874" t="s">
        <v>220</v>
      </c>
      <c r="H1874" t="s">
        <v>243</v>
      </c>
      <c r="I1874" t="s">
        <v>221</v>
      </c>
    </row>
    <row r="1875" spans="1:9">
      <c r="A1875" s="25" t="s">
        <v>287</v>
      </c>
      <c r="B1875" t="s">
        <v>622</v>
      </c>
      <c r="C1875">
        <v>917</v>
      </c>
      <c r="D1875" t="s">
        <v>189</v>
      </c>
      <c r="E1875">
        <v>4611</v>
      </c>
      <c r="G1875" s="1">
        <v>1.5699999999999999E-2</v>
      </c>
      <c r="I1875" s="1">
        <v>0.98429999999999995</v>
      </c>
    </row>
    <row r="1876" spans="1:9">
      <c r="A1876" s="25" t="s">
        <v>287</v>
      </c>
      <c r="B1876" t="s">
        <v>623</v>
      </c>
      <c r="C1876">
        <v>88</v>
      </c>
      <c r="D1876" t="s">
        <v>189</v>
      </c>
      <c r="E1876">
        <v>4611</v>
      </c>
      <c r="G1876" s="1">
        <v>0.1215</v>
      </c>
      <c r="I1876" s="1">
        <v>0.87849999999999995</v>
      </c>
    </row>
    <row r="1877" spans="1:9">
      <c r="A1877" s="25" t="s">
        <v>287</v>
      </c>
      <c r="B1877" t="s">
        <v>624</v>
      </c>
      <c r="C1877">
        <v>286</v>
      </c>
      <c r="D1877" t="s">
        <v>189</v>
      </c>
      <c r="E1877">
        <v>4611</v>
      </c>
      <c r="F1877" s="1">
        <v>6.6E-3</v>
      </c>
      <c r="G1877" s="1">
        <v>0.18490000000000001</v>
      </c>
      <c r="I1877" s="1">
        <v>0.8085</v>
      </c>
    </row>
    <row r="1878" spans="1:9">
      <c r="A1878" s="25" t="s">
        <v>287</v>
      </c>
      <c r="B1878" t="s">
        <v>625</v>
      </c>
      <c r="C1878">
        <v>1103</v>
      </c>
      <c r="D1878" t="s">
        <v>189</v>
      </c>
      <c r="E1878">
        <v>4611</v>
      </c>
      <c r="G1878" s="1">
        <v>8.8999999999999999E-3</v>
      </c>
      <c r="I1878" s="1">
        <v>0.99109999999999998</v>
      </c>
    </row>
    <row r="1879" spans="1:9">
      <c r="A1879" s="25" t="s">
        <v>288</v>
      </c>
      <c r="B1879" t="s">
        <v>622</v>
      </c>
      <c r="C1879">
        <v>773</v>
      </c>
      <c r="D1879" t="s">
        <v>189</v>
      </c>
      <c r="E1879">
        <v>4611</v>
      </c>
      <c r="G1879" s="1">
        <v>1.32E-2</v>
      </c>
      <c r="H1879" s="1">
        <v>5.9999999999999995E-4</v>
      </c>
      <c r="I1879" s="1">
        <v>0.98619999999999997</v>
      </c>
    </row>
    <row r="1880" spans="1:9">
      <c r="A1880" s="25" t="s">
        <v>288</v>
      </c>
      <c r="B1880" t="s">
        <v>623</v>
      </c>
      <c r="C1880">
        <v>103</v>
      </c>
      <c r="D1880" t="s">
        <v>189</v>
      </c>
      <c r="E1880">
        <v>4611</v>
      </c>
      <c r="G1880" s="1">
        <v>0.1062</v>
      </c>
      <c r="I1880" s="1">
        <v>0.89380000000000004</v>
      </c>
    </row>
    <row r="1881" spans="1:9">
      <c r="A1881" s="25" t="s">
        <v>288</v>
      </c>
      <c r="B1881" t="s">
        <v>624</v>
      </c>
      <c r="C1881">
        <v>280</v>
      </c>
      <c r="D1881" t="s">
        <v>189</v>
      </c>
      <c r="E1881">
        <v>4611</v>
      </c>
      <c r="F1881" s="1">
        <v>5.3E-3</v>
      </c>
      <c r="G1881" s="1">
        <v>0.21429999999999999</v>
      </c>
      <c r="H1881" s="1">
        <v>7.1000000000000004E-3</v>
      </c>
      <c r="I1881" s="1">
        <v>0.77329999999999999</v>
      </c>
    </row>
    <row r="1882" spans="1:9">
      <c r="A1882" s="25" t="s">
        <v>288</v>
      </c>
      <c r="B1882" t="s">
        <v>625</v>
      </c>
      <c r="C1882">
        <v>1061</v>
      </c>
      <c r="D1882" t="s">
        <v>189</v>
      </c>
      <c r="E1882">
        <v>4611</v>
      </c>
      <c r="G1882" s="1">
        <v>1.35E-2</v>
      </c>
      <c r="H1882" s="1">
        <v>4.0000000000000002E-4</v>
      </c>
      <c r="I1882" s="1">
        <v>0.98609999999999998</v>
      </c>
    </row>
    <row r="1883" spans="1:9">
      <c r="A1883" s="25" t="s">
        <v>192</v>
      </c>
      <c r="B1883" t="s">
        <v>192</v>
      </c>
      <c r="C1883">
        <v>4611</v>
      </c>
      <c r="D1883" t="s">
        <v>192</v>
      </c>
      <c r="E1883">
        <v>4611</v>
      </c>
      <c r="F1883" s="1">
        <v>8.0000000000000004E-4</v>
      </c>
      <c r="G1883" s="1">
        <v>4.1799999999999997E-2</v>
      </c>
      <c r="H1883" s="1">
        <v>5.9999999999999995E-4</v>
      </c>
      <c r="I1883" s="1">
        <v>0.95679999999999998</v>
      </c>
    </row>
    <row r="1885" spans="1:9" ht="57.95">
      <c r="A1885" s="25" t="s">
        <v>627</v>
      </c>
    </row>
    <row r="1886" spans="1:9">
      <c r="A1886" s="25" t="s">
        <v>182</v>
      </c>
      <c r="B1886" t="s">
        <v>219</v>
      </c>
      <c r="C1886" t="s">
        <v>181</v>
      </c>
      <c r="D1886" t="s">
        <v>188</v>
      </c>
      <c r="E1886" t="s">
        <v>241</v>
      </c>
      <c r="F1886" t="s">
        <v>220</v>
      </c>
      <c r="G1886" t="s">
        <v>243</v>
      </c>
      <c r="H1886" t="s">
        <v>221</v>
      </c>
    </row>
    <row r="1887" spans="1:9">
      <c r="A1887" s="25" t="s">
        <v>299</v>
      </c>
      <c r="B1887">
        <v>572</v>
      </c>
      <c r="C1887" t="s">
        <v>189</v>
      </c>
      <c r="D1887">
        <v>4611</v>
      </c>
      <c r="F1887" s="1">
        <v>4.3400000000000001E-2</v>
      </c>
      <c r="H1887" s="1">
        <v>0.95660000000000001</v>
      </c>
    </row>
    <row r="1888" spans="1:9">
      <c r="A1888" s="25" t="s">
        <v>300</v>
      </c>
      <c r="B1888">
        <v>3906</v>
      </c>
      <c r="C1888" t="s">
        <v>189</v>
      </c>
      <c r="D1888">
        <v>4611</v>
      </c>
      <c r="E1888" s="1">
        <v>8.9999999999999998E-4</v>
      </c>
      <c r="F1888" s="1">
        <v>3.9600000000000003E-2</v>
      </c>
      <c r="G1888" s="1">
        <v>8.0000000000000004E-4</v>
      </c>
      <c r="H1888" s="1">
        <v>0.95879999999999999</v>
      </c>
    </row>
    <row r="1889" spans="1:8">
      <c r="A1889" s="25" t="s">
        <v>301</v>
      </c>
      <c r="B1889">
        <v>32</v>
      </c>
      <c r="C1889" t="s">
        <v>189</v>
      </c>
      <c r="D1889">
        <v>4611</v>
      </c>
      <c r="F1889" s="1">
        <v>0.25619999999999998</v>
      </c>
      <c r="H1889" s="1">
        <v>0.74380000000000002</v>
      </c>
    </row>
    <row r="1890" spans="1:8">
      <c r="A1890" s="25" t="s">
        <v>302</v>
      </c>
      <c r="B1890">
        <v>101</v>
      </c>
      <c r="C1890" t="s">
        <v>189</v>
      </c>
      <c r="D1890">
        <v>4611</v>
      </c>
      <c r="F1890" s="1">
        <v>6.4000000000000001E-2</v>
      </c>
      <c r="H1890" s="1">
        <v>0.93600000000000005</v>
      </c>
    </row>
    <row r="1891" spans="1:8">
      <c r="A1891" s="25" t="s">
        <v>192</v>
      </c>
      <c r="B1891">
        <v>4611</v>
      </c>
      <c r="C1891" t="s">
        <v>192</v>
      </c>
      <c r="D1891">
        <v>4611</v>
      </c>
      <c r="E1891" s="1">
        <v>8.0000000000000004E-4</v>
      </c>
      <c r="F1891" s="1">
        <v>4.1799999999999997E-2</v>
      </c>
      <c r="G1891" s="1">
        <v>5.9999999999999995E-4</v>
      </c>
      <c r="H1891" s="1">
        <v>0.95679999999999998</v>
      </c>
    </row>
    <row r="1893" spans="1:8" ht="57.95">
      <c r="A1893" s="25" t="s">
        <v>628</v>
      </c>
    </row>
    <row r="1894" spans="1:8">
      <c r="A1894" s="25" t="s">
        <v>182</v>
      </c>
      <c r="B1894" t="s">
        <v>219</v>
      </c>
      <c r="C1894" t="s">
        <v>181</v>
      </c>
      <c r="D1894" t="s">
        <v>188</v>
      </c>
      <c r="E1894" t="s">
        <v>241</v>
      </c>
      <c r="F1894" t="s">
        <v>220</v>
      </c>
      <c r="G1894" t="s">
        <v>243</v>
      </c>
      <c r="H1894" t="s">
        <v>221</v>
      </c>
    </row>
    <row r="1895" spans="1:8">
      <c r="A1895" s="25" t="s">
        <v>347</v>
      </c>
      <c r="B1895">
        <v>1508</v>
      </c>
      <c r="C1895" t="s">
        <v>189</v>
      </c>
      <c r="D1895">
        <v>4611</v>
      </c>
      <c r="E1895" s="1">
        <v>1.8E-3</v>
      </c>
      <c r="F1895" s="1">
        <v>5.3699999999999998E-2</v>
      </c>
      <c r="G1895" s="1">
        <v>1.8E-3</v>
      </c>
      <c r="H1895" s="1">
        <v>0.94259999999999999</v>
      </c>
    </row>
    <row r="1896" spans="1:8">
      <c r="A1896" s="25" t="s">
        <v>348</v>
      </c>
      <c r="B1896">
        <v>986</v>
      </c>
      <c r="C1896" t="s">
        <v>189</v>
      </c>
      <c r="D1896">
        <v>4611</v>
      </c>
      <c r="F1896" s="1">
        <v>4.5499999999999999E-2</v>
      </c>
      <c r="G1896" s="1">
        <v>8.9999999999999998E-4</v>
      </c>
      <c r="H1896" s="1">
        <v>0.9536</v>
      </c>
    </row>
    <row r="1897" spans="1:8">
      <c r="A1897" s="25" t="s">
        <v>349</v>
      </c>
      <c r="B1897">
        <v>975</v>
      </c>
      <c r="C1897" t="s">
        <v>189</v>
      </c>
      <c r="D1897">
        <v>4611</v>
      </c>
      <c r="F1897" s="1">
        <v>2.9100000000000001E-2</v>
      </c>
      <c r="H1897" s="1">
        <v>0.97089999999999999</v>
      </c>
    </row>
    <row r="1898" spans="1:8">
      <c r="A1898" s="25" t="s">
        <v>350</v>
      </c>
      <c r="B1898">
        <v>658</v>
      </c>
      <c r="C1898" t="s">
        <v>189</v>
      </c>
      <c r="D1898">
        <v>4611</v>
      </c>
      <c r="F1898" s="1">
        <v>3.1899999999999998E-2</v>
      </c>
      <c r="H1898" s="1">
        <v>0.96809999999999996</v>
      </c>
    </row>
    <row r="1899" spans="1:8">
      <c r="A1899" s="25" t="s">
        <v>192</v>
      </c>
      <c r="B1899">
        <v>4611</v>
      </c>
      <c r="C1899" t="s">
        <v>192</v>
      </c>
      <c r="D1899">
        <v>4611</v>
      </c>
      <c r="E1899" s="1">
        <v>8.0000000000000004E-4</v>
      </c>
      <c r="F1899" s="1">
        <v>4.1799999999999997E-2</v>
      </c>
      <c r="G1899" s="1">
        <v>5.9999999999999995E-4</v>
      </c>
      <c r="H1899" s="1">
        <v>0.95679999999999998</v>
      </c>
    </row>
    <row r="1901" spans="1:8" ht="57.95">
      <c r="A1901" s="25" t="s">
        <v>629</v>
      </c>
    </row>
    <row r="1902" spans="1:8">
      <c r="A1902" s="25" t="s">
        <v>182</v>
      </c>
      <c r="B1902" t="s">
        <v>219</v>
      </c>
      <c r="C1902" t="s">
        <v>181</v>
      </c>
      <c r="D1902" t="s">
        <v>188</v>
      </c>
      <c r="E1902" t="s">
        <v>241</v>
      </c>
      <c r="F1902" t="s">
        <v>220</v>
      </c>
      <c r="G1902" t="s">
        <v>243</v>
      </c>
      <c r="H1902" t="s">
        <v>221</v>
      </c>
    </row>
    <row r="1903" spans="1:8">
      <c r="A1903" s="25" t="s">
        <v>211</v>
      </c>
      <c r="B1903">
        <v>2659</v>
      </c>
      <c r="C1903" t="s">
        <v>189</v>
      </c>
      <c r="D1903">
        <v>4611</v>
      </c>
      <c r="E1903" s="1">
        <v>8.0000000000000004E-4</v>
      </c>
      <c r="F1903" s="1">
        <v>4.0500000000000001E-2</v>
      </c>
      <c r="H1903" s="1">
        <v>0.9587</v>
      </c>
    </row>
    <row r="1904" spans="1:8">
      <c r="A1904" s="25" t="s">
        <v>212</v>
      </c>
      <c r="B1904">
        <v>1292</v>
      </c>
      <c r="C1904" t="s">
        <v>189</v>
      </c>
      <c r="D1904">
        <v>4611</v>
      </c>
      <c r="F1904" s="1">
        <v>4.0399999999999998E-2</v>
      </c>
      <c r="G1904" s="1">
        <v>6.9999999999999999E-4</v>
      </c>
      <c r="H1904" s="1">
        <v>0.95889999999999997</v>
      </c>
    </row>
    <row r="1905" spans="1:9">
      <c r="A1905" s="25" t="s">
        <v>213</v>
      </c>
      <c r="B1905">
        <v>660</v>
      </c>
      <c r="C1905" t="s">
        <v>189</v>
      </c>
      <c r="D1905">
        <v>4611</v>
      </c>
      <c r="E1905" s="1">
        <v>2E-3</v>
      </c>
      <c r="F1905" s="1">
        <v>4.82E-2</v>
      </c>
      <c r="G1905" s="1">
        <v>2.7000000000000001E-3</v>
      </c>
      <c r="H1905" s="1">
        <v>0.94720000000000004</v>
      </c>
    </row>
    <row r="1906" spans="1:9">
      <c r="A1906" s="25" t="s">
        <v>192</v>
      </c>
      <c r="B1906">
        <v>4611</v>
      </c>
      <c r="C1906" t="s">
        <v>192</v>
      </c>
      <c r="D1906">
        <v>4611</v>
      </c>
      <c r="E1906" s="1">
        <v>8.0000000000000004E-4</v>
      </c>
      <c r="F1906" s="1">
        <v>4.1799999999999997E-2</v>
      </c>
      <c r="G1906" s="1">
        <v>5.9999999999999995E-4</v>
      </c>
      <c r="H1906" s="1">
        <v>0.95679999999999998</v>
      </c>
    </row>
    <row r="1908" spans="1:9" ht="43.5">
      <c r="A1908" s="25" t="s">
        <v>630</v>
      </c>
    </row>
    <row r="1909" spans="1:9">
      <c r="A1909" s="25" t="s">
        <v>182</v>
      </c>
      <c r="B1909" t="s">
        <v>219</v>
      </c>
      <c r="C1909" t="s">
        <v>181</v>
      </c>
      <c r="D1909" t="s">
        <v>188</v>
      </c>
      <c r="E1909" t="s">
        <v>631</v>
      </c>
      <c r="F1909" t="s">
        <v>241</v>
      </c>
      <c r="G1909" t="s">
        <v>632</v>
      </c>
      <c r="H1909" t="s">
        <v>243</v>
      </c>
      <c r="I1909" t="s">
        <v>633</v>
      </c>
    </row>
    <row r="1910" spans="1:9">
      <c r="A1910" s="25" t="s">
        <v>190</v>
      </c>
      <c r="B1910">
        <v>2267</v>
      </c>
      <c r="C1910" t="s">
        <v>189</v>
      </c>
      <c r="D1910">
        <v>4346</v>
      </c>
      <c r="E1910" s="1">
        <v>0.24629999999999999</v>
      </c>
      <c r="F1910" s="1">
        <v>4.0000000000000002E-4</v>
      </c>
      <c r="G1910" s="1">
        <v>0.62780000000000002</v>
      </c>
      <c r="H1910" s="1">
        <v>2.0000000000000001E-4</v>
      </c>
      <c r="I1910" s="1">
        <v>0.12520000000000001</v>
      </c>
    </row>
    <row r="1911" spans="1:9">
      <c r="A1911" s="25" t="s">
        <v>191</v>
      </c>
      <c r="B1911">
        <v>2041</v>
      </c>
      <c r="C1911" t="s">
        <v>189</v>
      </c>
      <c r="D1911">
        <v>4346</v>
      </c>
      <c r="E1911" s="1">
        <v>0.32800000000000001</v>
      </c>
      <c r="F1911" s="1">
        <v>5.9999999999999995E-4</v>
      </c>
      <c r="G1911" s="1">
        <v>0.44840000000000002</v>
      </c>
      <c r="I1911" s="1">
        <v>0.22309999999999999</v>
      </c>
    </row>
    <row r="1912" spans="1:9">
      <c r="A1912" s="25" t="s">
        <v>192</v>
      </c>
      <c r="B1912">
        <v>4346</v>
      </c>
      <c r="C1912" t="s">
        <v>192</v>
      </c>
      <c r="D1912">
        <v>4346</v>
      </c>
      <c r="E1912" s="1">
        <v>0.29089999999999999</v>
      </c>
      <c r="F1912" s="1">
        <v>5.0000000000000001E-4</v>
      </c>
      <c r="G1912" s="1">
        <v>0.52790000000000004</v>
      </c>
      <c r="H1912" s="1">
        <v>1E-4</v>
      </c>
      <c r="I1912" s="1">
        <v>0.18060000000000001</v>
      </c>
    </row>
    <row r="1914" spans="1:9" ht="43.5">
      <c r="A1914" s="25" t="s">
        <v>634</v>
      </c>
    </row>
    <row r="1915" spans="1:9">
      <c r="A1915" s="25" t="s">
        <v>182</v>
      </c>
      <c r="B1915" t="s">
        <v>219</v>
      </c>
      <c r="C1915" t="s">
        <v>181</v>
      </c>
      <c r="D1915" t="s">
        <v>188</v>
      </c>
      <c r="E1915" t="s">
        <v>631</v>
      </c>
      <c r="F1915" t="s">
        <v>241</v>
      </c>
      <c r="G1915" t="s">
        <v>632</v>
      </c>
      <c r="H1915" t="s">
        <v>243</v>
      </c>
      <c r="I1915" t="s">
        <v>633</v>
      </c>
    </row>
    <row r="1916" spans="1:9" ht="29.1">
      <c r="A1916" s="25" t="s">
        <v>194</v>
      </c>
      <c r="B1916">
        <v>2331</v>
      </c>
      <c r="C1916" t="s">
        <v>189</v>
      </c>
      <c r="D1916">
        <v>4346</v>
      </c>
      <c r="E1916" s="1">
        <v>0.29189999999999999</v>
      </c>
      <c r="F1916" s="1">
        <v>2.0000000000000001E-4</v>
      </c>
      <c r="G1916" s="1">
        <v>0.66320000000000001</v>
      </c>
      <c r="H1916" s="1">
        <v>1E-4</v>
      </c>
      <c r="I1916" s="1">
        <v>4.4600000000000001E-2</v>
      </c>
    </row>
    <row r="1917" spans="1:9" ht="29.1">
      <c r="A1917" s="25" t="s">
        <v>195</v>
      </c>
      <c r="B1917">
        <v>1091</v>
      </c>
      <c r="C1917" t="s">
        <v>189</v>
      </c>
      <c r="D1917">
        <v>4346</v>
      </c>
      <c r="E1917" s="1">
        <v>0.35880000000000001</v>
      </c>
      <c r="F1917" s="1">
        <v>1.1000000000000001E-3</v>
      </c>
      <c r="G1917" s="1">
        <v>0.26</v>
      </c>
      <c r="I1917" s="1">
        <v>0.38009999999999999</v>
      </c>
    </row>
    <row r="1918" spans="1:9" ht="29.1">
      <c r="A1918" s="25" t="s">
        <v>196</v>
      </c>
      <c r="B1918">
        <v>886</v>
      </c>
      <c r="C1918" t="s">
        <v>189</v>
      </c>
      <c r="D1918">
        <v>4346</v>
      </c>
      <c r="E1918" s="1">
        <v>0.1749</v>
      </c>
      <c r="F1918" s="1">
        <v>1.8E-3</v>
      </c>
      <c r="G1918" s="1">
        <v>9.2100000000000001E-2</v>
      </c>
      <c r="I1918" s="1">
        <v>0.73109999999999997</v>
      </c>
    </row>
    <row r="1919" spans="1:9">
      <c r="A1919" s="25" t="s">
        <v>192</v>
      </c>
      <c r="B1919">
        <v>4346</v>
      </c>
      <c r="C1919" t="s">
        <v>192</v>
      </c>
      <c r="D1919">
        <v>4346</v>
      </c>
      <c r="E1919" s="1">
        <v>0.29089999999999999</v>
      </c>
      <c r="F1919" s="1">
        <v>5.0000000000000001E-4</v>
      </c>
      <c r="G1919" s="1">
        <v>0.52790000000000004</v>
      </c>
      <c r="H1919" s="1">
        <v>1E-4</v>
      </c>
      <c r="I1919" s="1">
        <v>0.18060000000000001</v>
      </c>
    </row>
    <row r="1921" spans="1:9" ht="43.5">
      <c r="A1921" s="25" t="s">
        <v>635</v>
      </c>
    </row>
    <row r="1922" spans="1:9">
      <c r="A1922" s="25" t="s">
        <v>182</v>
      </c>
      <c r="B1922" t="s">
        <v>219</v>
      </c>
      <c r="C1922" t="s">
        <v>181</v>
      </c>
      <c r="D1922" t="s">
        <v>188</v>
      </c>
      <c r="E1922" t="s">
        <v>631</v>
      </c>
      <c r="F1922" t="s">
        <v>241</v>
      </c>
      <c r="G1922" t="s">
        <v>632</v>
      </c>
      <c r="H1922" t="s">
        <v>243</v>
      </c>
      <c r="I1922" t="s">
        <v>633</v>
      </c>
    </row>
    <row r="1923" spans="1:9">
      <c r="A1923" s="25" t="s">
        <v>198</v>
      </c>
      <c r="B1923">
        <v>596</v>
      </c>
      <c r="C1923" t="s">
        <v>189</v>
      </c>
      <c r="D1923">
        <v>4346</v>
      </c>
      <c r="E1923" s="1">
        <v>0.29780000000000001</v>
      </c>
      <c r="G1923" s="1">
        <v>0.43869999999999998</v>
      </c>
      <c r="I1923" s="1">
        <v>0.26350000000000001</v>
      </c>
    </row>
    <row r="1924" spans="1:9">
      <c r="A1924" s="25" t="s">
        <v>199</v>
      </c>
      <c r="B1924">
        <v>3750</v>
      </c>
      <c r="C1924" t="s">
        <v>189</v>
      </c>
      <c r="D1924">
        <v>4346</v>
      </c>
      <c r="E1924" s="1">
        <v>0.29010000000000002</v>
      </c>
      <c r="F1924" s="1">
        <v>5.9999999999999995E-4</v>
      </c>
      <c r="G1924" s="1">
        <v>0.53900000000000003</v>
      </c>
      <c r="H1924" s="1">
        <v>1E-4</v>
      </c>
      <c r="I1924" s="1">
        <v>0.17019999999999999</v>
      </c>
    </row>
    <row r="1925" spans="1:9">
      <c r="A1925" s="25" t="s">
        <v>192</v>
      </c>
      <c r="B1925">
        <v>4346</v>
      </c>
      <c r="C1925" t="s">
        <v>192</v>
      </c>
      <c r="D1925">
        <v>4346</v>
      </c>
      <c r="E1925" s="1">
        <v>0.29089999999999999</v>
      </c>
      <c r="F1925" s="1">
        <v>5.0000000000000001E-4</v>
      </c>
      <c r="G1925" s="1">
        <v>0.52790000000000004</v>
      </c>
      <c r="H1925" s="1">
        <v>1E-4</v>
      </c>
      <c r="I1925" s="1">
        <v>0.18060000000000001</v>
      </c>
    </row>
    <row r="1927" spans="1:9" ht="43.5">
      <c r="A1927" s="25" t="s">
        <v>636</v>
      </c>
    </row>
    <row r="1928" spans="1:9">
      <c r="A1928" s="25" t="s">
        <v>182</v>
      </c>
      <c r="B1928" t="s">
        <v>219</v>
      </c>
      <c r="C1928" t="s">
        <v>181</v>
      </c>
      <c r="D1928" t="s">
        <v>188</v>
      </c>
      <c r="E1928" t="s">
        <v>631</v>
      </c>
      <c r="F1928" t="s">
        <v>241</v>
      </c>
      <c r="G1928" t="s">
        <v>632</v>
      </c>
      <c r="H1928" t="s">
        <v>243</v>
      </c>
      <c r="I1928" t="s">
        <v>633</v>
      </c>
    </row>
    <row r="1929" spans="1:9">
      <c r="A1929" s="25" t="s">
        <v>201</v>
      </c>
      <c r="B1929">
        <v>445</v>
      </c>
      <c r="C1929" t="s">
        <v>189</v>
      </c>
      <c r="D1929">
        <v>4346</v>
      </c>
      <c r="E1929" s="1">
        <v>0.29749999999999999</v>
      </c>
      <c r="G1929" s="1">
        <v>0.32069999999999999</v>
      </c>
      <c r="I1929" s="1">
        <v>0.38190000000000002</v>
      </c>
    </row>
    <row r="1930" spans="1:9">
      <c r="A1930" s="25" t="s">
        <v>237</v>
      </c>
      <c r="B1930">
        <v>54</v>
      </c>
      <c r="C1930" t="s">
        <v>189</v>
      </c>
      <c r="D1930">
        <v>4346</v>
      </c>
      <c r="E1930" s="1">
        <v>0.33639999999999998</v>
      </c>
      <c r="F1930" s="1">
        <v>5.0299999999999997E-2</v>
      </c>
      <c r="G1930" s="1">
        <v>6.7699999999999996E-2</v>
      </c>
      <c r="I1930" s="1">
        <v>0.54559999999999997</v>
      </c>
    </row>
    <row r="1931" spans="1:9">
      <c r="A1931" s="25" t="s">
        <v>203</v>
      </c>
      <c r="B1931">
        <v>2923</v>
      </c>
      <c r="C1931" t="s">
        <v>189</v>
      </c>
      <c r="D1931">
        <v>4346</v>
      </c>
      <c r="E1931" s="1">
        <v>0.29239999999999999</v>
      </c>
      <c r="F1931" s="1">
        <v>2.0000000000000001E-4</v>
      </c>
      <c r="G1931" s="1">
        <v>0.59260000000000002</v>
      </c>
      <c r="H1931" s="1">
        <v>1E-4</v>
      </c>
      <c r="I1931" s="1">
        <v>0.1148</v>
      </c>
    </row>
    <row r="1932" spans="1:9">
      <c r="A1932" s="25" t="s">
        <v>204</v>
      </c>
      <c r="B1932">
        <v>7</v>
      </c>
      <c r="C1932" t="s">
        <v>189</v>
      </c>
      <c r="D1932">
        <v>4346</v>
      </c>
      <c r="E1932" s="1">
        <v>0.21970000000000001</v>
      </c>
      <c r="G1932" s="1">
        <v>0.53569999999999995</v>
      </c>
      <c r="I1932" s="1">
        <v>0.24460000000000001</v>
      </c>
    </row>
    <row r="1933" spans="1:9">
      <c r="A1933" s="25" t="s">
        <v>205</v>
      </c>
      <c r="B1933">
        <v>917</v>
      </c>
      <c r="C1933" t="s">
        <v>189</v>
      </c>
      <c r="D1933">
        <v>4346</v>
      </c>
      <c r="E1933" s="1">
        <v>0.28110000000000002</v>
      </c>
      <c r="G1933" s="1">
        <v>0.41899999999999998</v>
      </c>
      <c r="I1933" s="1">
        <v>0.3</v>
      </c>
    </row>
    <row r="1934" spans="1:9">
      <c r="A1934" s="25" t="s">
        <v>192</v>
      </c>
      <c r="B1934">
        <v>4346</v>
      </c>
      <c r="C1934" t="s">
        <v>192</v>
      </c>
      <c r="D1934">
        <v>4346</v>
      </c>
      <c r="E1934" s="1">
        <v>0.29089999999999999</v>
      </c>
      <c r="F1934" s="1">
        <v>5.0000000000000001E-4</v>
      </c>
      <c r="G1934" s="1">
        <v>0.52790000000000004</v>
      </c>
      <c r="H1934" s="1">
        <v>1E-4</v>
      </c>
      <c r="I1934" s="1">
        <v>0.18060000000000001</v>
      </c>
    </row>
    <row r="1936" spans="1:9" ht="43.5">
      <c r="A1936" s="25" t="s">
        <v>637</v>
      </c>
    </row>
    <row r="1937" spans="1:10">
      <c r="A1937" s="25" t="s">
        <v>182</v>
      </c>
      <c r="B1937" t="s">
        <v>219</v>
      </c>
      <c r="C1937" t="s">
        <v>181</v>
      </c>
      <c r="D1937" t="s">
        <v>188</v>
      </c>
      <c r="E1937" t="s">
        <v>631</v>
      </c>
      <c r="F1937" t="s">
        <v>241</v>
      </c>
      <c r="G1937" t="s">
        <v>632</v>
      </c>
      <c r="H1937" t="s">
        <v>243</v>
      </c>
      <c r="I1937" t="s">
        <v>633</v>
      </c>
    </row>
    <row r="1938" spans="1:10">
      <c r="A1938" s="25" t="s">
        <v>207</v>
      </c>
      <c r="B1938">
        <v>2776</v>
      </c>
      <c r="C1938" t="s">
        <v>189</v>
      </c>
      <c r="D1938">
        <v>4346</v>
      </c>
      <c r="E1938" s="1">
        <v>0.30690000000000001</v>
      </c>
      <c r="F1938" s="1">
        <v>5.9999999999999995E-4</v>
      </c>
      <c r="G1938" s="1">
        <v>0.503</v>
      </c>
      <c r="H1938" s="1">
        <v>1E-4</v>
      </c>
      <c r="I1938" s="1">
        <v>0.18940000000000001</v>
      </c>
    </row>
    <row r="1939" spans="1:10">
      <c r="A1939" s="25" t="s">
        <v>208</v>
      </c>
      <c r="B1939">
        <v>4</v>
      </c>
      <c r="C1939" t="s">
        <v>189</v>
      </c>
      <c r="D1939">
        <v>4346</v>
      </c>
      <c r="E1939" s="1">
        <v>1.46E-2</v>
      </c>
      <c r="G1939" s="1">
        <v>0.98540000000000005</v>
      </c>
    </row>
    <row r="1940" spans="1:10">
      <c r="A1940" s="25" t="s">
        <v>209</v>
      </c>
      <c r="B1940">
        <v>1566</v>
      </c>
      <c r="C1940" t="s">
        <v>189</v>
      </c>
      <c r="D1940">
        <v>4346</v>
      </c>
      <c r="E1940" s="1">
        <v>0.2616</v>
      </c>
      <c r="F1940" s="1">
        <v>4.0000000000000002E-4</v>
      </c>
      <c r="G1940" s="1">
        <v>0.57330000000000003</v>
      </c>
      <c r="I1940" s="1">
        <v>0.16470000000000001</v>
      </c>
    </row>
    <row r="1941" spans="1:10">
      <c r="A1941" s="25" t="s">
        <v>192</v>
      </c>
      <c r="B1941">
        <v>4346</v>
      </c>
      <c r="C1941" t="s">
        <v>192</v>
      </c>
      <c r="D1941">
        <v>4346</v>
      </c>
      <c r="E1941" s="1">
        <v>0.29089999999999999</v>
      </c>
      <c r="F1941" s="1">
        <v>5.0000000000000001E-4</v>
      </c>
      <c r="G1941" s="1">
        <v>0.52790000000000004</v>
      </c>
      <c r="H1941" s="1">
        <v>1E-4</v>
      </c>
      <c r="I1941" s="1">
        <v>0.18060000000000001</v>
      </c>
    </row>
    <row r="1943" spans="1:10" ht="43.5">
      <c r="A1943" s="25" t="s">
        <v>638</v>
      </c>
    </row>
    <row r="1944" spans="1:10">
      <c r="A1944" s="25" t="s">
        <v>182</v>
      </c>
      <c r="B1944" t="s">
        <v>219</v>
      </c>
      <c r="C1944" t="s">
        <v>181</v>
      </c>
      <c r="D1944" t="s">
        <v>188</v>
      </c>
      <c r="E1944" t="s">
        <v>631</v>
      </c>
      <c r="F1944" t="s">
        <v>241</v>
      </c>
      <c r="G1944" t="s">
        <v>632</v>
      </c>
      <c r="H1944" t="s">
        <v>243</v>
      </c>
      <c r="I1944" t="s">
        <v>633</v>
      </c>
    </row>
    <row r="1945" spans="1:10">
      <c r="A1945" s="25" t="s">
        <v>622</v>
      </c>
      <c r="B1945">
        <v>1648</v>
      </c>
      <c r="C1945" t="s">
        <v>189</v>
      </c>
      <c r="D1945">
        <v>4346</v>
      </c>
      <c r="E1945" s="1">
        <v>0.31240000000000001</v>
      </c>
      <c r="F1945" s="1">
        <v>2.0000000000000001E-4</v>
      </c>
      <c r="G1945" s="1">
        <v>0.45029999999999998</v>
      </c>
      <c r="I1945" s="1">
        <v>0.23710000000000001</v>
      </c>
    </row>
    <row r="1946" spans="1:10">
      <c r="A1946" s="25" t="s">
        <v>623</v>
      </c>
      <c r="B1946">
        <v>168</v>
      </c>
      <c r="C1946" t="s">
        <v>189</v>
      </c>
      <c r="D1946">
        <v>4346</v>
      </c>
      <c r="E1946" s="1">
        <v>0.19670000000000001</v>
      </c>
      <c r="G1946" s="1">
        <v>0.42070000000000002</v>
      </c>
      <c r="I1946" s="1">
        <v>0.3826</v>
      </c>
    </row>
    <row r="1947" spans="1:10">
      <c r="A1947" s="25" t="s">
        <v>624</v>
      </c>
      <c r="B1947">
        <v>412</v>
      </c>
      <c r="C1947" t="s">
        <v>189</v>
      </c>
      <c r="D1947">
        <v>4346</v>
      </c>
      <c r="E1947" s="1">
        <v>0.12759999999999999</v>
      </c>
      <c r="F1947" s="1">
        <v>3.5999999999999999E-3</v>
      </c>
      <c r="G1947" s="1">
        <v>0.79339999999999999</v>
      </c>
      <c r="H1947" s="1">
        <v>4.0000000000000002E-4</v>
      </c>
      <c r="I1947" s="1">
        <v>7.51E-2</v>
      </c>
    </row>
    <row r="1948" spans="1:10">
      <c r="A1948" s="25" t="s">
        <v>625</v>
      </c>
      <c r="B1948">
        <v>2118</v>
      </c>
      <c r="C1948" t="s">
        <v>189</v>
      </c>
      <c r="D1948">
        <v>4346</v>
      </c>
      <c r="E1948" s="1">
        <v>0.3196</v>
      </c>
      <c r="F1948" s="1">
        <v>1E-4</v>
      </c>
      <c r="G1948" s="1">
        <v>0.53220000000000001</v>
      </c>
      <c r="H1948" s="1">
        <v>1E-4</v>
      </c>
      <c r="I1948" s="1">
        <v>0.14799999999999999</v>
      </c>
    </row>
    <row r="1949" spans="1:10">
      <c r="A1949" s="25" t="s">
        <v>192</v>
      </c>
      <c r="B1949">
        <v>4346</v>
      </c>
      <c r="C1949" t="s">
        <v>192</v>
      </c>
      <c r="D1949">
        <v>4346</v>
      </c>
      <c r="E1949" s="1">
        <v>0.29089999999999999</v>
      </c>
      <c r="F1949" s="1">
        <v>5.0000000000000001E-4</v>
      </c>
      <c r="G1949" s="1">
        <v>0.52790000000000004</v>
      </c>
      <c r="H1949" s="1">
        <v>1E-4</v>
      </c>
      <c r="I1949" s="1">
        <v>0.18060000000000001</v>
      </c>
    </row>
    <row r="1951" spans="1:10" ht="43.5">
      <c r="A1951" s="25" t="s">
        <v>639</v>
      </c>
    </row>
    <row r="1952" spans="1:10">
      <c r="A1952" s="25" t="s">
        <v>182</v>
      </c>
      <c r="B1952" t="s">
        <v>286</v>
      </c>
      <c r="C1952" t="s">
        <v>219</v>
      </c>
      <c r="D1952" t="s">
        <v>181</v>
      </c>
      <c r="E1952" t="s">
        <v>188</v>
      </c>
      <c r="F1952" t="s">
        <v>631</v>
      </c>
      <c r="G1952" t="s">
        <v>241</v>
      </c>
      <c r="H1952" t="s">
        <v>632</v>
      </c>
      <c r="I1952" t="s">
        <v>243</v>
      </c>
      <c r="J1952" t="s">
        <v>633</v>
      </c>
    </row>
    <row r="1953" spans="1:10">
      <c r="A1953" s="25" t="s">
        <v>287</v>
      </c>
      <c r="B1953" t="s">
        <v>622</v>
      </c>
      <c r="C1953">
        <v>898</v>
      </c>
      <c r="D1953" t="s">
        <v>189</v>
      </c>
      <c r="E1953">
        <v>4346</v>
      </c>
      <c r="F1953" s="1">
        <v>0.31169999999999998</v>
      </c>
      <c r="H1953" s="1">
        <v>0.45229999999999998</v>
      </c>
      <c r="J1953" s="1">
        <v>0.23599999999999999</v>
      </c>
    </row>
    <row r="1954" spans="1:10">
      <c r="A1954" s="25" t="s">
        <v>287</v>
      </c>
      <c r="B1954" t="s">
        <v>623</v>
      </c>
      <c r="C1954">
        <v>78</v>
      </c>
      <c r="D1954" t="s">
        <v>189</v>
      </c>
      <c r="E1954">
        <v>4346</v>
      </c>
      <c r="F1954" s="1">
        <v>0.2104</v>
      </c>
      <c r="H1954" s="1">
        <v>0.3291</v>
      </c>
      <c r="J1954" s="1">
        <v>0.46050000000000002</v>
      </c>
    </row>
    <row r="1955" spans="1:10">
      <c r="A1955" s="25" t="s">
        <v>287</v>
      </c>
      <c r="B1955" t="s">
        <v>624</v>
      </c>
      <c r="C1955">
        <v>211</v>
      </c>
      <c r="D1955" t="s">
        <v>189</v>
      </c>
      <c r="E1955">
        <v>4346</v>
      </c>
      <c r="F1955" s="1">
        <v>0.12970000000000001</v>
      </c>
      <c r="H1955" s="1">
        <v>0.79730000000000001</v>
      </c>
      <c r="J1955" s="1">
        <v>7.2999999999999995E-2</v>
      </c>
    </row>
    <row r="1956" spans="1:10">
      <c r="A1956" s="25" t="s">
        <v>287</v>
      </c>
      <c r="B1956" t="s">
        <v>625</v>
      </c>
      <c r="C1956">
        <v>1081</v>
      </c>
      <c r="D1956" t="s">
        <v>189</v>
      </c>
      <c r="E1956">
        <v>4346</v>
      </c>
      <c r="F1956" s="1">
        <v>0.29920000000000002</v>
      </c>
      <c r="G1956" s="1">
        <v>2.0000000000000001E-4</v>
      </c>
      <c r="H1956" s="1">
        <v>0.54479999999999995</v>
      </c>
      <c r="I1956" s="1">
        <v>2.0000000000000001E-4</v>
      </c>
      <c r="J1956" s="1">
        <v>0.15559999999999999</v>
      </c>
    </row>
    <row r="1957" spans="1:10">
      <c r="A1957" s="25" t="s">
        <v>288</v>
      </c>
      <c r="B1957" t="s">
        <v>622</v>
      </c>
      <c r="C1957">
        <v>750</v>
      </c>
      <c r="D1957" t="s">
        <v>189</v>
      </c>
      <c r="E1957">
        <v>4346</v>
      </c>
      <c r="F1957" s="1">
        <v>0.31330000000000002</v>
      </c>
      <c r="G1957" s="1">
        <v>4.0000000000000002E-4</v>
      </c>
      <c r="H1957" s="1">
        <v>0.44769999999999999</v>
      </c>
      <c r="J1957" s="1">
        <v>0.23860000000000001</v>
      </c>
    </row>
    <row r="1958" spans="1:10">
      <c r="A1958" s="25" t="s">
        <v>288</v>
      </c>
      <c r="B1958" t="s">
        <v>623</v>
      </c>
      <c r="C1958">
        <v>90</v>
      </c>
      <c r="D1958" t="s">
        <v>189</v>
      </c>
      <c r="E1958">
        <v>4346</v>
      </c>
      <c r="F1958" s="1">
        <v>0.18779999999999999</v>
      </c>
      <c r="H1958" s="1">
        <v>0.48010000000000003</v>
      </c>
      <c r="J1958" s="1">
        <v>0.33210000000000001</v>
      </c>
    </row>
    <row r="1959" spans="1:10">
      <c r="A1959" s="25" t="s">
        <v>288</v>
      </c>
      <c r="B1959" t="s">
        <v>624</v>
      </c>
      <c r="C1959">
        <v>201</v>
      </c>
      <c r="D1959" t="s">
        <v>189</v>
      </c>
      <c r="E1959">
        <v>4346</v>
      </c>
      <c r="F1959" s="1">
        <v>0.12520000000000001</v>
      </c>
      <c r="G1959" s="1">
        <v>7.4999999999999997E-3</v>
      </c>
      <c r="H1959" s="1">
        <v>0.78900000000000003</v>
      </c>
      <c r="I1959" s="1">
        <v>8.0000000000000004E-4</v>
      </c>
      <c r="J1959" s="1">
        <v>7.7399999999999997E-2</v>
      </c>
    </row>
    <row r="1960" spans="1:10">
      <c r="A1960" s="25" t="s">
        <v>288</v>
      </c>
      <c r="B1960" t="s">
        <v>625</v>
      </c>
      <c r="C1960">
        <v>1037</v>
      </c>
      <c r="D1960" t="s">
        <v>189</v>
      </c>
      <c r="E1960">
        <v>4346</v>
      </c>
      <c r="F1960" s="1">
        <v>0.3422</v>
      </c>
      <c r="H1960" s="1">
        <v>0.5181</v>
      </c>
      <c r="J1960" s="1">
        <v>0.13969999999999999</v>
      </c>
    </row>
    <row r="1961" spans="1:10">
      <c r="A1961" s="25" t="s">
        <v>192</v>
      </c>
      <c r="B1961" t="s">
        <v>192</v>
      </c>
      <c r="C1961">
        <v>4346</v>
      </c>
      <c r="D1961" t="s">
        <v>192</v>
      </c>
      <c r="E1961">
        <v>4346</v>
      </c>
      <c r="F1961" s="1">
        <v>0.29089999999999999</v>
      </c>
      <c r="G1961" s="1">
        <v>5.0000000000000001E-4</v>
      </c>
      <c r="H1961" s="1">
        <v>0.52790000000000004</v>
      </c>
      <c r="I1961" s="1">
        <v>1E-4</v>
      </c>
      <c r="J1961" s="1">
        <v>0.18060000000000001</v>
      </c>
    </row>
    <row r="1963" spans="1:10" ht="43.5">
      <c r="A1963" s="25" t="s">
        <v>640</v>
      </c>
    </row>
    <row r="1964" spans="1:10">
      <c r="A1964" s="25" t="s">
        <v>182</v>
      </c>
      <c r="B1964" t="s">
        <v>219</v>
      </c>
      <c r="C1964" t="s">
        <v>181</v>
      </c>
      <c r="D1964" t="s">
        <v>188</v>
      </c>
      <c r="E1964" t="s">
        <v>631</v>
      </c>
      <c r="F1964" t="s">
        <v>241</v>
      </c>
      <c r="G1964" t="s">
        <v>632</v>
      </c>
      <c r="H1964" t="s">
        <v>243</v>
      </c>
      <c r="I1964" t="s">
        <v>633</v>
      </c>
    </row>
    <row r="1965" spans="1:10">
      <c r="A1965" s="25" t="s">
        <v>299</v>
      </c>
      <c r="B1965">
        <v>543</v>
      </c>
      <c r="C1965" t="s">
        <v>189</v>
      </c>
      <c r="D1965">
        <v>4346</v>
      </c>
      <c r="E1965" s="1">
        <v>0.27050000000000002</v>
      </c>
      <c r="F1965" s="1">
        <v>1.6999999999999999E-3</v>
      </c>
      <c r="G1965" s="1">
        <v>0.46250000000000002</v>
      </c>
      <c r="I1965" s="1">
        <v>0.26529999999999998</v>
      </c>
    </row>
    <row r="1966" spans="1:10">
      <c r="A1966" s="25" t="s">
        <v>300</v>
      </c>
      <c r="B1966">
        <v>3687</v>
      </c>
      <c r="C1966" t="s">
        <v>189</v>
      </c>
      <c r="D1966">
        <v>4346</v>
      </c>
      <c r="E1966" s="1">
        <v>0.29449999999999998</v>
      </c>
      <c r="F1966" s="1">
        <v>4.0000000000000002E-4</v>
      </c>
      <c r="G1966" s="1">
        <v>0.54100000000000004</v>
      </c>
      <c r="H1966" s="1">
        <v>1E-4</v>
      </c>
      <c r="I1966" s="1">
        <v>0.16400000000000001</v>
      </c>
    </row>
    <row r="1967" spans="1:10">
      <c r="A1967" s="25" t="s">
        <v>301</v>
      </c>
      <c r="B1967">
        <v>25</v>
      </c>
      <c r="C1967" t="s">
        <v>189</v>
      </c>
      <c r="D1967">
        <v>4346</v>
      </c>
      <c r="E1967" s="1">
        <v>0.56640000000000001</v>
      </c>
      <c r="G1967" s="1">
        <v>0.29260000000000003</v>
      </c>
      <c r="I1967" s="1">
        <v>0.14099999999999999</v>
      </c>
    </row>
    <row r="1968" spans="1:10">
      <c r="A1968" s="25" t="s">
        <v>302</v>
      </c>
      <c r="B1968">
        <v>91</v>
      </c>
      <c r="C1968" t="s">
        <v>189</v>
      </c>
      <c r="D1968">
        <v>4346</v>
      </c>
      <c r="E1968" s="1">
        <v>0.21759999999999999</v>
      </c>
      <c r="G1968" s="1">
        <v>0.41610000000000003</v>
      </c>
      <c r="I1968" s="1">
        <v>0.36620000000000003</v>
      </c>
    </row>
    <row r="1969" spans="1:9">
      <c r="A1969" s="25" t="s">
        <v>192</v>
      </c>
      <c r="B1969">
        <v>4346</v>
      </c>
      <c r="C1969" t="s">
        <v>192</v>
      </c>
      <c r="D1969">
        <v>4346</v>
      </c>
      <c r="E1969" s="1">
        <v>0.29089999999999999</v>
      </c>
      <c r="F1969" s="1">
        <v>5.0000000000000001E-4</v>
      </c>
      <c r="G1969" s="1">
        <v>0.52790000000000004</v>
      </c>
      <c r="H1969" s="1">
        <v>1E-4</v>
      </c>
      <c r="I1969" s="1">
        <v>0.18060000000000001</v>
      </c>
    </row>
    <row r="1971" spans="1:9" ht="43.5">
      <c r="A1971" s="25" t="s">
        <v>641</v>
      </c>
    </row>
    <row r="1972" spans="1:9">
      <c r="A1972" s="25" t="s">
        <v>182</v>
      </c>
      <c r="B1972" t="s">
        <v>219</v>
      </c>
      <c r="C1972" t="s">
        <v>181</v>
      </c>
      <c r="D1972" t="s">
        <v>188</v>
      </c>
      <c r="E1972" t="s">
        <v>631</v>
      </c>
      <c r="F1972" t="s">
        <v>241</v>
      </c>
      <c r="G1972" t="s">
        <v>632</v>
      </c>
      <c r="H1972" t="s">
        <v>243</v>
      </c>
      <c r="I1972" t="s">
        <v>633</v>
      </c>
    </row>
    <row r="1973" spans="1:9">
      <c r="A1973" s="25" t="s">
        <v>347</v>
      </c>
      <c r="B1973">
        <v>1410</v>
      </c>
      <c r="C1973" t="s">
        <v>189</v>
      </c>
      <c r="D1973">
        <v>4346</v>
      </c>
      <c r="E1973" s="1">
        <v>0.2442</v>
      </c>
      <c r="F1973" s="1">
        <v>8.0000000000000004E-4</v>
      </c>
      <c r="G1973" s="1">
        <v>0.53210000000000002</v>
      </c>
      <c r="I1973" s="1">
        <v>0.22289999999999999</v>
      </c>
    </row>
    <row r="1974" spans="1:9">
      <c r="A1974" s="25" t="s">
        <v>348</v>
      </c>
      <c r="B1974">
        <v>925</v>
      </c>
      <c r="C1974" t="s">
        <v>189</v>
      </c>
      <c r="D1974">
        <v>4346</v>
      </c>
      <c r="E1974" s="1">
        <v>0.2727</v>
      </c>
      <c r="G1974" s="1">
        <v>0.52029999999999998</v>
      </c>
      <c r="I1974" s="1">
        <v>0.20699999999999999</v>
      </c>
    </row>
    <row r="1975" spans="1:9">
      <c r="A1975" s="25" t="s">
        <v>349</v>
      </c>
      <c r="B1975">
        <v>931</v>
      </c>
      <c r="C1975" t="s">
        <v>189</v>
      </c>
      <c r="D1975">
        <v>4346</v>
      </c>
      <c r="E1975" s="1">
        <v>0.31019999999999998</v>
      </c>
      <c r="F1975" s="1">
        <v>1.4E-3</v>
      </c>
      <c r="G1975" s="1">
        <v>0.53939999999999999</v>
      </c>
      <c r="I1975" s="1">
        <v>0.14899999999999999</v>
      </c>
    </row>
    <row r="1976" spans="1:9">
      <c r="A1976" s="25" t="s">
        <v>350</v>
      </c>
      <c r="B1976">
        <v>626</v>
      </c>
      <c r="C1976" t="s">
        <v>189</v>
      </c>
      <c r="D1976">
        <v>4346</v>
      </c>
      <c r="E1976" s="1">
        <v>0.34920000000000001</v>
      </c>
      <c r="G1976" s="1">
        <v>0.52600000000000002</v>
      </c>
      <c r="I1976" s="1">
        <v>0.12470000000000001</v>
      </c>
    </row>
    <row r="1977" spans="1:9">
      <c r="A1977" s="25" t="s">
        <v>192</v>
      </c>
      <c r="B1977">
        <v>4346</v>
      </c>
      <c r="C1977" t="s">
        <v>192</v>
      </c>
      <c r="D1977">
        <v>4346</v>
      </c>
      <c r="E1977" s="1">
        <v>0.29089999999999999</v>
      </c>
      <c r="F1977" s="1">
        <v>5.0000000000000001E-4</v>
      </c>
      <c r="G1977" s="1">
        <v>0.52790000000000004</v>
      </c>
      <c r="H1977" s="1">
        <v>1E-4</v>
      </c>
      <c r="I1977" s="1">
        <v>0.18060000000000001</v>
      </c>
    </row>
    <row r="1979" spans="1:9" ht="43.5">
      <c r="A1979" s="25" t="s">
        <v>642</v>
      </c>
    </row>
    <row r="1980" spans="1:9">
      <c r="A1980" s="25" t="s">
        <v>182</v>
      </c>
      <c r="B1980" t="s">
        <v>219</v>
      </c>
      <c r="C1980" t="s">
        <v>181</v>
      </c>
      <c r="D1980" t="s">
        <v>188</v>
      </c>
      <c r="E1980" t="s">
        <v>631</v>
      </c>
      <c r="F1980" t="s">
        <v>241</v>
      </c>
      <c r="G1980" t="s">
        <v>632</v>
      </c>
      <c r="H1980" t="s">
        <v>243</v>
      </c>
      <c r="I1980" t="s">
        <v>633</v>
      </c>
    </row>
    <row r="1981" spans="1:9">
      <c r="A1981" s="25" t="s">
        <v>211</v>
      </c>
      <c r="B1981">
        <v>2513</v>
      </c>
      <c r="C1981" t="s">
        <v>189</v>
      </c>
      <c r="D1981">
        <v>4346</v>
      </c>
      <c r="E1981" s="1">
        <v>0.30719999999999997</v>
      </c>
      <c r="F1981" s="1">
        <v>2.0000000000000001E-4</v>
      </c>
      <c r="G1981" s="1">
        <v>0.52180000000000004</v>
      </c>
      <c r="H1981" s="1">
        <v>2.0000000000000001E-4</v>
      </c>
      <c r="I1981" s="1">
        <v>0.1706</v>
      </c>
    </row>
    <row r="1982" spans="1:9">
      <c r="A1982" s="25" t="s">
        <v>212</v>
      </c>
      <c r="B1982">
        <v>1221</v>
      </c>
      <c r="C1982" t="s">
        <v>189</v>
      </c>
      <c r="D1982">
        <v>4346</v>
      </c>
      <c r="E1982" s="1">
        <v>0.24540000000000001</v>
      </c>
      <c r="F1982" s="1">
        <v>8.0000000000000004E-4</v>
      </c>
      <c r="G1982" s="1">
        <v>0.4965</v>
      </c>
      <c r="I1982" s="1">
        <v>0.25740000000000002</v>
      </c>
    </row>
    <row r="1983" spans="1:9">
      <c r="A1983" s="25" t="s">
        <v>213</v>
      </c>
      <c r="B1983">
        <v>612</v>
      </c>
      <c r="C1983" t="s">
        <v>189</v>
      </c>
      <c r="D1983">
        <v>4346</v>
      </c>
      <c r="E1983" s="1">
        <v>0.30399999999999999</v>
      </c>
      <c r="F1983" s="1">
        <v>1.1999999999999999E-3</v>
      </c>
      <c r="G1983" s="1">
        <v>0.59509999999999996</v>
      </c>
      <c r="I1983" s="1">
        <v>9.98E-2</v>
      </c>
    </row>
    <row r="1984" spans="1:9">
      <c r="A1984" s="25" t="s">
        <v>192</v>
      </c>
      <c r="B1984">
        <v>4346</v>
      </c>
      <c r="C1984" t="s">
        <v>192</v>
      </c>
      <c r="D1984">
        <v>4346</v>
      </c>
      <c r="E1984" s="1">
        <v>0.29089999999999999</v>
      </c>
      <c r="F1984" s="1">
        <v>5.0000000000000001E-4</v>
      </c>
      <c r="G1984" s="1">
        <v>0.52790000000000004</v>
      </c>
      <c r="H1984" s="1">
        <v>1E-4</v>
      </c>
      <c r="I1984" s="1">
        <v>0.18060000000000001</v>
      </c>
    </row>
    <row r="1986" spans="1:20" ht="43.5">
      <c r="A1986" s="25" t="s">
        <v>643</v>
      </c>
    </row>
    <row r="1987" spans="1:20">
      <c r="A1987" s="25" t="s">
        <v>182</v>
      </c>
      <c r="B1987" t="s">
        <v>219</v>
      </c>
      <c r="C1987" t="s">
        <v>181</v>
      </c>
      <c r="D1987" t="s">
        <v>188</v>
      </c>
      <c r="E1987" t="s">
        <v>241</v>
      </c>
      <c r="F1987" t="s">
        <v>644</v>
      </c>
      <c r="G1987" t="s">
        <v>645</v>
      </c>
      <c r="H1987" t="s">
        <v>243</v>
      </c>
      <c r="I1987" t="s">
        <v>646</v>
      </c>
      <c r="J1987" t="s">
        <v>647</v>
      </c>
      <c r="K1987" t="s">
        <v>648</v>
      </c>
      <c r="L1987" t="s">
        <v>649</v>
      </c>
      <c r="M1987" t="s">
        <v>650</v>
      </c>
      <c r="N1987" t="s">
        <v>651</v>
      </c>
      <c r="O1987" t="s">
        <v>652</v>
      </c>
      <c r="P1987" t="s">
        <v>653</v>
      </c>
      <c r="Q1987" t="s">
        <v>654</v>
      </c>
      <c r="R1987" t="s">
        <v>655</v>
      </c>
      <c r="S1987" t="s">
        <v>656</v>
      </c>
      <c r="T1987" t="s">
        <v>657</v>
      </c>
    </row>
    <row r="1988" spans="1:20">
      <c r="A1988" s="25" t="s">
        <v>190</v>
      </c>
      <c r="B1988">
        <v>2258</v>
      </c>
      <c r="C1988" t="s">
        <v>189</v>
      </c>
      <c r="D1988">
        <v>4327</v>
      </c>
      <c r="E1988" s="1">
        <v>2.7000000000000001E-3</v>
      </c>
      <c r="F1988" s="1">
        <v>5.28E-2</v>
      </c>
      <c r="G1988" s="1">
        <v>4.36E-2</v>
      </c>
      <c r="H1988" s="1">
        <v>1.1000000000000001E-3</v>
      </c>
      <c r="I1988" s="1">
        <v>8.9200000000000002E-2</v>
      </c>
      <c r="J1988" s="1">
        <v>8.7099999999999997E-2</v>
      </c>
      <c r="K1988" s="1">
        <v>7.8E-2</v>
      </c>
      <c r="L1988" s="1">
        <v>8.4900000000000003E-2</v>
      </c>
      <c r="M1988" s="1">
        <v>8.1000000000000003E-2</v>
      </c>
      <c r="N1988" s="1">
        <v>9.6000000000000002E-2</v>
      </c>
      <c r="O1988" s="1">
        <v>7.17E-2</v>
      </c>
      <c r="P1988" s="1">
        <v>7.9600000000000004E-2</v>
      </c>
      <c r="Q1988" s="1">
        <v>8.8400000000000006E-2</v>
      </c>
      <c r="R1988" s="1">
        <v>7.3899999999999993E-2</v>
      </c>
      <c r="S1988" s="1">
        <v>1.89E-2</v>
      </c>
      <c r="T1988" s="1">
        <v>5.0999999999999997E-2</v>
      </c>
    </row>
    <row r="1989" spans="1:20">
      <c r="A1989" s="25" t="s">
        <v>191</v>
      </c>
      <c r="B1989">
        <v>2032</v>
      </c>
      <c r="C1989" t="s">
        <v>189</v>
      </c>
      <c r="D1989">
        <v>4327</v>
      </c>
      <c r="F1989" s="1">
        <v>3.3099999999999997E-2</v>
      </c>
      <c r="G1989" s="1">
        <v>0.04</v>
      </c>
      <c r="I1989" s="1">
        <v>9.8100000000000007E-2</v>
      </c>
      <c r="J1989" s="1">
        <v>8.1500000000000003E-2</v>
      </c>
      <c r="K1989" s="1">
        <v>7.17E-2</v>
      </c>
      <c r="L1989" s="1">
        <v>8.9300000000000004E-2</v>
      </c>
      <c r="M1989" s="1">
        <v>7.9799999999999996E-2</v>
      </c>
      <c r="N1989" s="1">
        <v>8.7300000000000003E-2</v>
      </c>
      <c r="O1989" s="1">
        <v>6.8400000000000002E-2</v>
      </c>
      <c r="P1989" s="1">
        <v>0.10059999999999999</v>
      </c>
      <c r="Q1989" s="1">
        <v>6.4600000000000005E-2</v>
      </c>
      <c r="R1989" s="1">
        <v>8.9700000000000002E-2</v>
      </c>
      <c r="S1989" s="1">
        <v>3.7600000000000001E-2</v>
      </c>
      <c r="T1989" s="1">
        <v>5.8400000000000001E-2</v>
      </c>
    </row>
    <row r="1990" spans="1:20">
      <c r="A1990" s="25" t="s">
        <v>192</v>
      </c>
      <c r="B1990">
        <v>4327</v>
      </c>
      <c r="C1990" t="s">
        <v>192</v>
      </c>
      <c r="D1990">
        <v>4327</v>
      </c>
      <c r="E1990" s="1">
        <v>1.1999999999999999E-3</v>
      </c>
      <c r="F1990" s="1">
        <v>4.19E-2</v>
      </c>
      <c r="G1990" s="1">
        <v>4.1599999999999998E-2</v>
      </c>
      <c r="H1990" s="1">
        <v>5.0000000000000001E-4</v>
      </c>
      <c r="I1990" s="1">
        <v>9.4E-2</v>
      </c>
      <c r="J1990" s="1">
        <v>8.4099999999999994E-2</v>
      </c>
      <c r="K1990" s="1">
        <v>7.46E-2</v>
      </c>
      <c r="L1990" s="1">
        <v>8.7300000000000003E-2</v>
      </c>
      <c r="M1990" s="1">
        <v>8.0299999999999996E-2</v>
      </c>
      <c r="N1990" s="1">
        <v>9.11E-2</v>
      </c>
      <c r="O1990" s="1">
        <v>7.0000000000000007E-2</v>
      </c>
      <c r="P1990" s="1">
        <v>9.1200000000000003E-2</v>
      </c>
      <c r="Q1990" s="1">
        <v>7.5300000000000006E-2</v>
      </c>
      <c r="R1990" s="1">
        <v>8.2500000000000004E-2</v>
      </c>
      <c r="S1990" s="1">
        <v>2.92E-2</v>
      </c>
      <c r="T1990" s="1">
        <v>5.5100000000000003E-2</v>
      </c>
    </row>
    <row r="1992" spans="1:20" ht="43.5">
      <c r="A1992" s="25" t="s">
        <v>658</v>
      </c>
    </row>
    <row r="1993" spans="1:20">
      <c r="A1993" s="25" t="s">
        <v>182</v>
      </c>
      <c r="B1993" t="s">
        <v>219</v>
      </c>
      <c r="C1993" t="s">
        <v>181</v>
      </c>
      <c r="D1993" t="s">
        <v>188</v>
      </c>
      <c r="E1993" t="s">
        <v>241</v>
      </c>
      <c r="F1993" t="s">
        <v>644</v>
      </c>
      <c r="G1993" t="s">
        <v>645</v>
      </c>
      <c r="H1993" t="s">
        <v>243</v>
      </c>
      <c r="I1993" t="s">
        <v>646</v>
      </c>
      <c r="J1993" t="s">
        <v>647</v>
      </c>
      <c r="K1993" t="s">
        <v>648</v>
      </c>
      <c r="L1993" t="s">
        <v>649</v>
      </c>
      <c r="M1993" t="s">
        <v>650</v>
      </c>
      <c r="N1993" t="s">
        <v>651</v>
      </c>
      <c r="O1993" t="s">
        <v>652</v>
      </c>
      <c r="P1993" t="s">
        <v>653</v>
      </c>
      <c r="Q1993" t="s">
        <v>654</v>
      </c>
      <c r="R1993" t="s">
        <v>655</v>
      </c>
      <c r="S1993" t="s">
        <v>656</v>
      </c>
      <c r="T1993" t="s">
        <v>657</v>
      </c>
    </row>
    <row r="1994" spans="1:20" ht="29.1">
      <c r="A1994" s="25" t="s">
        <v>194</v>
      </c>
      <c r="B1994">
        <v>2318</v>
      </c>
      <c r="C1994" t="s">
        <v>189</v>
      </c>
      <c r="D1994">
        <v>4327</v>
      </c>
      <c r="E1994" s="1">
        <v>1.6999999999999999E-3</v>
      </c>
      <c r="F1994" s="1">
        <v>4.3400000000000001E-2</v>
      </c>
      <c r="G1994" s="1">
        <v>4.2799999999999998E-2</v>
      </c>
      <c r="H1994" s="1">
        <v>6.9999999999999999E-4</v>
      </c>
      <c r="I1994" s="1">
        <v>9.9299999999999999E-2</v>
      </c>
      <c r="J1994" s="1">
        <v>7.9500000000000001E-2</v>
      </c>
      <c r="K1994" s="1">
        <v>8.4699999999999998E-2</v>
      </c>
      <c r="L1994" s="1">
        <v>8.5500000000000007E-2</v>
      </c>
      <c r="M1994" s="1">
        <v>8.4000000000000005E-2</v>
      </c>
      <c r="N1994" s="1">
        <v>9.6199999999999994E-2</v>
      </c>
      <c r="O1994" s="1">
        <v>6.8900000000000003E-2</v>
      </c>
      <c r="P1994" s="1">
        <v>9.4899999999999998E-2</v>
      </c>
      <c r="Q1994" s="1">
        <v>6.6500000000000004E-2</v>
      </c>
      <c r="R1994" s="1">
        <v>7.6100000000000001E-2</v>
      </c>
      <c r="S1994" s="1">
        <v>0.03</v>
      </c>
      <c r="T1994" s="1">
        <v>4.5900000000000003E-2</v>
      </c>
    </row>
    <row r="1995" spans="1:20" ht="29.1">
      <c r="A1995" s="25" t="s">
        <v>195</v>
      </c>
      <c r="B1995">
        <v>1087</v>
      </c>
      <c r="C1995" t="s">
        <v>189</v>
      </c>
      <c r="D1995">
        <v>4327</v>
      </c>
      <c r="F1995" s="1">
        <v>3.3500000000000002E-2</v>
      </c>
      <c r="G1995" s="1">
        <v>3.5999999999999997E-2</v>
      </c>
      <c r="I1995" s="1">
        <v>8.7099999999999997E-2</v>
      </c>
      <c r="J1995" s="1">
        <v>9.4299999999999995E-2</v>
      </c>
      <c r="K1995" s="1">
        <v>5.0999999999999997E-2</v>
      </c>
      <c r="L1995" s="1">
        <v>8.7599999999999997E-2</v>
      </c>
      <c r="M1995" s="1">
        <v>7.7499999999999999E-2</v>
      </c>
      <c r="N1995" s="1">
        <v>7.5200000000000003E-2</v>
      </c>
      <c r="O1995" s="1">
        <v>6.9699999999999998E-2</v>
      </c>
      <c r="P1995" s="1">
        <v>8.0100000000000005E-2</v>
      </c>
      <c r="Q1995" s="1">
        <v>0.10630000000000001</v>
      </c>
      <c r="R1995" s="1">
        <v>9.8400000000000001E-2</v>
      </c>
      <c r="S1995" s="1">
        <v>2.35E-2</v>
      </c>
      <c r="T1995" s="1">
        <v>7.9799999999999996E-2</v>
      </c>
    </row>
    <row r="1996" spans="1:20" ht="29.1">
      <c r="A1996" s="25" t="s">
        <v>196</v>
      </c>
      <c r="B1996">
        <v>885</v>
      </c>
      <c r="C1996" t="s">
        <v>189</v>
      </c>
      <c r="D1996">
        <v>4327</v>
      </c>
      <c r="F1996" s="1">
        <v>4.5900000000000003E-2</v>
      </c>
      <c r="G1996" s="1">
        <v>4.3099999999999999E-2</v>
      </c>
      <c r="I1996" s="1">
        <v>7.1499999999999994E-2</v>
      </c>
      <c r="J1996" s="1">
        <v>9.64E-2</v>
      </c>
      <c r="K1996" s="1">
        <v>4.65E-2</v>
      </c>
      <c r="L1996" s="1">
        <v>9.9099999999999994E-2</v>
      </c>
      <c r="M1996" s="1">
        <v>6.0900000000000003E-2</v>
      </c>
      <c r="N1996" s="1">
        <v>8.5400000000000004E-2</v>
      </c>
      <c r="O1996" s="1">
        <v>7.6999999999999999E-2</v>
      </c>
      <c r="P1996" s="1">
        <v>8.5900000000000004E-2</v>
      </c>
      <c r="Q1996" s="1">
        <v>8.09E-2</v>
      </c>
      <c r="R1996" s="1">
        <v>9.9099999999999994E-2</v>
      </c>
      <c r="S1996" s="1">
        <v>3.4000000000000002E-2</v>
      </c>
      <c r="T1996" s="1">
        <v>7.4300000000000005E-2</v>
      </c>
    </row>
    <row r="1997" spans="1:20">
      <c r="A1997" s="25" t="s">
        <v>192</v>
      </c>
      <c r="B1997">
        <v>4327</v>
      </c>
      <c r="C1997" t="s">
        <v>192</v>
      </c>
      <c r="D1997">
        <v>4327</v>
      </c>
      <c r="E1997" s="1">
        <v>1.1999999999999999E-3</v>
      </c>
      <c r="F1997" s="1">
        <v>4.19E-2</v>
      </c>
      <c r="G1997" s="1">
        <v>4.1599999999999998E-2</v>
      </c>
      <c r="H1997" s="1">
        <v>5.0000000000000001E-4</v>
      </c>
      <c r="I1997" s="1">
        <v>9.4E-2</v>
      </c>
      <c r="J1997" s="1">
        <v>8.4099999999999994E-2</v>
      </c>
      <c r="K1997" s="1">
        <v>7.46E-2</v>
      </c>
      <c r="L1997" s="1">
        <v>8.7300000000000003E-2</v>
      </c>
      <c r="M1997" s="1">
        <v>8.0299999999999996E-2</v>
      </c>
      <c r="N1997" s="1">
        <v>9.11E-2</v>
      </c>
      <c r="O1997" s="1">
        <v>7.0000000000000007E-2</v>
      </c>
      <c r="P1997" s="1">
        <v>9.1200000000000003E-2</v>
      </c>
      <c r="Q1997" s="1">
        <v>7.5300000000000006E-2</v>
      </c>
      <c r="R1997" s="1">
        <v>8.2500000000000004E-2</v>
      </c>
      <c r="S1997" s="1">
        <v>2.92E-2</v>
      </c>
      <c r="T1997" s="1">
        <v>5.5100000000000003E-2</v>
      </c>
    </row>
    <row r="1999" spans="1:20" ht="43.5">
      <c r="A1999" s="25" t="s">
        <v>659</v>
      </c>
    </row>
    <row r="2000" spans="1:20">
      <c r="A2000" s="25" t="s">
        <v>182</v>
      </c>
      <c r="B2000" t="s">
        <v>219</v>
      </c>
      <c r="C2000" t="s">
        <v>181</v>
      </c>
      <c r="D2000" t="s">
        <v>188</v>
      </c>
      <c r="E2000" t="s">
        <v>241</v>
      </c>
      <c r="F2000" t="s">
        <v>644</v>
      </c>
      <c r="G2000" t="s">
        <v>645</v>
      </c>
      <c r="H2000" t="s">
        <v>243</v>
      </c>
      <c r="I2000" t="s">
        <v>646</v>
      </c>
      <c r="J2000" t="s">
        <v>647</v>
      </c>
      <c r="K2000" t="s">
        <v>648</v>
      </c>
      <c r="L2000" t="s">
        <v>649</v>
      </c>
      <c r="M2000" t="s">
        <v>650</v>
      </c>
      <c r="N2000" t="s">
        <v>651</v>
      </c>
      <c r="O2000" t="s">
        <v>652</v>
      </c>
      <c r="P2000" t="s">
        <v>653</v>
      </c>
      <c r="Q2000" t="s">
        <v>654</v>
      </c>
      <c r="R2000" t="s">
        <v>655</v>
      </c>
      <c r="S2000" t="s">
        <v>656</v>
      </c>
      <c r="T2000" t="s">
        <v>657</v>
      </c>
    </row>
    <row r="2001" spans="1:20">
      <c r="A2001" s="25" t="s">
        <v>198</v>
      </c>
      <c r="B2001">
        <v>594</v>
      </c>
      <c r="C2001" t="s">
        <v>189</v>
      </c>
      <c r="D2001">
        <v>4327</v>
      </c>
      <c r="F2001" s="1">
        <v>3.9E-2</v>
      </c>
      <c r="G2001" s="1">
        <v>9.9000000000000008E-3</v>
      </c>
      <c r="H2001" s="1">
        <v>4.1000000000000003E-3</v>
      </c>
      <c r="I2001" s="1">
        <v>7.5600000000000001E-2</v>
      </c>
      <c r="J2001" s="1">
        <v>7.46E-2</v>
      </c>
      <c r="K2001" s="1">
        <v>5.1799999999999999E-2</v>
      </c>
      <c r="L2001" s="1">
        <v>8.7800000000000003E-2</v>
      </c>
      <c r="M2001" s="1">
        <v>6.5799999999999997E-2</v>
      </c>
      <c r="N2001" s="1">
        <v>9.4700000000000006E-2</v>
      </c>
      <c r="O2001" s="1">
        <v>8.2500000000000004E-2</v>
      </c>
      <c r="P2001" s="1">
        <v>8.5900000000000004E-2</v>
      </c>
      <c r="Q2001" s="1">
        <v>9.9299999999999999E-2</v>
      </c>
      <c r="R2001" s="1">
        <v>8.2900000000000001E-2</v>
      </c>
      <c r="S2001" s="1">
        <v>2.1999999999999999E-2</v>
      </c>
      <c r="T2001" s="1">
        <v>0.12429999999999999</v>
      </c>
    </row>
    <row r="2002" spans="1:20">
      <c r="A2002" s="25" t="s">
        <v>199</v>
      </c>
      <c r="B2002">
        <v>3733</v>
      </c>
      <c r="C2002" t="s">
        <v>189</v>
      </c>
      <c r="D2002">
        <v>4327</v>
      </c>
      <c r="E2002" s="1">
        <v>1.4E-3</v>
      </c>
      <c r="F2002" s="1">
        <v>4.2299999999999997E-2</v>
      </c>
      <c r="G2002" s="1">
        <v>4.5499999999999999E-2</v>
      </c>
      <c r="H2002" s="1">
        <v>1E-4</v>
      </c>
      <c r="I2002" s="1">
        <v>9.6299999999999997E-2</v>
      </c>
      <c r="J2002" s="1">
        <v>8.5199999999999998E-2</v>
      </c>
      <c r="K2002" s="1">
        <v>7.7399999999999997E-2</v>
      </c>
      <c r="L2002" s="1">
        <v>8.72E-2</v>
      </c>
      <c r="M2002" s="1">
        <v>8.2100000000000006E-2</v>
      </c>
      <c r="N2002" s="1">
        <v>9.0700000000000003E-2</v>
      </c>
      <c r="O2002" s="1">
        <v>6.8500000000000005E-2</v>
      </c>
      <c r="P2002" s="1">
        <v>9.1899999999999996E-2</v>
      </c>
      <c r="Q2002" s="1">
        <v>7.2300000000000003E-2</v>
      </c>
      <c r="R2002" s="1">
        <v>8.2500000000000004E-2</v>
      </c>
      <c r="S2002" s="1">
        <v>3.0099999999999998E-2</v>
      </c>
      <c r="T2002" s="1">
        <v>4.6399999999999997E-2</v>
      </c>
    </row>
    <row r="2003" spans="1:20">
      <c r="A2003" s="25" t="s">
        <v>192</v>
      </c>
      <c r="B2003">
        <v>4327</v>
      </c>
      <c r="C2003" t="s">
        <v>192</v>
      </c>
      <c r="D2003">
        <v>4327</v>
      </c>
      <c r="E2003" s="1">
        <v>1.1999999999999999E-3</v>
      </c>
      <c r="F2003" s="1">
        <v>4.19E-2</v>
      </c>
      <c r="G2003" s="1">
        <v>4.1599999999999998E-2</v>
      </c>
      <c r="H2003" s="1">
        <v>5.0000000000000001E-4</v>
      </c>
      <c r="I2003" s="1">
        <v>9.4E-2</v>
      </c>
      <c r="J2003" s="1">
        <v>8.4099999999999994E-2</v>
      </c>
      <c r="K2003" s="1">
        <v>7.46E-2</v>
      </c>
      <c r="L2003" s="1">
        <v>8.7300000000000003E-2</v>
      </c>
      <c r="M2003" s="1">
        <v>8.0299999999999996E-2</v>
      </c>
      <c r="N2003" s="1">
        <v>9.11E-2</v>
      </c>
      <c r="O2003" s="1">
        <v>7.0000000000000007E-2</v>
      </c>
      <c r="P2003" s="1">
        <v>9.1200000000000003E-2</v>
      </c>
      <c r="Q2003" s="1">
        <v>7.5300000000000006E-2</v>
      </c>
      <c r="R2003" s="1">
        <v>8.2500000000000004E-2</v>
      </c>
      <c r="S2003" s="1">
        <v>2.92E-2</v>
      </c>
      <c r="T2003" s="1">
        <v>5.5100000000000003E-2</v>
      </c>
    </row>
    <row r="2005" spans="1:20" ht="43.5">
      <c r="A2005" s="25" t="s">
        <v>660</v>
      </c>
    </row>
    <row r="2006" spans="1:20">
      <c r="A2006" s="25" t="s">
        <v>182</v>
      </c>
      <c r="B2006" t="s">
        <v>219</v>
      </c>
      <c r="C2006" t="s">
        <v>181</v>
      </c>
      <c r="D2006" t="s">
        <v>188</v>
      </c>
      <c r="E2006" t="s">
        <v>241</v>
      </c>
      <c r="F2006" t="s">
        <v>644</v>
      </c>
      <c r="G2006" t="s">
        <v>645</v>
      </c>
      <c r="H2006" t="s">
        <v>243</v>
      </c>
      <c r="I2006" t="s">
        <v>646</v>
      </c>
      <c r="J2006" t="s">
        <v>647</v>
      </c>
      <c r="K2006" t="s">
        <v>648</v>
      </c>
      <c r="L2006" t="s">
        <v>649</v>
      </c>
      <c r="M2006" t="s">
        <v>650</v>
      </c>
      <c r="N2006" t="s">
        <v>651</v>
      </c>
      <c r="O2006" t="s">
        <v>652</v>
      </c>
      <c r="P2006" t="s">
        <v>653</v>
      </c>
      <c r="Q2006" t="s">
        <v>654</v>
      </c>
      <c r="R2006" t="s">
        <v>655</v>
      </c>
      <c r="S2006" t="s">
        <v>656</v>
      </c>
      <c r="T2006" t="s">
        <v>657</v>
      </c>
    </row>
    <row r="2007" spans="1:20">
      <c r="A2007" s="25" t="s">
        <v>201</v>
      </c>
      <c r="B2007">
        <v>445</v>
      </c>
      <c r="C2007" t="s">
        <v>189</v>
      </c>
      <c r="D2007">
        <v>4327</v>
      </c>
      <c r="F2007" s="1">
        <v>6.1800000000000001E-2</v>
      </c>
      <c r="G2007" s="1">
        <v>2.18E-2</v>
      </c>
      <c r="I2007" s="1">
        <v>6.1699999999999998E-2</v>
      </c>
      <c r="J2007" s="1">
        <v>0.1419</v>
      </c>
      <c r="K2007" s="1">
        <v>8.6300000000000002E-2</v>
      </c>
      <c r="L2007" s="1">
        <v>9.6199999999999994E-2</v>
      </c>
      <c r="M2007" s="1">
        <v>9.01E-2</v>
      </c>
      <c r="N2007" s="1">
        <v>0.1158</v>
      </c>
      <c r="O2007" s="1">
        <v>3.73E-2</v>
      </c>
      <c r="P2007" s="1">
        <v>9.7699999999999995E-2</v>
      </c>
      <c r="Q2007" s="1">
        <v>6.8400000000000002E-2</v>
      </c>
      <c r="R2007" s="1">
        <v>8.0699999999999994E-2</v>
      </c>
      <c r="S2007" s="1">
        <v>5.3E-3</v>
      </c>
      <c r="T2007" s="1">
        <v>3.49E-2</v>
      </c>
    </row>
    <row r="2008" spans="1:20">
      <c r="A2008" s="25" t="s">
        <v>237</v>
      </c>
      <c r="B2008">
        <v>54</v>
      </c>
      <c r="C2008" t="s">
        <v>189</v>
      </c>
      <c r="D2008">
        <v>4327</v>
      </c>
      <c r="F2008" s="1">
        <v>1.26E-2</v>
      </c>
      <c r="G2008" s="1">
        <v>1.5100000000000001E-2</v>
      </c>
      <c r="I2008" s="1">
        <v>0.1164</v>
      </c>
      <c r="J2008" s="1">
        <v>4.24E-2</v>
      </c>
      <c r="K2008" s="1">
        <v>2.3900000000000001E-2</v>
      </c>
      <c r="L2008" s="1">
        <v>5.0299999999999997E-2</v>
      </c>
      <c r="M2008" s="1">
        <v>9.7199999999999995E-2</v>
      </c>
      <c r="N2008" s="1">
        <v>0.106</v>
      </c>
      <c r="O2008" s="1">
        <v>0.13150000000000001</v>
      </c>
      <c r="P2008" s="1">
        <v>5.6599999999999998E-2</v>
      </c>
      <c r="Q2008" s="1">
        <v>0.12039999999999999</v>
      </c>
      <c r="R2008" s="1">
        <v>9.6299999999999997E-2</v>
      </c>
      <c r="S2008" s="1">
        <v>9.7500000000000003E-2</v>
      </c>
      <c r="T2008" s="1">
        <v>3.3700000000000001E-2</v>
      </c>
    </row>
    <row r="2009" spans="1:20">
      <c r="A2009" s="25" t="s">
        <v>203</v>
      </c>
      <c r="B2009">
        <v>2907</v>
      </c>
      <c r="C2009" t="s">
        <v>189</v>
      </c>
      <c r="D2009">
        <v>4327</v>
      </c>
      <c r="E2009" s="1">
        <v>1.6999999999999999E-3</v>
      </c>
      <c r="F2009" s="1">
        <v>4.1200000000000001E-2</v>
      </c>
      <c r="G2009" s="1">
        <v>4.1500000000000002E-2</v>
      </c>
      <c r="H2009" s="1">
        <v>6.9999999999999999E-4</v>
      </c>
      <c r="I2009" s="1">
        <v>0.1009</v>
      </c>
      <c r="J2009" s="1">
        <v>8.1100000000000005E-2</v>
      </c>
      <c r="K2009" s="1">
        <v>6.6900000000000001E-2</v>
      </c>
      <c r="L2009" s="1">
        <v>8.7400000000000005E-2</v>
      </c>
      <c r="M2009" s="1">
        <v>7.2700000000000001E-2</v>
      </c>
      <c r="N2009" s="1">
        <v>9.0399999999999994E-2</v>
      </c>
      <c r="O2009" s="1">
        <v>7.4300000000000005E-2</v>
      </c>
      <c r="P2009" s="1">
        <v>8.8599999999999998E-2</v>
      </c>
      <c r="Q2009" s="1">
        <v>8.0100000000000005E-2</v>
      </c>
      <c r="R2009" s="1">
        <v>8.4000000000000005E-2</v>
      </c>
      <c r="S2009" s="1">
        <v>3.1E-2</v>
      </c>
      <c r="T2009" s="1">
        <v>5.7299999999999997E-2</v>
      </c>
    </row>
    <row r="2010" spans="1:20">
      <c r="A2010" s="25" t="s">
        <v>204</v>
      </c>
      <c r="B2010">
        <v>7</v>
      </c>
      <c r="C2010" t="s">
        <v>189</v>
      </c>
      <c r="D2010">
        <v>4327</v>
      </c>
      <c r="J2010" s="1">
        <v>0.12239999999999999</v>
      </c>
      <c r="L2010" s="1">
        <v>0.61780000000000002</v>
      </c>
      <c r="M2010" s="1">
        <v>0.12239999999999999</v>
      </c>
      <c r="Q2010" s="1">
        <v>0.13750000000000001</v>
      </c>
    </row>
    <row r="2011" spans="1:20">
      <c r="A2011" s="25" t="s">
        <v>205</v>
      </c>
      <c r="B2011">
        <v>914</v>
      </c>
      <c r="C2011" t="s">
        <v>189</v>
      </c>
      <c r="D2011">
        <v>4327</v>
      </c>
      <c r="F2011" s="1">
        <v>3.5799999999999998E-2</v>
      </c>
      <c r="G2011" s="1">
        <v>5.3199999999999997E-2</v>
      </c>
      <c r="I2011" s="1">
        <v>8.5099999999999995E-2</v>
      </c>
      <c r="J2011" s="1">
        <v>6.7000000000000004E-2</v>
      </c>
      <c r="K2011" s="1">
        <v>9.8400000000000001E-2</v>
      </c>
      <c r="L2011" s="1">
        <v>8.1900000000000001E-2</v>
      </c>
      <c r="M2011" s="1">
        <v>0.1017</v>
      </c>
      <c r="N2011" s="1">
        <v>8.0799999999999997E-2</v>
      </c>
      <c r="O2011" s="1">
        <v>6.9000000000000006E-2</v>
      </c>
      <c r="P2011" s="1">
        <v>9.9099999999999994E-2</v>
      </c>
      <c r="Q2011" s="1">
        <v>5.9700000000000003E-2</v>
      </c>
      <c r="R2011" s="1">
        <v>7.7799999999999994E-2</v>
      </c>
      <c r="S2011" s="1">
        <v>3.1899999999999998E-2</v>
      </c>
      <c r="T2011" s="1">
        <v>5.8599999999999999E-2</v>
      </c>
    </row>
    <row r="2012" spans="1:20">
      <c r="A2012" s="25" t="s">
        <v>192</v>
      </c>
      <c r="B2012">
        <v>4327</v>
      </c>
      <c r="C2012" t="s">
        <v>192</v>
      </c>
      <c r="D2012">
        <v>4327</v>
      </c>
      <c r="E2012" s="1">
        <v>1.1999999999999999E-3</v>
      </c>
      <c r="F2012" s="1">
        <v>4.19E-2</v>
      </c>
      <c r="G2012" s="1">
        <v>4.1599999999999998E-2</v>
      </c>
      <c r="H2012" s="1">
        <v>5.0000000000000001E-4</v>
      </c>
      <c r="I2012" s="1">
        <v>9.4E-2</v>
      </c>
      <c r="J2012" s="1">
        <v>8.4099999999999994E-2</v>
      </c>
      <c r="K2012" s="1">
        <v>7.46E-2</v>
      </c>
      <c r="L2012" s="1">
        <v>8.7300000000000003E-2</v>
      </c>
      <c r="M2012" s="1">
        <v>8.0299999999999996E-2</v>
      </c>
      <c r="N2012" s="1">
        <v>9.11E-2</v>
      </c>
      <c r="O2012" s="1">
        <v>7.0000000000000007E-2</v>
      </c>
      <c r="P2012" s="1">
        <v>9.1200000000000003E-2</v>
      </c>
      <c r="Q2012" s="1">
        <v>7.5300000000000006E-2</v>
      </c>
      <c r="R2012" s="1">
        <v>8.2500000000000004E-2</v>
      </c>
      <c r="S2012" s="1">
        <v>2.92E-2</v>
      </c>
      <c r="T2012" s="1">
        <v>5.5100000000000003E-2</v>
      </c>
    </row>
    <row r="2014" spans="1:20" ht="43.5">
      <c r="A2014" s="25" t="s">
        <v>661</v>
      </c>
    </row>
    <row r="2015" spans="1:20">
      <c r="A2015" s="25" t="s">
        <v>182</v>
      </c>
      <c r="B2015" t="s">
        <v>219</v>
      </c>
      <c r="C2015" t="s">
        <v>181</v>
      </c>
      <c r="D2015" t="s">
        <v>188</v>
      </c>
      <c r="E2015" t="s">
        <v>241</v>
      </c>
      <c r="F2015" t="s">
        <v>644</v>
      </c>
      <c r="G2015" t="s">
        <v>645</v>
      </c>
      <c r="H2015" t="s">
        <v>243</v>
      </c>
      <c r="I2015" t="s">
        <v>646</v>
      </c>
      <c r="J2015" t="s">
        <v>647</v>
      </c>
      <c r="K2015" t="s">
        <v>648</v>
      </c>
      <c r="L2015" t="s">
        <v>649</v>
      </c>
      <c r="M2015" t="s">
        <v>650</v>
      </c>
      <c r="N2015" t="s">
        <v>651</v>
      </c>
      <c r="O2015" t="s">
        <v>652</v>
      </c>
      <c r="P2015" t="s">
        <v>653</v>
      </c>
      <c r="Q2015" t="s">
        <v>654</v>
      </c>
      <c r="R2015" t="s">
        <v>655</v>
      </c>
      <c r="S2015" t="s">
        <v>656</v>
      </c>
      <c r="T2015" t="s">
        <v>657</v>
      </c>
    </row>
    <row r="2016" spans="1:20">
      <c r="A2016" s="25" t="s">
        <v>207</v>
      </c>
      <c r="B2016">
        <v>2766</v>
      </c>
      <c r="C2016" t="s">
        <v>189</v>
      </c>
      <c r="D2016">
        <v>4327</v>
      </c>
      <c r="E2016" s="1">
        <v>1.8E-3</v>
      </c>
      <c r="F2016" s="1">
        <v>4.7300000000000002E-2</v>
      </c>
      <c r="G2016" s="1">
        <v>4.6100000000000002E-2</v>
      </c>
      <c r="H2016" s="1">
        <v>6.9999999999999999E-4</v>
      </c>
      <c r="I2016" s="1">
        <v>9.3100000000000002E-2</v>
      </c>
      <c r="J2016" s="1">
        <v>7.8200000000000006E-2</v>
      </c>
      <c r="K2016" s="1">
        <v>7.1300000000000002E-2</v>
      </c>
      <c r="L2016" s="1">
        <v>8.1000000000000003E-2</v>
      </c>
      <c r="M2016" s="1">
        <v>8.4400000000000003E-2</v>
      </c>
      <c r="N2016" s="1">
        <v>7.6300000000000007E-2</v>
      </c>
      <c r="O2016" s="1">
        <v>7.2099999999999997E-2</v>
      </c>
      <c r="P2016" s="1">
        <v>9.4799999999999995E-2</v>
      </c>
      <c r="Q2016" s="1">
        <v>7.6999999999999999E-2</v>
      </c>
      <c r="R2016" s="1">
        <v>9.2899999999999996E-2</v>
      </c>
      <c r="S2016" s="1">
        <v>2.64E-2</v>
      </c>
      <c r="T2016" s="1">
        <v>5.67E-2</v>
      </c>
    </row>
    <row r="2017" spans="1:21">
      <c r="A2017" s="25" t="s">
        <v>208</v>
      </c>
      <c r="B2017">
        <v>4</v>
      </c>
      <c r="C2017" t="s">
        <v>189</v>
      </c>
      <c r="D2017">
        <v>4327</v>
      </c>
      <c r="S2017" s="1">
        <v>0.98540000000000005</v>
      </c>
      <c r="T2017" s="1">
        <v>1.46E-2</v>
      </c>
    </row>
    <row r="2018" spans="1:21">
      <c r="A2018" s="25" t="s">
        <v>209</v>
      </c>
      <c r="B2018">
        <v>1557</v>
      </c>
      <c r="C2018" t="s">
        <v>189</v>
      </c>
      <c r="D2018">
        <v>4327</v>
      </c>
      <c r="F2018" s="1">
        <v>3.1600000000000003E-2</v>
      </c>
      <c r="G2018" s="1">
        <v>3.3000000000000002E-2</v>
      </c>
      <c r="I2018" s="1">
        <v>9.7000000000000003E-2</v>
      </c>
      <c r="J2018" s="1">
        <v>9.7000000000000003E-2</v>
      </c>
      <c r="K2018" s="1">
        <v>8.2199999999999995E-2</v>
      </c>
      <c r="L2018" s="1">
        <v>0.1011</v>
      </c>
      <c r="M2018" s="1">
        <v>7.2999999999999995E-2</v>
      </c>
      <c r="N2018" s="1">
        <v>0.1222</v>
      </c>
      <c r="O2018" s="1">
        <v>6.6600000000000006E-2</v>
      </c>
      <c r="P2018" s="1">
        <v>8.5000000000000006E-2</v>
      </c>
      <c r="Q2018" s="1">
        <v>7.2700000000000001E-2</v>
      </c>
      <c r="R2018" s="1">
        <v>6.2399999999999997E-2</v>
      </c>
      <c r="S2018" s="1">
        <v>2.3900000000000001E-2</v>
      </c>
      <c r="T2018" s="1">
        <v>5.2400000000000002E-2</v>
      </c>
    </row>
    <row r="2019" spans="1:21">
      <c r="A2019" s="25" t="s">
        <v>192</v>
      </c>
      <c r="B2019">
        <v>4327</v>
      </c>
      <c r="C2019" t="s">
        <v>192</v>
      </c>
      <c r="D2019">
        <v>4327</v>
      </c>
      <c r="E2019" s="1">
        <v>1.1999999999999999E-3</v>
      </c>
      <c r="F2019" s="1">
        <v>4.19E-2</v>
      </c>
      <c r="G2019" s="1">
        <v>4.1599999999999998E-2</v>
      </c>
      <c r="H2019" s="1">
        <v>5.0000000000000001E-4</v>
      </c>
      <c r="I2019" s="1">
        <v>9.4E-2</v>
      </c>
      <c r="J2019" s="1">
        <v>8.4099999999999994E-2</v>
      </c>
      <c r="K2019" s="1">
        <v>7.46E-2</v>
      </c>
      <c r="L2019" s="1">
        <v>8.7300000000000003E-2</v>
      </c>
      <c r="M2019" s="1">
        <v>8.0299999999999996E-2</v>
      </c>
      <c r="N2019" s="1">
        <v>9.11E-2</v>
      </c>
      <c r="O2019" s="1">
        <v>7.0000000000000007E-2</v>
      </c>
      <c r="P2019" s="1">
        <v>9.1200000000000003E-2</v>
      </c>
      <c r="Q2019" s="1">
        <v>7.5300000000000006E-2</v>
      </c>
      <c r="R2019" s="1">
        <v>8.2500000000000004E-2</v>
      </c>
      <c r="S2019" s="1">
        <v>2.92E-2</v>
      </c>
      <c r="T2019" s="1">
        <v>5.5100000000000003E-2</v>
      </c>
    </row>
    <row r="2021" spans="1:21" ht="43.5">
      <c r="A2021" s="25" t="s">
        <v>662</v>
      </c>
    </row>
    <row r="2022" spans="1:21">
      <c r="A2022" s="25" t="s">
        <v>182</v>
      </c>
      <c r="B2022" t="s">
        <v>219</v>
      </c>
      <c r="C2022" t="s">
        <v>181</v>
      </c>
      <c r="D2022" t="s">
        <v>188</v>
      </c>
      <c r="E2022" t="s">
        <v>241</v>
      </c>
      <c r="F2022" t="s">
        <v>644</v>
      </c>
      <c r="G2022" t="s">
        <v>645</v>
      </c>
      <c r="H2022" t="s">
        <v>243</v>
      </c>
      <c r="I2022" t="s">
        <v>646</v>
      </c>
      <c r="J2022" t="s">
        <v>647</v>
      </c>
      <c r="K2022" t="s">
        <v>648</v>
      </c>
      <c r="L2022" t="s">
        <v>649</v>
      </c>
      <c r="M2022" t="s">
        <v>650</v>
      </c>
      <c r="N2022" t="s">
        <v>651</v>
      </c>
      <c r="O2022" t="s">
        <v>652</v>
      </c>
      <c r="P2022" t="s">
        <v>653</v>
      </c>
      <c r="Q2022" t="s">
        <v>654</v>
      </c>
      <c r="R2022" t="s">
        <v>655</v>
      </c>
      <c r="S2022" t="s">
        <v>656</v>
      </c>
      <c r="T2022" t="s">
        <v>657</v>
      </c>
    </row>
    <row r="2023" spans="1:21">
      <c r="A2023" s="25" t="s">
        <v>622</v>
      </c>
      <c r="B2023">
        <v>1642</v>
      </c>
      <c r="C2023" t="s">
        <v>189</v>
      </c>
      <c r="D2023">
        <v>4327</v>
      </c>
      <c r="E2023" s="1">
        <v>1.9E-3</v>
      </c>
      <c r="F2023" s="1">
        <v>0.11409999999999999</v>
      </c>
      <c r="G2023" s="1">
        <v>0.1171</v>
      </c>
      <c r="H2023" s="1">
        <v>4.0000000000000002E-4</v>
      </c>
      <c r="N2023" s="1">
        <v>2.0999999999999999E-3</v>
      </c>
      <c r="O2023" s="1">
        <v>2.01E-2</v>
      </c>
      <c r="P2023" s="1">
        <v>0.16850000000000001</v>
      </c>
      <c r="Q2023" s="1">
        <v>0.2109</v>
      </c>
      <c r="R2023" s="1">
        <v>0.2324</v>
      </c>
      <c r="S2023" s="1">
        <v>1.77E-2</v>
      </c>
      <c r="T2023" s="1">
        <v>0.11459999999999999</v>
      </c>
    </row>
    <row r="2024" spans="1:21">
      <c r="A2024" s="25" t="s">
        <v>623</v>
      </c>
      <c r="B2024">
        <v>168</v>
      </c>
      <c r="C2024" t="s">
        <v>189</v>
      </c>
      <c r="D2024">
        <v>4327</v>
      </c>
      <c r="F2024" s="1">
        <v>3.7199999999999997E-2</v>
      </c>
      <c r="H2024" s="1">
        <v>1.1000000000000001E-3</v>
      </c>
      <c r="S2024" s="1">
        <v>0.5897</v>
      </c>
      <c r="T2024" s="1">
        <v>0.37190000000000001</v>
      </c>
    </row>
    <row r="2025" spans="1:21">
      <c r="A2025" s="25" t="s">
        <v>624</v>
      </c>
      <c r="B2025">
        <v>412</v>
      </c>
      <c r="C2025" t="s">
        <v>189</v>
      </c>
      <c r="D2025">
        <v>4327</v>
      </c>
      <c r="I2025" s="1">
        <v>0.80359999999999998</v>
      </c>
      <c r="J2025" s="1">
        <v>0.1883</v>
      </c>
      <c r="K2025" s="1">
        <v>8.0999999999999996E-3</v>
      </c>
    </row>
    <row r="2026" spans="1:21">
      <c r="A2026" s="25" t="s">
        <v>625</v>
      </c>
      <c r="B2026">
        <v>2105</v>
      </c>
      <c r="C2026" t="s">
        <v>189</v>
      </c>
      <c r="D2026">
        <v>4327</v>
      </c>
      <c r="E2026" s="1">
        <v>1.1000000000000001E-3</v>
      </c>
      <c r="H2026" s="1">
        <v>5.9999999999999995E-4</v>
      </c>
      <c r="I2026" s="1">
        <v>8.8000000000000005E-3</v>
      </c>
      <c r="J2026" s="1">
        <v>0.1275</v>
      </c>
      <c r="K2026" s="1">
        <v>0.14899999999999999</v>
      </c>
      <c r="L2026" s="1">
        <v>0.17649999999999999</v>
      </c>
      <c r="M2026" s="1">
        <v>0.16239999999999999</v>
      </c>
      <c r="N2026" s="1">
        <v>0.1827</v>
      </c>
      <c r="O2026" s="1">
        <v>0.12709999999999999</v>
      </c>
      <c r="P2026" s="1">
        <v>6.3500000000000001E-2</v>
      </c>
      <c r="Q2026" s="1">
        <v>8.0000000000000004E-4</v>
      </c>
    </row>
    <row r="2027" spans="1:21">
      <c r="A2027" s="25" t="s">
        <v>192</v>
      </c>
      <c r="B2027">
        <v>4327</v>
      </c>
      <c r="C2027" t="s">
        <v>192</v>
      </c>
      <c r="D2027">
        <v>4327</v>
      </c>
      <c r="E2027" s="1">
        <v>1.1999999999999999E-3</v>
      </c>
      <c r="F2027" s="1">
        <v>4.19E-2</v>
      </c>
      <c r="G2027" s="1">
        <v>4.1599999999999998E-2</v>
      </c>
      <c r="H2027" s="1">
        <v>5.0000000000000001E-4</v>
      </c>
      <c r="I2027" s="1">
        <v>9.4E-2</v>
      </c>
      <c r="J2027" s="1">
        <v>8.4099999999999994E-2</v>
      </c>
      <c r="K2027" s="1">
        <v>7.46E-2</v>
      </c>
      <c r="L2027" s="1">
        <v>8.7300000000000003E-2</v>
      </c>
      <c r="M2027" s="1">
        <v>8.0299999999999996E-2</v>
      </c>
      <c r="N2027" s="1">
        <v>9.11E-2</v>
      </c>
      <c r="O2027" s="1">
        <v>7.0000000000000007E-2</v>
      </c>
      <c r="P2027" s="1">
        <v>9.1200000000000003E-2</v>
      </c>
      <c r="Q2027" s="1">
        <v>7.5300000000000006E-2</v>
      </c>
      <c r="R2027" s="1">
        <v>8.2500000000000004E-2</v>
      </c>
      <c r="S2027" s="1">
        <v>2.92E-2</v>
      </c>
      <c r="T2027" s="1">
        <v>5.5100000000000003E-2</v>
      </c>
    </row>
    <row r="2029" spans="1:21" ht="43.5">
      <c r="A2029" s="25" t="s">
        <v>663</v>
      </c>
    </row>
    <row r="2030" spans="1:21">
      <c r="A2030" s="25" t="s">
        <v>182</v>
      </c>
      <c r="B2030" t="s">
        <v>286</v>
      </c>
      <c r="C2030" t="s">
        <v>219</v>
      </c>
      <c r="D2030" t="s">
        <v>181</v>
      </c>
      <c r="E2030" t="s">
        <v>188</v>
      </c>
      <c r="F2030" t="s">
        <v>241</v>
      </c>
      <c r="G2030" t="s">
        <v>644</v>
      </c>
      <c r="H2030" t="s">
        <v>645</v>
      </c>
      <c r="I2030" t="s">
        <v>243</v>
      </c>
      <c r="J2030" t="s">
        <v>646</v>
      </c>
      <c r="K2030" t="s">
        <v>647</v>
      </c>
      <c r="L2030" t="s">
        <v>648</v>
      </c>
      <c r="M2030" t="s">
        <v>649</v>
      </c>
      <c r="N2030" t="s">
        <v>650</v>
      </c>
      <c r="O2030" t="s">
        <v>651</v>
      </c>
      <c r="P2030" t="s">
        <v>652</v>
      </c>
      <c r="Q2030" t="s">
        <v>653</v>
      </c>
      <c r="R2030" t="s">
        <v>654</v>
      </c>
      <c r="S2030" t="s">
        <v>655</v>
      </c>
      <c r="T2030" t="s">
        <v>656</v>
      </c>
      <c r="U2030" t="s">
        <v>657</v>
      </c>
    </row>
    <row r="2031" spans="1:21">
      <c r="A2031" s="25" t="s">
        <v>287</v>
      </c>
      <c r="B2031" t="s">
        <v>622</v>
      </c>
      <c r="C2031">
        <v>898</v>
      </c>
      <c r="D2031" t="s">
        <v>189</v>
      </c>
      <c r="E2031">
        <v>4327</v>
      </c>
      <c r="F2031" s="1">
        <v>3.3999999999999998E-3</v>
      </c>
      <c r="G2031" s="1">
        <v>0.1118</v>
      </c>
      <c r="H2031" s="1">
        <v>0.10059999999999999</v>
      </c>
      <c r="I2031" s="1">
        <v>8.0000000000000004E-4</v>
      </c>
      <c r="O2031" s="1">
        <v>1.5E-3</v>
      </c>
      <c r="P2031" s="1">
        <v>1.8700000000000001E-2</v>
      </c>
      <c r="Q2031" s="1">
        <v>0.1817</v>
      </c>
      <c r="R2031" s="1">
        <v>0.19670000000000001</v>
      </c>
      <c r="S2031" s="1">
        <v>0.25009999999999999</v>
      </c>
      <c r="T2031" s="1">
        <v>1.46E-2</v>
      </c>
      <c r="U2031" s="1">
        <v>0.12</v>
      </c>
    </row>
    <row r="2032" spans="1:21">
      <c r="A2032" s="25" t="s">
        <v>287</v>
      </c>
      <c r="B2032" t="s">
        <v>623</v>
      </c>
      <c r="C2032">
        <v>78</v>
      </c>
      <c r="D2032" t="s">
        <v>189</v>
      </c>
      <c r="E2032">
        <v>4327</v>
      </c>
      <c r="G2032" s="1">
        <v>2.01E-2</v>
      </c>
      <c r="I2032" s="1">
        <v>2.8999999999999998E-3</v>
      </c>
      <c r="T2032" s="1">
        <v>0.58550000000000002</v>
      </c>
      <c r="U2032" s="1">
        <v>0.39150000000000001</v>
      </c>
    </row>
    <row r="2033" spans="1:21">
      <c r="A2033" s="25" t="s">
        <v>287</v>
      </c>
      <c r="B2033" t="s">
        <v>624</v>
      </c>
      <c r="C2033">
        <v>211</v>
      </c>
      <c r="D2033" t="s">
        <v>189</v>
      </c>
      <c r="E2033">
        <v>4327</v>
      </c>
      <c r="J2033" s="1">
        <v>0.76529999999999998</v>
      </c>
      <c r="K2033" s="1">
        <v>0.23469999999999999</v>
      </c>
    </row>
    <row r="2034" spans="1:21">
      <c r="A2034" s="25" t="s">
        <v>287</v>
      </c>
      <c r="B2034" t="s">
        <v>625</v>
      </c>
      <c r="C2034">
        <v>1077</v>
      </c>
      <c r="D2034" t="s">
        <v>189</v>
      </c>
      <c r="E2034">
        <v>4327</v>
      </c>
      <c r="F2034" s="1">
        <v>2E-3</v>
      </c>
      <c r="I2034" s="1">
        <v>5.9999999999999995E-4</v>
      </c>
      <c r="J2034" s="1">
        <v>9.1999999999999998E-3</v>
      </c>
      <c r="K2034" s="1">
        <v>0.1245</v>
      </c>
      <c r="L2034" s="1">
        <v>0.13969999999999999</v>
      </c>
      <c r="M2034" s="1">
        <v>0.17630000000000001</v>
      </c>
      <c r="N2034" s="1">
        <v>0.1716</v>
      </c>
      <c r="O2034" s="1">
        <v>0.187</v>
      </c>
      <c r="P2034" s="1">
        <v>0.12859999999999999</v>
      </c>
      <c r="Q2034" s="1">
        <v>5.8999999999999997E-2</v>
      </c>
      <c r="R2034" s="1">
        <v>1.4E-3</v>
      </c>
    </row>
    <row r="2035" spans="1:21">
      <c r="A2035" s="25" t="s">
        <v>288</v>
      </c>
      <c r="B2035" t="s">
        <v>622</v>
      </c>
      <c r="C2035">
        <v>744</v>
      </c>
      <c r="D2035" t="s">
        <v>189</v>
      </c>
      <c r="E2035">
        <v>4327</v>
      </c>
      <c r="G2035" s="1">
        <v>0.1169</v>
      </c>
      <c r="H2035" s="1">
        <v>0.13830000000000001</v>
      </c>
      <c r="O2035" s="1">
        <v>2.8999999999999998E-3</v>
      </c>
      <c r="P2035" s="1">
        <v>2.1999999999999999E-2</v>
      </c>
      <c r="Q2035" s="1">
        <v>0.1517</v>
      </c>
      <c r="R2035" s="1">
        <v>0.22919999999999999</v>
      </c>
      <c r="S2035" s="1">
        <v>0.20960000000000001</v>
      </c>
      <c r="T2035" s="1">
        <v>2.1700000000000001E-2</v>
      </c>
      <c r="U2035" s="1">
        <v>0.1076</v>
      </c>
    </row>
    <row r="2036" spans="1:21">
      <c r="A2036" s="25" t="s">
        <v>288</v>
      </c>
      <c r="B2036" t="s">
        <v>623</v>
      </c>
      <c r="C2036">
        <v>90</v>
      </c>
      <c r="D2036" t="s">
        <v>189</v>
      </c>
      <c r="E2036">
        <v>4327</v>
      </c>
      <c r="G2036" s="1">
        <v>4.82E-2</v>
      </c>
      <c r="T2036" s="1">
        <v>0.59250000000000003</v>
      </c>
      <c r="U2036" s="1">
        <v>0.35930000000000001</v>
      </c>
    </row>
    <row r="2037" spans="1:21">
      <c r="A2037" s="25" t="s">
        <v>288</v>
      </c>
      <c r="B2037" t="s">
        <v>624</v>
      </c>
      <c r="C2037">
        <v>201</v>
      </c>
      <c r="D2037" t="s">
        <v>189</v>
      </c>
      <c r="E2037">
        <v>4327</v>
      </c>
      <c r="J2037" s="1">
        <v>0.84660000000000002</v>
      </c>
      <c r="K2037" s="1">
        <v>0.13619999999999999</v>
      </c>
      <c r="L2037" s="1">
        <v>1.72E-2</v>
      </c>
    </row>
    <row r="2038" spans="1:21">
      <c r="A2038" s="25" t="s">
        <v>288</v>
      </c>
      <c r="B2038" t="s">
        <v>625</v>
      </c>
      <c r="C2038">
        <v>1028</v>
      </c>
      <c r="D2038" t="s">
        <v>189</v>
      </c>
      <c r="E2038">
        <v>4327</v>
      </c>
      <c r="I2038" s="1">
        <v>5.9999999999999995E-4</v>
      </c>
      <c r="J2038" s="1">
        <v>8.3999999999999995E-3</v>
      </c>
      <c r="K2038" s="1">
        <v>0.1308</v>
      </c>
      <c r="L2038" s="1">
        <v>0.15939999999999999</v>
      </c>
      <c r="M2038" s="1">
        <v>0.17680000000000001</v>
      </c>
      <c r="N2038" s="1">
        <v>0.1522</v>
      </c>
      <c r="O2038" s="1">
        <v>0.1779</v>
      </c>
      <c r="P2038" s="1">
        <v>0.12540000000000001</v>
      </c>
      <c r="Q2038" s="1">
        <v>6.8400000000000002E-2</v>
      </c>
      <c r="R2038" s="1">
        <v>2.0000000000000001E-4</v>
      </c>
    </row>
    <row r="2039" spans="1:21">
      <c r="A2039" s="25" t="s">
        <v>192</v>
      </c>
      <c r="B2039" t="s">
        <v>192</v>
      </c>
      <c r="C2039">
        <v>4327</v>
      </c>
      <c r="D2039" t="s">
        <v>192</v>
      </c>
      <c r="E2039">
        <v>4327</v>
      </c>
      <c r="F2039" s="1">
        <v>1.1999999999999999E-3</v>
      </c>
      <c r="G2039" s="1">
        <v>4.19E-2</v>
      </c>
      <c r="H2039" s="1">
        <v>4.1599999999999998E-2</v>
      </c>
      <c r="I2039" s="1">
        <v>5.0000000000000001E-4</v>
      </c>
      <c r="J2039" s="1">
        <v>9.4E-2</v>
      </c>
      <c r="K2039" s="1">
        <v>8.4099999999999994E-2</v>
      </c>
      <c r="L2039" s="1">
        <v>7.46E-2</v>
      </c>
      <c r="M2039" s="1">
        <v>8.7300000000000003E-2</v>
      </c>
      <c r="N2039" s="1">
        <v>8.0299999999999996E-2</v>
      </c>
      <c r="O2039" s="1">
        <v>9.11E-2</v>
      </c>
      <c r="P2039" s="1">
        <v>7.0000000000000007E-2</v>
      </c>
      <c r="Q2039" s="1">
        <v>9.1200000000000003E-2</v>
      </c>
      <c r="R2039" s="1">
        <v>7.5300000000000006E-2</v>
      </c>
      <c r="S2039" s="1">
        <v>8.2500000000000004E-2</v>
      </c>
      <c r="T2039" s="1">
        <v>2.92E-2</v>
      </c>
      <c r="U2039" s="1">
        <v>5.5100000000000003E-2</v>
      </c>
    </row>
    <row r="2041" spans="1:21" ht="43.5">
      <c r="A2041" s="25" t="s">
        <v>664</v>
      </c>
    </row>
    <row r="2042" spans="1:21">
      <c r="A2042" s="25" t="s">
        <v>182</v>
      </c>
      <c r="B2042" t="s">
        <v>219</v>
      </c>
      <c r="C2042" t="s">
        <v>181</v>
      </c>
      <c r="D2042" t="s">
        <v>188</v>
      </c>
      <c r="E2042" t="s">
        <v>241</v>
      </c>
      <c r="F2042" t="s">
        <v>644</v>
      </c>
      <c r="G2042" t="s">
        <v>645</v>
      </c>
      <c r="H2042" t="s">
        <v>243</v>
      </c>
      <c r="I2042" t="s">
        <v>646</v>
      </c>
      <c r="J2042" t="s">
        <v>647</v>
      </c>
      <c r="K2042" t="s">
        <v>648</v>
      </c>
      <c r="L2042" t="s">
        <v>649</v>
      </c>
      <c r="M2042" t="s">
        <v>650</v>
      </c>
      <c r="N2042" t="s">
        <v>651</v>
      </c>
      <c r="O2042" t="s">
        <v>652</v>
      </c>
      <c r="P2042" t="s">
        <v>653</v>
      </c>
      <c r="Q2042" t="s">
        <v>654</v>
      </c>
      <c r="R2042" t="s">
        <v>655</v>
      </c>
      <c r="S2042" t="s">
        <v>656</v>
      </c>
      <c r="T2042" t="s">
        <v>657</v>
      </c>
    </row>
    <row r="2043" spans="1:21">
      <c r="A2043" s="25" t="s">
        <v>299</v>
      </c>
      <c r="B2043">
        <v>541</v>
      </c>
      <c r="C2043" t="s">
        <v>189</v>
      </c>
      <c r="D2043">
        <v>4327</v>
      </c>
      <c r="F2043" s="1">
        <v>6.1100000000000002E-2</v>
      </c>
      <c r="G2043" s="1">
        <v>4.9500000000000002E-2</v>
      </c>
      <c r="H2043" s="1">
        <v>4.0000000000000001E-3</v>
      </c>
      <c r="I2043" s="1">
        <v>7.1099999999999997E-2</v>
      </c>
      <c r="J2043" s="1">
        <v>7.5399999999999995E-2</v>
      </c>
      <c r="K2043" s="1">
        <v>6.54E-2</v>
      </c>
      <c r="L2043" s="1">
        <v>8.6900000000000005E-2</v>
      </c>
      <c r="M2043" s="1">
        <v>7.6700000000000004E-2</v>
      </c>
      <c r="N2043" s="1">
        <v>0.1046</v>
      </c>
      <c r="O2043" s="1">
        <v>7.8200000000000006E-2</v>
      </c>
      <c r="P2043" s="1">
        <v>7.3800000000000004E-2</v>
      </c>
      <c r="Q2043" s="1">
        <v>7.7200000000000005E-2</v>
      </c>
      <c r="R2043" s="1">
        <v>9.4500000000000001E-2</v>
      </c>
      <c r="S2043" s="1">
        <v>7.1000000000000004E-3</v>
      </c>
      <c r="T2043" s="1">
        <v>7.4700000000000003E-2</v>
      </c>
    </row>
    <row r="2044" spans="1:21">
      <c r="A2044" s="25" t="s">
        <v>300</v>
      </c>
      <c r="B2044">
        <v>3670</v>
      </c>
      <c r="C2044" t="s">
        <v>189</v>
      </c>
      <c r="D2044">
        <v>4327</v>
      </c>
      <c r="E2044" s="1">
        <v>1.4E-3</v>
      </c>
      <c r="F2044" s="1">
        <v>4.02E-2</v>
      </c>
      <c r="G2044" s="1">
        <v>4.1500000000000002E-2</v>
      </c>
      <c r="I2044" s="1">
        <v>0.1003</v>
      </c>
      <c r="J2044" s="1">
        <v>8.7800000000000003E-2</v>
      </c>
      <c r="K2044" s="1">
        <v>7.8399999999999997E-2</v>
      </c>
      <c r="L2044" s="1">
        <v>9.01E-2</v>
      </c>
      <c r="M2044" s="1">
        <v>8.3199999999999996E-2</v>
      </c>
      <c r="N2044" s="1">
        <v>9.2200000000000004E-2</v>
      </c>
      <c r="O2044" s="1">
        <v>7.1199999999999999E-2</v>
      </c>
      <c r="P2044" s="1">
        <v>9.5100000000000004E-2</v>
      </c>
      <c r="Q2044" s="1">
        <v>7.6700000000000004E-2</v>
      </c>
      <c r="R2044" s="1">
        <v>8.3500000000000005E-2</v>
      </c>
      <c r="S2044" s="1">
        <v>1.49E-2</v>
      </c>
      <c r="T2044" s="1">
        <v>4.3499999999999997E-2</v>
      </c>
    </row>
    <row r="2045" spans="1:21">
      <c r="A2045" s="25" t="s">
        <v>301</v>
      </c>
      <c r="B2045">
        <v>25</v>
      </c>
      <c r="C2045" t="s">
        <v>189</v>
      </c>
      <c r="D2045">
        <v>4327</v>
      </c>
      <c r="F2045" s="1">
        <v>1.0699999999999999E-2</v>
      </c>
      <c r="G2045" s="1">
        <v>0.1016</v>
      </c>
      <c r="J2045" s="1">
        <v>5.8400000000000001E-2</v>
      </c>
      <c r="L2045" s="1">
        <v>6.4000000000000001E-2</v>
      </c>
      <c r="M2045" s="1">
        <v>8.6300000000000002E-2</v>
      </c>
      <c r="N2045" s="1">
        <v>4.7800000000000002E-2</v>
      </c>
      <c r="O2045" s="1">
        <v>3.61E-2</v>
      </c>
      <c r="P2045" s="1">
        <v>0.33300000000000002</v>
      </c>
      <c r="Q2045" s="1">
        <v>0.1978</v>
      </c>
      <c r="R2045" s="1">
        <v>4.5999999999999999E-2</v>
      </c>
      <c r="T2045" s="1">
        <v>1.84E-2</v>
      </c>
    </row>
    <row r="2046" spans="1:21">
      <c r="A2046" s="25" t="s">
        <v>302</v>
      </c>
      <c r="B2046">
        <v>91</v>
      </c>
      <c r="C2046" t="s">
        <v>189</v>
      </c>
      <c r="D2046">
        <v>4327</v>
      </c>
      <c r="F2046" s="1">
        <v>1.9800000000000002E-2</v>
      </c>
      <c r="H2046" s="1">
        <v>1.8E-3</v>
      </c>
      <c r="S2046" s="1">
        <v>0.61399999999999999</v>
      </c>
      <c r="T2046" s="1">
        <v>0.36449999999999999</v>
      </c>
    </row>
    <row r="2047" spans="1:21">
      <c r="A2047" s="25" t="s">
        <v>192</v>
      </c>
      <c r="B2047">
        <v>4327</v>
      </c>
      <c r="C2047" t="s">
        <v>192</v>
      </c>
      <c r="D2047">
        <v>4327</v>
      </c>
      <c r="E2047" s="1">
        <v>1.1999999999999999E-3</v>
      </c>
      <c r="F2047" s="1">
        <v>4.19E-2</v>
      </c>
      <c r="G2047" s="1">
        <v>4.1599999999999998E-2</v>
      </c>
      <c r="H2047" s="1">
        <v>5.0000000000000001E-4</v>
      </c>
      <c r="I2047" s="1">
        <v>9.4E-2</v>
      </c>
      <c r="J2047" s="1">
        <v>8.4099999999999994E-2</v>
      </c>
      <c r="K2047" s="1">
        <v>7.46E-2</v>
      </c>
      <c r="L2047" s="1">
        <v>8.7300000000000003E-2</v>
      </c>
      <c r="M2047" s="1">
        <v>8.0299999999999996E-2</v>
      </c>
      <c r="N2047" s="1">
        <v>9.11E-2</v>
      </c>
      <c r="O2047" s="1">
        <v>7.0000000000000007E-2</v>
      </c>
      <c r="P2047" s="1">
        <v>9.1200000000000003E-2</v>
      </c>
      <c r="Q2047" s="1">
        <v>7.5300000000000006E-2</v>
      </c>
      <c r="R2047" s="1">
        <v>8.2500000000000004E-2</v>
      </c>
      <c r="S2047" s="1">
        <v>2.92E-2</v>
      </c>
      <c r="T2047" s="1">
        <v>5.5100000000000003E-2</v>
      </c>
    </row>
    <row r="2049" spans="1:20" ht="43.5">
      <c r="A2049" s="25" t="s">
        <v>665</v>
      </c>
    </row>
    <row r="2050" spans="1:20">
      <c r="A2050" s="25" t="s">
        <v>182</v>
      </c>
      <c r="B2050" t="s">
        <v>219</v>
      </c>
      <c r="C2050" t="s">
        <v>181</v>
      </c>
      <c r="D2050" t="s">
        <v>188</v>
      </c>
      <c r="E2050" t="s">
        <v>241</v>
      </c>
      <c r="F2050" t="s">
        <v>644</v>
      </c>
      <c r="G2050" t="s">
        <v>645</v>
      </c>
      <c r="H2050" t="s">
        <v>243</v>
      </c>
      <c r="I2050" t="s">
        <v>646</v>
      </c>
      <c r="J2050" t="s">
        <v>647</v>
      </c>
      <c r="K2050" t="s">
        <v>648</v>
      </c>
      <c r="L2050" t="s">
        <v>649</v>
      </c>
      <c r="M2050" t="s">
        <v>650</v>
      </c>
      <c r="N2050" t="s">
        <v>651</v>
      </c>
      <c r="O2050" t="s">
        <v>652</v>
      </c>
      <c r="P2050" t="s">
        <v>653</v>
      </c>
      <c r="Q2050" t="s">
        <v>654</v>
      </c>
      <c r="R2050" t="s">
        <v>655</v>
      </c>
      <c r="S2050" t="s">
        <v>656</v>
      </c>
      <c r="T2050" t="s">
        <v>657</v>
      </c>
    </row>
    <row r="2051" spans="1:20">
      <c r="A2051" s="25" t="s">
        <v>347</v>
      </c>
      <c r="B2051">
        <v>1403</v>
      </c>
      <c r="C2051" t="s">
        <v>189</v>
      </c>
      <c r="D2051">
        <v>4327</v>
      </c>
      <c r="E2051" s="1">
        <v>5.9999999999999995E-4</v>
      </c>
      <c r="F2051" s="1">
        <v>4.8899999999999999E-2</v>
      </c>
      <c r="G2051" s="1">
        <v>4.2700000000000002E-2</v>
      </c>
      <c r="I2051" s="1">
        <v>7.0900000000000005E-2</v>
      </c>
      <c r="J2051" s="1">
        <v>0.1003</v>
      </c>
      <c r="K2051" s="1">
        <v>6.1199999999999997E-2</v>
      </c>
      <c r="L2051" s="1">
        <v>0.106</v>
      </c>
      <c r="M2051" s="1">
        <v>7.6799999999999993E-2</v>
      </c>
      <c r="N2051" s="1">
        <v>8.2799999999999999E-2</v>
      </c>
      <c r="O2051" s="1">
        <v>7.1300000000000002E-2</v>
      </c>
      <c r="P2051" s="1">
        <v>7.6600000000000001E-2</v>
      </c>
      <c r="Q2051" s="1">
        <v>8.0699999999999994E-2</v>
      </c>
      <c r="R2051" s="1">
        <v>9.4399999999999998E-2</v>
      </c>
      <c r="S2051" s="1">
        <v>1.49E-2</v>
      </c>
      <c r="T2051" s="1">
        <v>7.1900000000000006E-2</v>
      </c>
    </row>
    <row r="2052" spans="1:20">
      <c r="A2052" s="25" t="s">
        <v>348</v>
      </c>
      <c r="B2052">
        <v>922</v>
      </c>
      <c r="C2052" t="s">
        <v>189</v>
      </c>
      <c r="D2052">
        <v>4327</v>
      </c>
      <c r="F2052" s="1">
        <v>4.3099999999999999E-2</v>
      </c>
      <c r="G2052" s="1">
        <v>3.3500000000000002E-2</v>
      </c>
      <c r="H2052" s="1">
        <v>2.0000000000000001E-4</v>
      </c>
      <c r="I2052" s="1">
        <v>0.1031</v>
      </c>
      <c r="J2052" s="1">
        <v>7.8E-2</v>
      </c>
      <c r="K2052" s="1">
        <v>8.8700000000000001E-2</v>
      </c>
      <c r="L2052" s="1">
        <v>8.8999999999999996E-2</v>
      </c>
      <c r="M2052" s="1">
        <v>6.4299999999999996E-2</v>
      </c>
      <c r="N2052" s="1">
        <v>0.11219999999999999</v>
      </c>
      <c r="O2052" s="1">
        <v>7.1999999999999995E-2</v>
      </c>
      <c r="P2052" s="1">
        <v>8.5999999999999993E-2</v>
      </c>
      <c r="Q2052" s="1">
        <v>8.4699999999999998E-2</v>
      </c>
      <c r="R2052" s="1">
        <v>7.4499999999999997E-2</v>
      </c>
      <c r="S2052" s="1">
        <v>2.41E-2</v>
      </c>
      <c r="T2052" s="1">
        <v>4.6699999999999998E-2</v>
      </c>
    </row>
    <row r="2053" spans="1:20">
      <c r="A2053" s="25" t="s">
        <v>349</v>
      </c>
      <c r="B2053">
        <v>929</v>
      </c>
      <c r="C2053" t="s">
        <v>189</v>
      </c>
      <c r="D2053">
        <v>4327</v>
      </c>
      <c r="F2053" s="1">
        <v>4.4699999999999997E-2</v>
      </c>
      <c r="G2053" s="1">
        <v>3.2000000000000001E-2</v>
      </c>
      <c r="I2053" s="1">
        <v>7.9600000000000004E-2</v>
      </c>
      <c r="J2053" s="1">
        <v>8.9399999999999993E-2</v>
      </c>
      <c r="K2053" s="1">
        <v>8.3000000000000004E-2</v>
      </c>
      <c r="L2053" s="1">
        <v>8.6999999999999994E-2</v>
      </c>
      <c r="M2053" s="1">
        <v>7.3099999999999998E-2</v>
      </c>
      <c r="N2053" s="1">
        <v>9.8799999999999999E-2</v>
      </c>
      <c r="O2053" s="1">
        <v>7.4300000000000005E-2</v>
      </c>
      <c r="P2053" s="1">
        <v>0.1166</v>
      </c>
      <c r="Q2053" s="1">
        <v>7.0599999999999996E-2</v>
      </c>
      <c r="R2053" s="1">
        <v>6.5500000000000003E-2</v>
      </c>
      <c r="S2053" s="1">
        <v>3.6400000000000002E-2</v>
      </c>
      <c r="T2053" s="1">
        <v>4.87E-2</v>
      </c>
    </row>
    <row r="2054" spans="1:20">
      <c r="A2054" s="25" t="s">
        <v>350</v>
      </c>
      <c r="B2054">
        <v>624</v>
      </c>
      <c r="C2054" t="s">
        <v>189</v>
      </c>
      <c r="D2054">
        <v>4327</v>
      </c>
      <c r="F2054" s="1">
        <v>2.4500000000000001E-2</v>
      </c>
      <c r="G2054" s="1">
        <v>4.7899999999999998E-2</v>
      </c>
      <c r="I2054" s="1">
        <v>0.1114</v>
      </c>
      <c r="J2054" s="1">
        <v>6.0199999999999997E-2</v>
      </c>
      <c r="K2054" s="1">
        <v>7.4999999999999997E-2</v>
      </c>
      <c r="L2054" s="1">
        <v>7.6399999999999996E-2</v>
      </c>
      <c r="M2054" s="1">
        <v>0.1124</v>
      </c>
      <c r="N2054" s="1">
        <v>8.4199999999999997E-2</v>
      </c>
      <c r="O2054" s="1">
        <v>5.21E-2</v>
      </c>
      <c r="P2054" s="1">
        <v>9.7100000000000006E-2</v>
      </c>
      <c r="Q2054" s="1">
        <v>6.5699999999999995E-2</v>
      </c>
      <c r="R2054" s="1">
        <v>9.5399999999999999E-2</v>
      </c>
      <c r="S2054" s="1">
        <v>3.2500000000000001E-2</v>
      </c>
      <c r="T2054" s="1">
        <v>6.5199999999999994E-2</v>
      </c>
    </row>
    <row r="2055" spans="1:20">
      <c r="A2055" s="25" t="s">
        <v>192</v>
      </c>
      <c r="B2055">
        <v>4327</v>
      </c>
      <c r="C2055" t="s">
        <v>192</v>
      </c>
      <c r="D2055">
        <v>4327</v>
      </c>
      <c r="E2055" s="1">
        <v>1.1999999999999999E-3</v>
      </c>
      <c r="F2055" s="1">
        <v>4.19E-2</v>
      </c>
      <c r="G2055" s="1">
        <v>4.1599999999999998E-2</v>
      </c>
      <c r="H2055" s="1">
        <v>5.0000000000000001E-4</v>
      </c>
      <c r="I2055" s="1">
        <v>9.4E-2</v>
      </c>
      <c r="J2055" s="1">
        <v>8.4099999999999994E-2</v>
      </c>
      <c r="K2055" s="1">
        <v>7.46E-2</v>
      </c>
      <c r="L2055" s="1">
        <v>8.7300000000000003E-2</v>
      </c>
      <c r="M2055" s="1">
        <v>8.0299999999999996E-2</v>
      </c>
      <c r="N2055" s="1">
        <v>9.11E-2</v>
      </c>
      <c r="O2055" s="1">
        <v>7.0000000000000007E-2</v>
      </c>
      <c r="P2055" s="1">
        <v>9.1200000000000003E-2</v>
      </c>
      <c r="Q2055" s="1">
        <v>7.5300000000000006E-2</v>
      </c>
      <c r="R2055" s="1">
        <v>8.2500000000000004E-2</v>
      </c>
      <c r="S2055" s="1">
        <v>2.92E-2</v>
      </c>
      <c r="T2055" s="1">
        <v>5.5100000000000003E-2</v>
      </c>
    </row>
    <row r="2057" spans="1:20" ht="43.5">
      <c r="A2057" s="25" t="s">
        <v>666</v>
      </c>
    </row>
    <row r="2058" spans="1:20">
      <c r="A2058" s="25" t="s">
        <v>182</v>
      </c>
      <c r="B2058" t="s">
        <v>219</v>
      </c>
      <c r="C2058" t="s">
        <v>181</v>
      </c>
      <c r="D2058" t="s">
        <v>188</v>
      </c>
      <c r="E2058" t="s">
        <v>241</v>
      </c>
      <c r="F2058" t="s">
        <v>644</v>
      </c>
      <c r="G2058" t="s">
        <v>645</v>
      </c>
      <c r="H2058" t="s">
        <v>243</v>
      </c>
      <c r="I2058" t="s">
        <v>646</v>
      </c>
      <c r="J2058" t="s">
        <v>647</v>
      </c>
      <c r="K2058" t="s">
        <v>648</v>
      </c>
      <c r="L2058" t="s">
        <v>649</v>
      </c>
      <c r="M2058" t="s">
        <v>650</v>
      </c>
      <c r="N2058" t="s">
        <v>651</v>
      </c>
      <c r="O2058" t="s">
        <v>652</v>
      </c>
      <c r="P2058" t="s">
        <v>653</v>
      </c>
      <c r="Q2058" t="s">
        <v>654</v>
      </c>
      <c r="R2058" t="s">
        <v>655</v>
      </c>
      <c r="S2058" t="s">
        <v>656</v>
      </c>
      <c r="T2058" t="s">
        <v>657</v>
      </c>
    </row>
    <row r="2059" spans="1:20">
      <c r="A2059" s="25" t="s">
        <v>211</v>
      </c>
      <c r="B2059">
        <v>2501</v>
      </c>
      <c r="C2059" t="s">
        <v>189</v>
      </c>
      <c r="D2059">
        <v>4327</v>
      </c>
      <c r="E2059" s="1">
        <v>1.9E-3</v>
      </c>
      <c r="F2059" s="1">
        <v>4.1799999999999997E-2</v>
      </c>
      <c r="G2059" s="1">
        <v>4.2299999999999997E-2</v>
      </c>
      <c r="I2059" s="1">
        <v>9.5000000000000001E-2</v>
      </c>
      <c r="J2059" s="1">
        <v>8.4900000000000003E-2</v>
      </c>
      <c r="K2059" s="1">
        <v>7.85E-2</v>
      </c>
      <c r="L2059" s="1">
        <v>8.9899999999999994E-2</v>
      </c>
      <c r="M2059" s="1">
        <v>8.0199999999999994E-2</v>
      </c>
      <c r="N2059" s="1">
        <v>9.0200000000000002E-2</v>
      </c>
      <c r="O2059" s="1">
        <v>6.6500000000000004E-2</v>
      </c>
      <c r="P2059" s="1">
        <v>9.5299999999999996E-2</v>
      </c>
      <c r="Q2059" s="1">
        <v>7.8600000000000003E-2</v>
      </c>
      <c r="R2059" s="1">
        <v>6.9699999999999998E-2</v>
      </c>
      <c r="S2059" s="1">
        <v>2.7E-2</v>
      </c>
      <c r="T2059" s="1">
        <v>5.8400000000000001E-2</v>
      </c>
    </row>
    <row r="2060" spans="1:20">
      <c r="A2060" s="25" t="s">
        <v>212</v>
      </c>
      <c r="B2060">
        <v>1217</v>
      </c>
      <c r="C2060" t="s">
        <v>189</v>
      </c>
      <c r="D2060">
        <v>4327</v>
      </c>
      <c r="F2060" s="1">
        <v>5.16E-2</v>
      </c>
      <c r="G2060" s="1">
        <v>4.4400000000000002E-2</v>
      </c>
      <c r="H2060" s="1">
        <v>2E-3</v>
      </c>
      <c r="I2060" s="1">
        <v>7.1900000000000006E-2</v>
      </c>
      <c r="J2060" s="1">
        <v>6.7100000000000007E-2</v>
      </c>
      <c r="K2060" s="1">
        <v>5.9799999999999999E-2</v>
      </c>
      <c r="L2060" s="1">
        <v>7.9799999999999996E-2</v>
      </c>
      <c r="M2060" s="1">
        <v>7.5999999999999998E-2</v>
      </c>
      <c r="N2060" s="1">
        <v>9.9099999999999994E-2</v>
      </c>
      <c r="O2060" s="1">
        <v>6.4000000000000001E-2</v>
      </c>
      <c r="P2060" s="1">
        <v>9.4700000000000006E-2</v>
      </c>
      <c r="Q2060" s="1">
        <v>6.9800000000000001E-2</v>
      </c>
      <c r="R2060" s="1">
        <v>0.11609999999999999</v>
      </c>
      <c r="S2060" s="1">
        <v>3.5299999999999998E-2</v>
      </c>
      <c r="T2060" s="1">
        <v>6.8500000000000005E-2</v>
      </c>
    </row>
    <row r="2061" spans="1:20">
      <c r="A2061" s="25" t="s">
        <v>213</v>
      </c>
      <c r="B2061">
        <v>609</v>
      </c>
      <c r="C2061" t="s">
        <v>189</v>
      </c>
      <c r="D2061">
        <v>4327</v>
      </c>
      <c r="E2061" s="1">
        <v>8.9999999999999998E-4</v>
      </c>
      <c r="F2061" s="1">
        <v>2.7900000000000001E-2</v>
      </c>
      <c r="G2061" s="1">
        <v>3.49E-2</v>
      </c>
      <c r="I2061" s="1">
        <v>0.1239</v>
      </c>
      <c r="J2061" s="1">
        <v>0.1066</v>
      </c>
      <c r="K2061" s="1">
        <v>8.3599999999999994E-2</v>
      </c>
      <c r="L2061" s="1">
        <v>8.9899999999999994E-2</v>
      </c>
      <c r="M2061" s="1">
        <v>8.7099999999999997E-2</v>
      </c>
      <c r="N2061" s="1">
        <v>8.2500000000000004E-2</v>
      </c>
      <c r="O2061" s="1">
        <v>9.11E-2</v>
      </c>
      <c r="P2061" s="1">
        <v>7.22E-2</v>
      </c>
      <c r="Q2061" s="1">
        <v>7.2599999999999998E-2</v>
      </c>
      <c r="R2061" s="1">
        <v>7.5700000000000003E-2</v>
      </c>
      <c r="S2061" s="1">
        <v>2.7199999999999998E-2</v>
      </c>
      <c r="T2061" s="1">
        <v>2.41E-2</v>
      </c>
    </row>
    <row r="2062" spans="1:20">
      <c r="A2062" s="25" t="s">
        <v>192</v>
      </c>
      <c r="B2062">
        <v>4327</v>
      </c>
      <c r="C2062" t="s">
        <v>192</v>
      </c>
      <c r="D2062">
        <v>4327</v>
      </c>
      <c r="E2062" s="1">
        <v>1.1999999999999999E-3</v>
      </c>
      <c r="F2062" s="1">
        <v>4.19E-2</v>
      </c>
      <c r="G2062" s="1">
        <v>4.1599999999999998E-2</v>
      </c>
      <c r="H2062" s="1">
        <v>5.0000000000000001E-4</v>
      </c>
      <c r="I2062" s="1">
        <v>9.4E-2</v>
      </c>
      <c r="J2062" s="1">
        <v>8.4099999999999994E-2</v>
      </c>
      <c r="K2062" s="1">
        <v>7.46E-2</v>
      </c>
      <c r="L2062" s="1">
        <v>8.7300000000000003E-2</v>
      </c>
      <c r="M2062" s="1">
        <v>8.0299999999999996E-2</v>
      </c>
      <c r="N2062" s="1">
        <v>9.11E-2</v>
      </c>
      <c r="O2062" s="1">
        <v>7.0000000000000007E-2</v>
      </c>
      <c r="P2062" s="1">
        <v>9.1200000000000003E-2</v>
      </c>
      <c r="Q2062" s="1">
        <v>7.5300000000000006E-2</v>
      </c>
      <c r="R2062" s="1">
        <v>8.2500000000000004E-2</v>
      </c>
      <c r="S2062" s="1">
        <v>2.92E-2</v>
      </c>
      <c r="T2062" s="1">
        <v>5.5100000000000003E-2</v>
      </c>
    </row>
    <row r="2064" spans="1:20" ht="43.5">
      <c r="A2064" s="25" t="s">
        <v>667</v>
      </c>
    </row>
    <row r="2065" spans="1:23">
      <c r="A2065" s="25" t="s">
        <v>182</v>
      </c>
      <c r="B2065" t="s">
        <v>219</v>
      </c>
      <c r="C2065" t="s">
        <v>181</v>
      </c>
      <c r="D2065" t="s">
        <v>188</v>
      </c>
      <c r="E2065" t="s">
        <v>668</v>
      </c>
      <c r="F2065" t="s">
        <v>669</v>
      </c>
      <c r="G2065" t="s">
        <v>241</v>
      </c>
      <c r="H2065" t="s">
        <v>670</v>
      </c>
      <c r="I2065" t="s">
        <v>671</v>
      </c>
      <c r="J2065" t="s">
        <v>672</v>
      </c>
      <c r="K2065" t="s">
        <v>673</v>
      </c>
      <c r="L2065" t="s">
        <v>674</v>
      </c>
      <c r="M2065" t="s">
        <v>675</v>
      </c>
      <c r="N2065" t="s">
        <v>269</v>
      </c>
      <c r="O2065" t="s">
        <v>676</v>
      </c>
      <c r="P2065" t="s">
        <v>677</v>
      </c>
      <c r="Q2065" t="s">
        <v>678</v>
      </c>
      <c r="R2065" t="s">
        <v>679</v>
      </c>
      <c r="S2065" t="s">
        <v>680</v>
      </c>
      <c r="T2065" t="s">
        <v>681</v>
      </c>
      <c r="U2065" t="s">
        <v>682</v>
      </c>
      <c r="V2065" t="s">
        <v>683</v>
      </c>
      <c r="W2065" t="s">
        <v>684</v>
      </c>
    </row>
    <row r="2066" spans="1:23">
      <c r="A2066" s="25" t="s">
        <v>190</v>
      </c>
      <c r="B2066">
        <v>132</v>
      </c>
      <c r="C2066" t="s">
        <v>189</v>
      </c>
      <c r="D2066">
        <v>254</v>
      </c>
      <c r="E2066" s="1">
        <v>2.1499999999999998E-2</v>
      </c>
      <c r="G2066" s="1">
        <v>3.2899999999999999E-2</v>
      </c>
      <c r="H2066" s="1">
        <v>0.19209999999999999</v>
      </c>
      <c r="I2066" s="1">
        <v>2.7000000000000001E-3</v>
      </c>
      <c r="J2066" s="1">
        <v>3.5000000000000001E-3</v>
      </c>
      <c r="L2066" s="1">
        <v>4.3799999999999999E-2</v>
      </c>
      <c r="O2066" s="1">
        <v>1.34E-2</v>
      </c>
      <c r="P2066" s="1">
        <v>6.2700000000000006E-2</v>
      </c>
      <c r="Q2066" s="1">
        <v>0.52200000000000002</v>
      </c>
      <c r="R2066" s="1">
        <v>0.12130000000000001</v>
      </c>
      <c r="S2066" s="1">
        <v>3.0999999999999999E-3</v>
      </c>
      <c r="T2066" s="1">
        <v>2.2200000000000001E-2</v>
      </c>
      <c r="V2066" s="1">
        <v>2.1899999999999999E-2</v>
      </c>
      <c r="W2066" s="1">
        <v>5.0000000000000001E-4</v>
      </c>
    </row>
    <row r="2067" spans="1:23">
      <c r="A2067" s="25" t="s">
        <v>191</v>
      </c>
      <c r="B2067">
        <v>118</v>
      </c>
      <c r="C2067" t="s">
        <v>189</v>
      </c>
      <c r="D2067">
        <v>254</v>
      </c>
      <c r="E2067" s="1">
        <v>9.1700000000000004E-2</v>
      </c>
      <c r="F2067" s="1">
        <v>1.5900000000000001E-2</v>
      </c>
      <c r="G2067" s="1">
        <v>7.7000000000000002E-3</v>
      </c>
      <c r="H2067" s="1">
        <v>0.10539999999999999</v>
      </c>
      <c r="K2067" s="1">
        <v>1.5900000000000001E-2</v>
      </c>
      <c r="L2067" s="1">
        <v>7.2599999999999998E-2</v>
      </c>
      <c r="M2067" s="1">
        <v>1.1999999999999999E-3</v>
      </c>
      <c r="N2067" s="1">
        <v>6.6199999999999995E-2</v>
      </c>
      <c r="P2067" s="1">
        <v>0.1547</v>
      </c>
      <c r="Q2067" s="1">
        <v>0.36220000000000002</v>
      </c>
      <c r="R2067" s="1">
        <v>0.14430000000000001</v>
      </c>
      <c r="S2067" s="1">
        <v>3.1699999999999999E-2</v>
      </c>
      <c r="T2067" s="1">
        <v>6.0000000000000001E-3</v>
      </c>
      <c r="U2067" s="1">
        <v>1.5900000000000001E-2</v>
      </c>
      <c r="V2067" s="1">
        <v>7.5200000000000003E-2</v>
      </c>
      <c r="W2067" s="1">
        <v>1.9400000000000001E-2</v>
      </c>
    </row>
    <row r="2068" spans="1:23">
      <c r="A2068" s="25" t="s">
        <v>192</v>
      </c>
      <c r="B2068">
        <v>254</v>
      </c>
      <c r="C2068" t="s">
        <v>192</v>
      </c>
      <c r="D2068">
        <v>254</v>
      </c>
      <c r="E2068" s="1">
        <v>5.8599999999999999E-2</v>
      </c>
      <c r="F2068" s="1">
        <v>8.3999999999999995E-3</v>
      </c>
      <c r="G2068" s="1">
        <v>1.9400000000000001E-2</v>
      </c>
      <c r="H2068" s="1">
        <v>0.14649999999999999</v>
      </c>
      <c r="I2068" s="1">
        <v>1.2999999999999999E-3</v>
      </c>
      <c r="J2068" s="1">
        <v>1.6000000000000001E-3</v>
      </c>
      <c r="K2068" s="1">
        <v>8.3999999999999995E-3</v>
      </c>
      <c r="L2068" s="1">
        <v>6.1699999999999998E-2</v>
      </c>
      <c r="M2068" s="1">
        <v>5.9999999999999995E-4</v>
      </c>
      <c r="N2068" s="1">
        <v>3.5099999999999999E-2</v>
      </c>
      <c r="O2068" s="1">
        <v>6.1999999999999998E-3</v>
      </c>
      <c r="P2068" s="1">
        <v>0.11119999999999999</v>
      </c>
      <c r="Q2068" s="1">
        <v>0.43569999999999998</v>
      </c>
      <c r="R2068" s="1">
        <v>0.1328</v>
      </c>
      <c r="S2068" s="1">
        <v>1.8200000000000001E-2</v>
      </c>
      <c r="T2068" s="1">
        <v>1.34E-2</v>
      </c>
      <c r="U2068" s="1">
        <v>8.3999999999999995E-3</v>
      </c>
      <c r="V2068" s="1">
        <v>5.0099999999999999E-2</v>
      </c>
      <c r="W2068" s="1">
        <v>1.0500000000000001E-2</v>
      </c>
    </row>
    <row r="2070" spans="1:23" ht="43.5">
      <c r="A2070" s="25" t="s">
        <v>685</v>
      </c>
    </row>
    <row r="2071" spans="1:23">
      <c r="A2071" s="25" t="s">
        <v>182</v>
      </c>
      <c r="B2071" t="s">
        <v>219</v>
      </c>
      <c r="C2071" t="s">
        <v>181</v>
      </c>
      <c r="D2071" t="s">
        <v>188</v>
      </c>
      <c r="E2071" t="s">
        <v>668</v>
      </c>
      <c r="F2071" t="s">
        <v>669</v>
      </c>
      <c r="G2071" t="s">
        <v>241</v>
      </c>
      <c r="H2071" t="s">
        <v>670</v>
      </c>
      <c r="I2071" t="s">
        <v>671</v>
      </c>
      <c r="J2071" t="s">
        <v>672</v>
      </c>
      <c r="K2071" t="s">
        <v>673</v>
      </c>
      <c r="L2071" t="s">
        <v>674</v>
      </c>
      <c r="M2071" t="s">
        <v>675</v>
      </c>
      <c r="N2071" t="s">
        <v>269</v>
      </c>
      <c r="O2071" t="s">
        <v>676</v>
      </c>
      <c r="P2071" t="s">
        <v>677</v>
      </c>
      <c r="Q2071" t="s">
        <v>678</v>
      </c>
      <c r="R2071" t="s">
        <v>679</v>
      </c>
      <c r="S2071" t="s">
        <v>680</v>
      </c>
      <c r="T2071" t="s">
        <v>681</v>
      </c>
      <c r="U2071" t="s">
        <v>682</v>
      </c>
      <c r="V2071" t="s">
        <v>683</v>
      </c>
      <c r="W2071" t="s">
        <v>684</v>
      </c>
    </row>
    <row r="2072" spans="1:23" ht="29.1">
      <c r="A2072" s="25" t="s">
        <v>194</v>
      </c>
      <c r="B2072">
        <v>94</v>
      </c>
      <c r="C2072" t="s">
        <v>189</v>
      </c>
      <c r="D2072">
        <v>254</v>
      </c>
      <c r="E2072" s="1">
        <v>5.9799999999999999E-2</v>
      </c>
      <c r="F2072" s="1">
        <v>1.61E-2</v>
      </c>
      <c r="G2072" s="1">
        <v>3.1600000000000003E-2</v>
      </c>
      <c r="H2072" s="1">
        <v>0.1007</v>
      </c>
      <c r="K2072" s="1">
        <v>1.61E-2</v>
      </c>
      <c r="L2072" s="1">
        <v>2.3E-3</v>
      </c>
      <c r="N2072" s="1">
        <v>5.0799999999999998E-2</v>
      </c>
      <c r="O2072" s="1">
        <v>1.18E-2</v>
      </c>
      <c r="P2072" s="1">
        <v>2.6100000000000002E-2</v>
      </c>
      <c r="Q2072" s="1">
        <v>0.4894</v>
      </c>
      <c r="R2072" s="1">
        <v>0.13300000000000001</v>
      </c>
      <c r="T2072" s="1">
        <v>1.8800000000000001E-2</v>
      </c>
      <c r="U2072" s="1">
        <v>1.61E-2</v>
      </c>
      <c r="V2072" s="1">
        <v>6.1400000000000003E-2</v>
      </c>
      <c r="W2072" s="1">
        <v>1.9599999999999999E-2</v>
      </c>
    </row>
    <row r="2073" spans="1:23" ht="29.1">
      <c r="A2073" s="25" t="s">
        <v>195</v>
      </c>
      <c r="B2073">
        <v>85</v>
      </c>
      <c r="C2073" t="s">
        <v>189</v>
      </c>
      <c r="D2073">
        <v>254</v>
      </c>
      <c r="E2073" s="1">
        <v>3.8899999999999997E-2</v>
      </c>
      <c r="G2073" s="1">
        <v>1.0500000000000001E-2</v>
      </c>
      <c r="H2073" s="1">
        <v>7.5399999999999995E-2</v>
      </c>
      <c r="I2073" s="1">
        <v>4.7000000000000002E-3</v>
      </c>
      <c r="J2073" s="1">
        <v>5.3E-3</v>
      </c>
      <c r="L2073" s="1">
        <v>4.2000000000000003E-2</v>
      </c>
      <c r="M2073" s="1">
        <v>2.3999999999999998E-3</v>
      </c>
      <c r="N2073" s="1">
        <v>2.3999999999999998E-3</v>
      </c>
      <c r="P2073" s="1">
        <v>0.21210000000000001</v>
      </c>
      <c r="Q2073" s="1">
        <v>0.51019999999999999</v>
      </c>
      <c r="R2073" s="1">
        <v>0.17299999999999999</v>
      </c>
      <c r="T2073" s="1">
        <v>4.7000000000000002E-3</v>
      </c>
      <c r="V2073" s="1">
        <v>6.6400000000000001E-2</v>
      </c>
    </row>
    <row r="2074" spans="1:23" ht="29.1">
      <c r="A2074" s="25" t="s">
        <v>196</v>
      </c>
      <c r="B2074">
        <v>71</v>
      </c>
      <c r="C2074" t="s">
        <v>189</v>
      </c>
      <c r="D2074">
        <v>254</v>
      </c>
      <c r="E2074" s="1">
        <v>8.3500000000000005E-2</v>
      </c>
      <c r="H2074" s="1">
        <v>0.3574</v>
      </c>
      <c r="J2074" s="1">
        <v>1.1000000000000001E-3</v>
      </c>
      <c r="L2074" s="1">
        <v>0.2301</v>
      </c>
      <c r="N2074" s="1">
        <v>3.8800000000000001E-2</v>
      </c>
      <c r="P2074" s="1">
        <v>0.2011</v>
      </c>
      <c r="Q2074" s="1">
        <v>0.20169999999999999</v>
      </c>
      <c r="R2074" s="1">
        <v>8.2299999999999998E-2</v>
      </c>
      <c r="S2074" s="1">
        <v>9.06E-2</v>
      </c>
      <c r="T2074" s="1">
        <v>1.17E-2</v>
      </c>
      <c r="W2074" s="1">
        <v>1.1000000000000001E-3</v>
      </c>
    </row>
    <row r="2075" spans="1:23">
      <c r="A2075" s="25" t="s">
        <v>192</v>
      </c>
      <c r="B2075">
        <v>254</v>
      </c>
      <c r="C2075" t="s">
        <v>192</v>
      </c>
      <c r="D2075">
        <v>254</v>
      </c>
      <c r="E2075" s="1">
        <v>5.8599999999999999E-2</v>
      </c>
      <c r="F2075" s="1">
        <v>8.3999999999999995E-3</v>
      </c>
      <c r="G2075" s="1">
        <v>1.9400000000000001E-2</v>
      </c>
      <c r="H2075" s="1">
        <v>0.14649999999999999</v>
      </c>
      <c r="I2075" s="1">
        <v>1.2999999999999999E-3</v>
      </c>
      <c r="J2075" s="1">
        <v>1.6000000000000001E-3</v>
      </c>
      <c r="K2075" s="1">
        <v>8.3999999999999995E-3</v>
      </c>
      <c r="L2075" s="1">
        <v>6.1699999999999998E-2</v>
      </c>
      <c r="M2075" s="1">
        <v>5.9999999999999995E-4</v>
      </c>
      <c r="N2075" s="1">
        <v>3.5099999999999999E-2</v>
      </c>
      <c r="O2075" s="1">
        <v>6.1999999999999998E-3</v>
      </c>
      <c r="P2075" s="1">
        <v>0.11119999999999999</v>
      </c>
      <c r="Q2075" s="1">
        <v>0.43569999999999998</v>
      </c>
      <c r="R2075" s="1">
        <v>0.1328</v>
      </c>
      <c r="S2075" s="1">
        <v>1.8200000000000001E-2</v>
      </c>
      <c r="T2075" s="1">
        <v>1.34E-2</v>
      </c>
      <c r="U2075" s="1">
        <v>8.3999999999999995E-3</v>
      </c>
      <c r="V2075" s="1">
        <v>5.0099999999999999E-2</v>
      </c>
      <c r="W2075" s="1">
        <v>1.0500000000000001E-2</v>
      </c>
    </row>
    <row r="2077" spans="1:23" ht="43.5">
      <c r="A2077" s="25" t="s">
        <v>686</v>
      </c>
    </row>
    <row r="2078" spans="1:23">
      <c r="A2078" s="25" t="s">
        <v>182</v>
      </c>
      <c r="B2078" t="s">
        <v>219</v>
      </c>
      <c r="C2078" t="s">
        <v>181</v>
      </c>
      <c r="D2078" t="s">
        <v>188</v>
      </c>
      <c r="E2078" t="s">
        <v>668</v>
      </c>
      <c r="F2078" t="s">
        <v>669</v>
      </c>
      <c r="G2078" t="s">
        <v>241</v>
      </c>
      <c r="H2078" t="s">
        <v>670</v>
      </c>
      <c r="I2078" t="s">
        <v>671</v>
      </c>
      <c r="J2078" t="s">
        <v>672</v>
      </c>
      <c r="K2078" t="s">
        <v>673</v>
      </c>
      <c r="L2078" t="s">
        <v>674</v>
      </c>
      <c r="M2078" t="s">
        <v>675</v>
      </c>
      <c r="N2078" t="s">
        <v>269</v>
      </c>
      <c r="O2078" t="s">
        <v>676</v>
      </c>
      <c r="P2078" t="s">
        <v>677</v>
      </c>
      <c r="Q2078" t="s">
        <v>678</v>
      </c>
      <c r="R2078" t="s">
        <v>679</v>
      </c>
      <c r="S2078" t="s">
        <v>680</v>
      </c>
      <c r="T2078" t="s">
        <v>681</v>
      </c>
      <c r="U2078" t="s">
        <v>682</v>
      </c>
      <c r="V2078" t="s">
        <v>683</v>
      </c>
      <c r="W2078" t="s">
        <v>684</v>
      </c>
    </row>
    <row r="2079" spans="1:23">
      <c r="A2079" s="25" t="s">
        <v>198</v>
      </c>
      <c r="B2079">
        <v>45</v>
      </c>
      <c r="C2079" t="s">
        <v>189</v>
      </c>
      <c r="D2079">
        <v>254</v>
      </c>
      <c r="E2079" s="1">
        <v>7.3000000000000001E-3</v>
      </c>
      <c r="G2079" s="1">
        <v>1.72E-2</v>
      </c>
      <c r="H2079" s="1">
        <v>4.2999999999999997E-2</v>
      </c>
      <c r="J2079" s="1">
        <v>1.01E-2</v>
      </c>
      <c r="N2079" s="1">
        <v>5.5100000000000003E-2</v>
      </c>
      <c r="P2079" s="1">
        <v>6.59E-2</v>
      </c>
      <c r="Q2079" s="1">
        <v>0.17050000000000001</v>
      </c>
      <c r="R2079" s="1">
        <v>0.64839999999999998</v>
      </c>
      <c r="W2079" s="1">
        <v>1.2999999999999999E-3</v>
      </c>
    </row>
    <row r="2080" spans="1:23">
      <c r="A2080" s="25" t="s">
        <v>199</v>
      </c>
      <c r="B2080">
        <v>209</v>
      </c>
      <c r="C2080" t="s">
        <v>189</v>
      </c>
      <c r="D2080">
        <v>254</v>
      </c>
      <c r="E2080" s="1">
        <v>6.8599999999999994E-2</v>
      </c>
      <c r="F2080" s="1">
        <v>1.01E-2</v>
      </c>
      <c r="G2080" s="1">
        <v>1.9800000000000002E-2</v>
      </c>
      <c r="H2080" s="1">
        <v>0.16669999999999999</v>
      </c>
      <c r="I2080" s="1">
        <v>1.5E-3</v>
      </c>
      <c r="K2080" s="1">
        <v>1.01E-2</v>
      </c>
      <c r="L2080" s="1">
        <v>7.3700000000000002E-2</v>
      </c>
      <c r="M2080" s="1">
        <v>8.0000000000000004E-4</v>
      </c>
      <c r="N2080" s="1">
        <v>3.1199999999999999E-2</v>
      </c>
      <c r="O2080" s="1">
        <v>7.4000000000000003E-3</v>
      </c>
      <c r="P2080" s="1">
        <v>0.12</v>
      </c>
      <c r="Q2080" s="1">
        <v>0.48749999999999999</v>
      </c>
      <c r="R2080" s="1">
        <v>3.2000000000000001E-2</v>
      </c>
      <c r="S2080" s="1">
        <v>2.18E-2</v>
      </c>
      <c r="T2080" s="1">
        <v>1.61E-2</v>
      </c>
      <c r="U2080" s="1">
        <v>1.01E-2</v>
      </c>
      <c r="V2080" s="1">
        <v>5.9799999999999999E-2</v>
      </c>
      <c r="W2080" s="1">
        <v>1.23E-2</v>
      </c>
    </row>
    <row r="2081" spans="1:23">
      <c r="A2081" s="25" t="s">
        <v>192</v>
      </c>
      <c r="B2081">
        <v>254</v>
      </c>
      <c r="C2081" t="s">
        <v>192</v>
      </c>
      <c r="D2081">
        <v>254</v>
      </c>
      <c r="E2081" s="1">
        <v>5.8599999999999999E-2</v>
      </c>
      <c r="F2081" s="1">
        <v>8.3999999999999995E-3</v>
      </c>
      <c r="G2081" s="1">
        <v>1.9400000000000001E-2</v>
      </c>
      <c r="H2081" s="1">
        <v>0.14649999999999999</v>
      </c>
      <c r="I2081" s="1">
        <v>1.2999999999999999E-3</v>
      </c>
      <c r="J2081" s="1">
        <v>1.6000000000000001E-3</v>
      </c>
      <c r="K2081" s="1">
        <v>8.3999999999999995E-3</v>
      </c>
      <c r="L2081" s="1">
        <v>6.1699999999999998E-2</v>
      </c>
      <c r="M2081" s="1">
        <v>5.9999999999999995E-4</v>
      </c>
      <c r="N2081" s="1">
        <v>3.5099999999999999E-2</v>
      </c>
      <c r="O2081" s="1">
        <v>6.1999999999999998E-3</v>
      </c>
      <c r="P2081" s="1">
        <v>0.11119999999999999</v>
      </c>
      <c r="Q2081" s="1">
        <v>0.43569999999999998</v>
      </c>
      <c r="R2081" s="1">
        <v>0.1328</v>
      </c>
      <c r="S2081" s="1">
        <v>1.8200000000000001E-2</v>
      </c>
      <c r="T2081" s="1">
        <v>1.34E-2</v>
      </c>
      <c r="U2081" s="1">
        <v>8.3999999999999995E-3</v>
      </c>
      <c r="V2081" s="1">
        <v>5.0099999999999999E-2</v>
      </c>
      <c r="W2081" s="1">
        <v>1.0500000000000001E-2</v>
      </c>
    </row>
    <row r="2083" spans="1:23" ht="43.5">
      <c r="A2083" s="25" t="s">
        <v>687</v>
      </c>
    </row>
    <row r="2084" spans="1:23">
      <c r="A2084" s="25" t="s">
        <v>182</v>
      </c>
      <c r="B2084" t="s">
        <v>219</v>
      </c>
      <c r="C2084" t="s">
        <v>181</v>
      </c>
      <c r="D2084" t="s">
        <v>188</v>
      </c>
      <c r="E2084" t="s">
        <v>668</v>
      </c>
      <c r="F2084" t="s">
        <v>669</v>
      </c>
      <c r="G2084" t="s">
        <v>241</v>
      </c>
      <c r="H2084" t="s">
        <v>670</v>
      </c>
      <c r="I2084" t="s">
        <v>671</v>
      </c>
      <c r="J2084" t="s">
        <v>672</v>
      </c>
      <c r="K2084" t="s">
        <v>673</v>
      </c>
      <c r="L2084" t="s">
        <v>674</v>
      </c>
      <c r="M2084" t="s">
        <v>675</v>
      </c>
      <c r="N2084" t="s">
        <v>269</v>
      </c>
      <c r="O2084" t="s">
        <v>676</v>
      </c>
      <c r="P2084" t="s">
        <v>677</v>
      </c>
      <c r="Q2084" t="s">
        <v>678</v>
      </c>
      <c r="R2084" t="s">
        <v>679</v>
      </c>
      <c r="S2084" t="s">
        <v>680</v>
      </c>
      <c r="T2084" t="s">
        <v>681</v>
      </c>
      <c r="U2084" t="s">
        <v>682</v>
      </c>
      <c r="V2084" t="s">
        <v>683</v>
      </c>
      <c r="W2084" t="s">
        <v>684</v>
      </c>
    </row>
    <row r="2085" spans="1:23">
      <c r="A2085" s="25" t="s">
        <v>201</v>
      </c>
      <c r="B2085">
        <v>40</v>
      </c>
      <c r="C2085" t="s">
        <v>189</v>
      </c>
      <c r="D2085">
        <v>254</v>
      </c>
      <c r="H2085" s="1">
        <v>0.39739999999999998</v>
      </c>
      <c r="J2085" s="1">
        <v>1.4E-3</v>
      </c>
      <c r="L2085" s="1">
        <v>0.21360000000000001</v>
      </c>
      <c r="N2085" s="1">
        <v>4.9399999999999999E-2</v>
      </c>
      <c r="O2085" s="1">
        <v>3.9199999999999999E-2</v>
      </c>
      <c r="P2085" s="1">
        <v>0.1537</v>
      </c>
      <c r="Q2085" s="1">
        <v>0.27750000000000002</v>
      </c>
      <c r="R2085" s="1">
        <v>0.10059999999999999</v>
      </c>
      <c r="V2085" s="1">
        <v>0.1061</v>
      </c>
      <c r="W2085" s="1">
        <v>1.4E-3</v>
      </c>
    </row>
    <row r="2086" spans="1:23">
      <c r="A2086" s="25" t="s">
        <v>237</v>
      </c>
      <c r="B2086">
        <v>8</v>
      </c>
      <c r="C2086" t="s">
        <v>189</v>
      </c>
      <c r="D2086">
        <v>254</v>
      </c>
      <c r="H2086" s="1">
        <v>0.32900000000000001</v>
      </c>
      <c r="L2086" s="1">
        <v>0.31919999999999998</v>
      </c>
      <c r="P2086" s="1">
        <v>0.2329</v>
      </c>
      <c r="Q2086" s="1">
        <v>0.3518</v>
      </c>
    </row>
    <row r="2087" spans="1:23">
      <c r="A2087" s="25" t="s">
        <v>203</v>
      </c>
      <c r="B2087">
        <v>143</v>
      </c>
      <c r="C2087" t="s">
        <v>189</v>
      </c>
      <c r="D2087">
        <v>254</v>
      </c>
      <c r="E2087" s="1">
        <v>3.8600000000000002E-2</v>
      </c>
      <c r="G2087" s="1">
        <v>0.02</v>
      </c>
      <c r="H2087" s="1">
        <v>6.7000000000000004E-2</v>
      </c>
      <c r="I2087" s="1">
        <v>2E-3</v>
      </c>
      <c r="J2087" s="1">
        <v>2.3E-3</v>
      </c>
      <c r="K2087" s="1">
        <v>1.35E-2</v>
      </c>
      <c r="L2087" s="1">
        <v>1.52E-2</v>
      </c>
      <c r="M2087" s="1">
        <v>1E-3</v>
      </c>
      <c r="N2087" s="1">
        <v>4.3799999999999999E-2</v>
      </c>
      <c r="P2087" s="1">
        <v>9.0499999999999997E-2</v>
      </c>
      <c r="Q2087" s="1">
        <v>0.55420000000000003</v>
      </c>
      <c r="R2087" s="1">
        <v>0.14180000000000001</v>
      </c>
      <c r="T2087" s="1">
        <v>1.6500000000000001E-2</v>
      </c>
      <c r="U2087" s="1">
        <v>1.35E-2</v>
      </c>
      <c r="V2087" s="1">
        <v>5.33E-2</v>
      </c>
    </row>
    <row r="2088" spans="1:23">
      <c r="A2088" s="25" t="s">
        <v>204</v>
      </c>
      <c r="B2088">
        <v>1</v>
      </c>
      <c r="C2088" t="s">
        <v>189</v>
      </c>
      <c r="D2088">
        <v>254</v>
      </c>
      <c r="H2088" s="1">
        <v>1</v>
      </c>
    </row>
    <row r="2089" spans="1:23">
      <c r="A2089" s="25" t="s">
        <v>205</v>
      </c>
      <c r="B2089">
        <v>62</v>
      </c>
      <c r="C2089" t="s">
        <v>189</v>
      </c>
      <c r="D2089">
        <v>254</v>
      </c>
      <c r="E2089" s="1">
        <v>0.16800000000000001</v>
      </c>
      <c r="F2089" s="1">
        <v>4.1000000000000002E-2</v>
      </c>
      <c r="G2089" s="1">
        <v>3.3500000000000002E-2</v>
      </c>
      <c r="H2089" s="1">
        <v>0.17829999999999999</v>
      </c>
      <c r="L2089" s="1">
        <v>7.2900000000000006E-2</v>
      </c>
      <c r="P2089" s="1">
        <v>0.13569999999999999</v>
      </c>
      <c r="Q2089" s="1">
        <v>0.20519999999999999</v>
      </c>
      <c r="R2089" s="1">
        <v>0.13830000000000001</v>
      </c>
      <c r="S2089" s="1">
        <v>8.8800000000000004E-2</v>
      </c>
      <c r="T2089" s="1">
        <v>1.54E-2</v>
      </c>
      <c r="W2089" s="1">
        <v>5.0099999999999999E-2</v>
      </c>
    </row>
    <row r="2090" spans="1:23">
      <c r="A2090" s="25" t="s">
        <v>192</v>
      </c>
      <c r="B2090">
        <v>254</v>
      </c>
      <c r="C2090" t="s">
        <v>192</v>
      </c>
      <c r="D2090">
        <v>254</v>
      </c>
      <c r="E2090" s="1">
        <v>5.8599999999999999E-2</v>
      </c>
      <c r="F2090" s="1">
        <v>8.3999999999999995E-3</v>
      </c>
      <c r="G2090" s="1">
        <v>1.9400000000000001E-2</v>
      </c>
      <c r="H2090" s="1">
        <v>0.14649999999999999</v>
      </c>
      <c r="I2090" s="1">
        <v>1.2999999999999999E-3</v>
      </c>
      <c r="J2090" s="1">
        <v>1.6000000000000001E-3</v>
      </c>
      <c r="K2090" s="1">
        <v>8.3999999999999995E-3</v>
      </c>
      <c r="L2090" s="1">
        <v>6.1699999999999998E-2</v>
      </c>
      <c r="M2090" s="1">
        <v>5.9999999999999995E-4</v>
      </c>
      <c r="N2090" s="1">
        <v>3.5099999999999999E-2</v>
      </c>
      <c r="O2090" s="1">
        <v>6.1999999999999998E-3</v>
      </c>
      <c r="P2090" s="1">
        <v>0.11119999999999999</v>
      </c>
      <c r="Q2090" s="1">
        <v>0.43569999999999998</v>
      </c>
      <c r="R2090" s="1">
        <v>0.1328</v>
      </c>
      <c r="S2090" s="1">
        <v>1.8200000000000001E-2</v>
      </c>
      <c r="T2090" s="1">
        <v>1.34E-2</v>
      </c>
      <c r="U2090" s="1">
        <v>8.3999999999999995E-3</v>
      </c>
      <c r="V2090" s="1">
        <v>5.0099999999999999E-2</v>
      </c>
      <c r="W2090" s="1">
        <v>1.0500000000000001E-2</v>
      </c>
    </row>
    <row r="2092" spans="1:23" ht="43.5">
      <c r="A2092" s="25" t="s">
        <v>688</v>
      </c>
    </row>
    <row r="2093" spans="1:23">
      <c r="A2093" s="25" t="s">
        <v>182</v>
      </c>
      <c r="B2093" t="s">
        <v>219</v>
      </c>
      <c r="C2093" t="s">
        <v>181</v>
      </c>
      <c r="D2093" t="s">
        <v>188</v>
      </c>
      <c r="E2093" t="s">
        <v>668</v>
      </c>
      <c r="F2093" t="s">
        <v>669</v>
      </c>
      <c r="G2093" t="s">
        <v>241</v>
      </c>
      <c r="H2093" t="s">
        <v>670</v>
      </c>
      <c r="I2093" t="s">
        <v>671</v>
      </c>
      <c r="J2093" t="s">
        <v>672</v>
      </c>
      <c r="K2093" t="s">
        <v>673</v>
      </c>
      <c r="L2093" t="s">
        <v>674</v>
      </c>
      <c r="M2093" t="s">
        <v>675</v>
      </c>
      <c r="N2093" t="s">
        <v>269</v>
      </c>
      <c r="O2093" t="s">
        <v>676</v>
      </c>
      <c r="P2093" t="s">
        <v>677</v>
      </c>
      <c r="Q2093" t="s">
        <v>678</v>
      </c>
      <c r="R2093" t="s">
        <v>679</v>
      </c>
      <c r="S2093" t="s">
        <v>680</v>
      </c>
      <c r="T2093" t="s">
        <v>681</v>
      </c>
      <c r="U2093" t="s">
        <v>682</v>
      </c>
      <c r="V2093" t="s">
        <v>683</v>
      </c>
      <c r="W2093" t="s">
        <v>684</v>
      </c>
    </row>
    <row r="2094" spans="1:23">
      <c r="A2094" s="25" t="s">
        <v>207</v>
      </c>
      <c r="B2094">
        <v>158</v>
      </c>
      <c r="C2094" t="s">
        <v>189</v>
      </c>
      <c r="D2094">
        <v>254</v>
      </c>
      <c r="G2094" s="1">
        <v>2.81E-2</v>
      </c>
      <c r="H2094" s="1">
        <v>0.1082</v>
      </c>
      <c r="I2094" s="1">
        <v>2E-3</v>
      </c>
      <c r="J2094" s="1">
        <v>2.9999999999999997E-4</v>
      </c>
      <c r="K2094" s="1">
        <v>1.35E-2</v>
      </c>
      <c r="L2094" s="1">
        <v>6.1600000000000002E-2</v>
      </c>
      <c r="N2094" s="1">
        <v>5.62E-2</v>
      </c>
      <c r="P2094" s="1">
        <v>0.13780000000000001</v>
      </c>
      <c r="Q2094" s="1">
        <v>0.46189999999999998</v>
      </c>
      <c r="R2094" s="1">
        <v>0.12939999999999999</v>
      </c>
      <c r="S2094" s="1">
        <v>2.92E-2</v>
      </c>
      <c r="T2094" s="1">
        <v>7.1000000000000004E-3</v>
      </c>
      <c r="U2094" s="1">
        <v>1.35E-2</v>
      </c>
      <c r="V2094" s="1">
        <v>6.5100000000000005E-2</v>
      </c>
      <c r="W2094" s="1">
        <v>1.6799999999999999E-2</v>
      </c>
    </row>
    <row r="2095" spans="1:23">
      <c r="A2095" s="25" t="s">
        <v>209</v>
      </c>
      <c r="B2095">
        <v>96</v>
      </c>
      <c r="C2095" t="s">
        <v>189</v>
      </c>
      <c r="D2095">
        <v>254</v>
      </c>
      <c r="E2095" s="1">
        <v>0.15620000000000001</v>
      </c>
      <c r="F2095" s="1">
        <v>2.24E-2</v>
      </c>
      <c r="G2095" s="1">
        <v>4.7999999999999996E-3</v>
      </c>
      <c r="H2095" s="1">
        <v>0.2102</v>
      </c>
      <c r="J2095" s="1">
        <v>3.8E-3</v>
      </c>
      <c r="L2095" s="1">
        <v>6.1800000000000001E-2</v>
      </c>
      <c r="M2095" s="1">
        <v>1.6999999999999999E-3</v>
      </c>
      <c r="O2095" s="1">
        <v>1.6500000000000001E-2</v>
      </c>
      <c r="P2095" s="1">
        <v>6.6799999999999998E-2</v>
      </c>
      <c r="Q2095" s="1">
        <v>0.3921</v>
      </c>
      <c r="R2095" s="1">
        <v>0.1384</v>
      </c>
      <c r="T2095" s="1">
        <v>2.4E-2</v>
      </c>
      <c r="V2095" s="1">
        <v>2.5000000000000001E-2</v>
      </c>
    </row>
    <row r="2096" spans="1:23">
      <c r="A2096" s="25" t="s">
        <v>192</v>
      </c>
      <c r="B2096">
        <v>254</v>
      </c>
      <c r="C2096" t="s">
        <v>192</v>
      </c>
      <c r="D2096">
        <v>254</v>
      </c>
      <c r="E2096" s="1">
        <v>5.8599999999999999E-2</v>
      </c>
      <c r="F2096" s="1">
        <v>8.3999999999999995E-3</v>
      </c>
      <c r="G2096" s="1">
        <v>1.9400000000000001E-2</v>
      </c>
      <c r="H2096" s="1">
        <v>0.14649999999999999</v>
      </c>
      <c r="I2096" s="1">
        <v>1.2999999999999999E-3</v>
      </c>
      <c r="J2096" s="1">
        <v>1.6000000000000001E-3</v>
      </c>
      <c r="K2096" s="1">
        <v>8.3999999999999995E-3</v>
      </c>
      <c r="L2096" s="1">
        <v>6.1699999999999998E-2</v>
      </c>
      <c r="M2096" s="1">
        <v>5.9999999999999995E-4</v>
      </c>
      <c r="N2096" s="1">
        <v>3.5099999999999999E-2</v>
      </c>
      <c r="O2096" s="1">
        <v>6.1999999999999998E-3</v>
      </c>
      <c r="P2096" s="1">
        <v>0.11119999999999999</v>
      </c>
      <c r="Q2096" s="1">
        <v>0.43569999999999998</v>
      </c>
      <c r="R2096" s="1">
        <v>0.1328</v>
      </c>
      <c r="S2096" s="1">
        <v>1.8200000000000001E-2</v>
      </c>
      <c r="T2096" s="1">
        <v>1.34E-2</v>
      </c>
      <c r="U2096" s="1">
        <v>8.3999999999999995E-3</v>
      </c>
      <c r="V2096" s="1">
        <v>5.0099999999999999E-2</v>
      </c>
      <c r="W2096" s="1">
        <v>1.0500000000000001E-2</v>
      </c>
    </row>
    <row r="2098" spans="1:24" ht="43.5">
      <c r="A2098" s="25" t="s">
        <v>689</v>
      </c>
    </row>
    <row r="2099" spans="1:24">
      <c r="A2099" s="25" t="s">
        <v>182</v>
      </c>
      <c r="B2099" t="s">
        <v>219</v>
      </c>
      <c r="C2099" t="s">
        <v>181</v>
      </c>
      <c r="D2099" t="s">
        <v>188</v>
      </c>
      <c r="E2099" t="s">
        <v>668</v>
      </c>
      <c r="F2099" t="s">
        <v>669</v>
      </c>
      <c r="G2099" t="s">
        <v>241</v>
      </c>
      <c r="H2099" t="s">
        <v>670</v>
      </c>
      <c r="I2099" t="s">
        <v>671</v>
      </c>
      <c r="J2099" t="s">
        <v>672</v>
      </c>
      <c r="K2099" t="s">
        <v>673</v>
      </c>
      <c r="L2099" t="s">
        <v>674</v>
      </c>
      <c r="M2099" t="s">
        <v>675</v>
      </c>
      <c r="N2099" t="s">
        <v>269</v>
      </c>
      <c r="O2099" t="s">
        <v>676</v>
      </c>
      <c r="P2099" t="s">
        <v>677</v>
      </c>
      <c r="Q2099" t="s">
        <v>678</v>
      </c>
      <c r="R2099" t="s">
        <v>679</v>
      </c>
      <c r="S2099" t="s">
        <v>680</v>
      </c>
      <c r="T2099" t="s">
        <v>681</v>
      </c>
      <c r="U2099" t="s">
        <v>682</v>
      </c>
      <c r="V2099" t="s">
        <v>683</v>
      </c>
      <c r="W2099" t="s">
        <v>684</v>
      </c>
    </row>
    <row r="2100" spans="1:24">
      <c r="A2100" s="25" t="s">
        <v>622</v>
      </c>
      <c r="B2100">
        <v>41</v>
      </c>
      <c r="C2100" t="s">
        <v>189</v>
      </c>
      <c r="D2100">
        <v>254</v>
      </c>
      <c r="E2100" s="1">
        <v>9.5999999999999992E-3</v>
      </c>
      <c r="G2100" s="1">
        <v>4.1300000000000003E-2</v>
      </c>
      <c r="H2100" s="1">
        <v>6.7299999999999999E-2</v>
      </c>
      <c r="J2100" s="1">
        <v>1.1599999999999999E-2</v>
      </c>
      <c r="L2100" s="1">
        <v>0.1079</v>
      </c>
      <c r="P2100" s="1">
        <v>0.1051</v>
      </c>
      <c r="Q2100" s="1">
        <v>0.33310000000000001</v>
      </c>
      <c r="R2100" s="1">
        <v>0.36399999999999999</v>
      </c>
      <c r="S2100" s="1">
        <v>1.1599999999999999E-2</v>
      </c>
    </row>
    <row r="2101" spans="1:24">
      <c r="A2101" s="25" t="s">
        <v>623</v>
      </c>
      <c r="B2101">
        <v>23</v>
      </c>
      <c r="C2101" t="s">
        <v>189</v>
      </c>
      <c r="D2101">
        <v>254</v>
      </c>
      <c r="N2101" s="1">
        <v>5.5999999999999999E-3</v>
      </c>
      <c r="P2101" s="1">
        <v>7.7999999999999996E-3</v>
      </c>
      <c r="Q2101" s="1">
        <v>0.96630000000000005</v>
      </c>
      <c r="R2101" s="1">
        <v>2.0199999999999999E-2</v>
      </c>
    </row>
    <row r="2102" spans="1:24">
      <c r="A2102" s="25" t="s">
        <v>624</v>
      </c>
      <c r="B2102">
        <v>146</v>
      </c>
      <c r="C2102" t="s">
        <v>189</v>
      </c>
      <c r="D2102">
        <v>254</v>
      </c>
      <c r="E2102" s="1">
        <v>6.2399999999999997E-2</v>
      </c>
      <c r="G2102" s="1">
        <v>2.24E-2</v>
      </c>
      <c r="H2102" s="1">
        <v>0.17510000000000001</v>
      </c>
      <c r="J2102" s="1">
        <v>2.9999999999999997E-4</v>
      </c>
      <c r="K2102" s="1">
        <v>1.32E-2</v>
      </c>
      <c r="L2102" s="1">
        <v>3.8699999999999998E-2</v>
      </c>
      <c r="M2102" s="1">
        <v>1E-3</v>
      </c>
      <c r="N2102" s="1">
        <v>5.4100000000000002E-2</v>
      </c>
      <c r="O2102" s="1">
        <v>9.7000000000000003E-3</v>
      </c>
      <c r="P2102" s="1">
        <v>0.11899999999999999</v>
      </c>
      <c r="Q2102" s="1">
        <v>0.40060000000000001</v>
      </c>
      <c r="R2102" s="1">
        <v>7.5499999999999998E-2</v>
      </c>
      <c r="S2102" s="1">
        <v>2.64E-2</v>
      </c>
      <c r="T2102" s="1">
        <v>1.77E-2</v>
      </c>
      <c r="U2102" s="1">
        <v>1.32E-2</v>
      </c>
      <c r="V2102" s="1">
        <v>7.8600000000000003E-2</v>
      </c>
      <c r="W2102" s="1">
        <v>1.6500000000000001E-2</v>
      </c>
    </row>
    <row r="2103" spans="1:24">
      <c r="A2103" s="25" t="s">
        <v>625</v>
      </c>
      <c r="B2103">
        <v>44</v>
      </c>
      <c r="C2103" t="s">
        <v>189</v>
      </c>
      <c r="D2103">
        <v>254</v>
      </c>
      <c r="E2103" s="1">
        <v>0.1414</v>
      </c>
      <c r="F2103" s="1">
        <v>6.7299999999999999E-2</v>
      </c>
      <c r="H2103" s="1">
        <v>0.21299999999999999</v>
      </c>
      <c r="I2103" s="1">
        <v>1.01E-2</v>
      </c>
      <c r="L2103" s="1">
        <v>0.18990000000000001</v>
      </c>
      <c r="P2103" s="1">
        <v>0.17180000000000001</v>
      </c>
      <c r="Q2103" s="1">
        <v>0.2291</v>
      </c>
      <c r="R2103" s="1">
        <v>0.29970000000000002</v>
      </c>
      <c r="T2103" s="1">
        <v>1.7399999999999999E-2</v>
      </c>
    </row>
    <row r="2104" spans="1:24">
      <c r="A2104" s="25" t="s">
        <v>192</v>
      </c>
      <c r="B2104">
        <v>254</v>
      </c>
      <c r="C2104" t="s">
        <v>192</v>
      </c>
      <c r="D2104">
        <v>254</v>
      </c>
      <c r="E2104" s="1">
        <v>5.8599999999999999E-2</v>
      </c>
      <c r="F2104" s="1">
        <v>8.3999999999999995E-3</v>
      </c>
      <c r="G2104" s="1">
        <v>1.9400000000000001E-2</v>
      </c>
      <c r="H2104" s="1">
        <v>0.14649999999999999</v>
      </c>
      <c r="I2104" s="1">
        <v>1.2999999999999999E-3</v>
      </c>
      <c r="J2104" s="1">
        <v>1.6000000000000001E-3</v>
      </c>
      <c r="K2104" s="1">
        <v>8.3999999999999995E-3</v>
      </c>
      <c r="L2104" s="1">
        <v>6.1699999999999998E-2</v>
      </c>
      <c r="M2104" s="1">
        <v>5.9999999999999995E-4</v>
      </c>
      <c r="N2104" s="1">
        <v>3.5099999999999999E-2</v>
      </c>
      <c r="O2104" s="1">
        <v>6.1999999999999998E-3</v>
      </c>
      <c r="P2104" s="1">
        <v>0.11119999999999999</v>
      </c>
      <c r="Q2104" s="1">
        <v>0.43569999999999998</v>
      </c>
      <c r="R2104" s="1">
        <v>0.1328</v>
      </c>
      <c r="S2104" s="1">
        <v>1.8200000000000001E-2</v>
      </c>
      <c r="T2104" s="1">
        <v>1.34E-2</v>
      </c>
      <c r="U2104" s="1">
        <v>8.3999999999999995E-3</v>
      </c>
      <c r="V2104" s="1">
        <v>5.0099999999999999E-2</v>
      </c>
      <c r="W2104" s="1">
        <v>1.0500000000000001E-2</v>
      </c>
    </row>
    <row r="2106" spans="1:24" ht="43.5">
      <c r="A2106" s="25" t="s">
        <v>690</v>
      </c>
    </row>
    <row r="2107" spans="1:24">
      <c r="A2107" s="25" t="s">
        <v>182</v>
      </c>
      <c r="B2107" t="s">
        <v>286</v>
      </c>
      <c r="C2107" t="s">
        <v>219</v>
      </c>
      <c r="D2107" t="s">
        <v>181</v>
      </c>
      <c r="E2107" t="s">
        <v>188</v>
      </c>
      <c r="F2107" t="s">
        <v>668</v>
      </c>
      <c r="G2107" t="s">
        <v>669</v>
      </c>
      <c r="H2107" t="s">
        <v>241</v>
      </c>
      <c r="I2107" t="s">
        <v>670</v>
      </c>
      <c r="J2107" t="s">
        <v>671</v>
      </c>
      <c r="K2107" t="s">
        <v>672</v>
      </c>
      <c r="L2107" t="s">
        <v>673</v>
      </c>
      <c r="M2107" t="s">
        <v>674</v>
      </c>
      <c r="N2107" t="s">
        <v>675</v>
      </c>
      <c r="O2107" t="s">
        <v>269</v>
      </c>
      <c r="P2107" t="s">
        <v>676</v>
      </c>
      <c r="Q2107" t="s">
        <v>677</v>
      </c>
      <c r="R2107" t="s">
        <v>678</v>
      </c>
      <c r="S2107" t="s">
        <v>679</v>
      </c>
      <c r="T2107" t="s">
        <v>680</v>
      </c>
      <c r="U2107" t="s">
        <v>681</v>
      </c>
      <c r="V2107" t="s">
        <v>682</v>
      </c>
      <c r="W2107" t="s">
        <v>683</v>
      </c>
      <c r="X2107" t="s">
        <v>684</v>
      </c>
    </row>
    <row r="2108" spans="1:24">
      <c r="A2108" s="25" t="s">
        <v>287</v>
      </c>
      <c r="B2108" t="s">
        <v>622</v>
      </c>
      <c r="C2108">
        <v>19</v>
      </c>
      <c r="D2108" t="s">
        <v>189</v>
      </c>
      <c r="E2108">
        <v>254</v>
      </c>
      <c r="F2108" s="1">
        <v>1.6E-2</v>
      </c>
      <c r="H2108" s="1">
        <v>3.78E-2</v>
      </c>
      <c r="I2108" s="1">
        <v>2.7900000000000001E-2</v>
      </c>
      <c r="M2108" s="1">
        <v>8.5800000000000001E-2</v>
      </c>
      <c r="Q2108" s="1">
        <v>6.3E-2</v>
      </c>
      <c r="R2108" s="1">
        <v>0.38269999999999998</v>
      </c>
      <c r="S2108" s="1">
        <v>0.41470000000000001</v>
      </c>
      <c r="T2108" s="1">
        <v>1.9199999999999998E-2</v>
      </c>
    </row>
    <row r="2109" spans="1:24">
      <c r="A2109" s="25" t="s">
        <v>287</v>
      </c>
      <c r="B2109" t="s">
        <v>623</v>
      </c>
      <c r="C2109">
        <v>10</v>
      </c>
      <c r="D2109" t="s">
        <v>189</v>
      </c>
      <c r="E2109">
        <v>254</v>
      </c>
      <c r="O2109" s="1">
        <v>1.32E-2</v>
      </c>
      <c r="R2109" s="1">
        <v>0.9627</v>
      </c>
      <c r="S2109" s="1">
        <v>2.4199999999999999E-2</v>
      </c>
    </row>
    <row r="2110" spans="1:24">
      <c r="A2110" s="25" t="s">
        <v>287</v>
      </c>
      <c r="B2110" t="s">
        <v>624</v>
      </c>
      <c r="C2110">
        <v>73</v>
      </c>
      <c r="D2110" t="s">
        <v>189</v>
      </c>
      <c r="E2110">
        <v>254</v>
      </c>
      <c r="F2110" s="1">
        <v>8.3500000000000005E-2</v>
      </c>
      <c r="H2110" s="1">
        <v>4.0599999999999997E-2</v>
      </c>
      <c r="I2110" s="1">
        <v>0.2959</v>
      </c>
      <c r="K2110" s="1">
        <v>6.9999999999999999E-4</v>
      </c>
      <c r="M2110" s="1">
        <v>6.3600000000000004E-2</v>
      </c>
      <c r="O2110" s="1">
        <v>5.2699999999999997E-2</v>
      </c>
      <c r="Q2110" s="1">
        <v>0.1729</v>
      </c>
      <c r="R2110" s="1">
        <v>0.29649999999999999</v>
      </c>
      <c r="S2110" s="1">
        <v>5.11E-2</v>
      </c>
      <c r="U2110" s="1">
        <v>1.03E-2</v>
      </c>
      <c r="W2110" s="1">
        <v>9.2100000000000001E-2</v>
      </c>
      <c r="X2110" s="1">
        <v>3.4200000000000001E-2</v>
      </c>
    </row>
    <row r="2111" spans="1:24">
      <c r="A2111" s="25" t="s">
        <v>287</v>
      </c>
      <c r="B2111" t="s">
        <v>625</v>
      </c>
      <c r="C2111">
        <v>21</v>
      </c>
      <c r="D2111" t="s">
        <v>189</v>
      </c>
      <c r="E2111">
        <v>254</v>
      </c>
      <c r="F2111" s="1">
        <v>9.2700000000000005E-2</v>
      </c>
      <c r="I2111" s="1">
        <v>0.20910000000000001</v>
      </c>
      <c r="J2111" s="1">
        <v>2.52E-2</v>
      </c>
      <c r="M2111" s="1">
        <v>0.24249999999999999</v>
      </c>
      <c r="Q2111" s="1">
        <v>0.1976</v>
      </c>
      <c r="R2111" s="1">
        <v>0.22950000000000001</v>
      </c>
      <c r="S2111" s="1">
        <v>0.30759999999999998</v>
      </c>
      <c r="U2111" s="1">
        <v>4.36E-2</v>
      </c>
    </row>
    <row r="2112" spans="1:24">
      <c r="A2112" s="25" t="s">
        <v>288</v>
      </c>
      <c r="B2112" t="s">
        <v>622</v>
      </c>
      <c r="C2112">
        <v>22</v>
      </c>
      <c r="D2112" t="s">
        <v>189</v>
      </c>
      <c r="E2112">
        <v>254</v>
      </c>
      <c r="H2112" s="1">
        <v>4.6600000000000003E-2</v>
      </c>
      <c r="I2112" s="1">
        <v>0.127</v>
      </c>
      <c r="K2112" s="1">
        <v>2.9100000000000001E-2</v>
      </c>
      <c r="M2112" s="1">
        <v>0.14130000000000001</v>
      </c>
      <c r="Q2112" s="1">
        <v>0.16900000000000001</v>
      </c>
      <c r="R2112" s="1">
        <v>0.25790000000000002</v>
      </c>
      <c r="S2112" s="1">
        <v>0.2873</v>
      </c>
    </row>
    <row r="2113" spans="1:24">
      <c r="A2113" s="25" t="s">
        <v>288</v>
      </c>
      <c r="B2113" t="s">
        <v>623</v>
      </c>
      <c r="C2113">
        <v>13</v>
      </c>
      <c r="D2113" t="s">
        <v>189</v>
      </c>
      <c r="E2113">
        <v>254</v>
      </c>
      <c r="Q2113" s="1">
        <v>1.37E-2</v>
      </c>
      <c r="R2113" s="1">
        <v>0.96899999999999997</v>
      </c>
      <c r="S2113" s="1">
        <v>1.72E-2</v>
      </c>
    </row>
    <row r="2114" spans="1:24">
      <c r="A2114" s="25" t="s">
        <v>288</v>
      </c>
      <c r="B2114" t="s">
        <v>624</v>
      </c>
      <c r="C2114">
        <v>73</v>
      </c>
      <c r="D2114" t="s">
        <v>189</v>
      </c>
      <c r="E2114">
        <v>254</v>
      </c>
      <c r="F2114" s="1">
        <v>4.2799999999999998E-2</v>
      </c>
      <c r="H2114" s="1">
        <v>5.4000000000000003E-3</v>
      </c>
      <c r="I2114" s="1">
        <v>6.2799999999999995E-2</v>
      </c>
      <c r="L2114" s="1">
        <v>2.5499999999999998E-2</v>
      </c>
      <c r="M2114" s="1">
        <v>1.55E-2</v>
      </c>
      <c r="N2114" s="1">
        <v>2E-3</v>
      </c>
      <c r="O2114" s="1">
        <v>5.5399999999999998E-2</v>
      </c>
      <c r="P2114" s="1">
        <v>1.8800000000000001E-2</v>
      </c>
      <c r="Q2114" s="1">
        <v>6.8900000000000003E-2</v>
      </c>
      <c r="R2114" s="1">
        <v>0.49730000000000002</v>
      </c>
      <c r="S2114" s="1">
        <v>9.8100000000000007E-2</v>
      </c>
      <c r="T2114" s="1">
        <v>5.0999999999999997E-2</v>
      </c>
      <c r="U2114" s="1">
        <v>2.4500000000000001E-2</v>
      </c>
      <c r="V2114" s="1">
        <v>2.5499999999999998E-2</v>
      </c>
      <c r="W2114" s="1">
        <v>6.6000000000000003E-2</v>
      </c>
    </row>
    <row r="2115" spans="1:24">
      <c r="A2115" s="25" t="s">
        <v>288</v>
      </c>
      <c r="B2115" t="s">
        <v>625</v>
      </c>
      <c r="C2115">
        <v>23</v>
      </c>
      <c r="D2115" t="s">
        <v>189</v>
      </c>
      <c r="E2115">
        <v>254</v>
      </c>
      <c r="F2115" s="1">
        <v>0.17369999999999999</v>
      </c>
      <c r="G2115" s="1">
        <v>0.11210000000000001</v>
      </c>
      <c r="I2115" s="1">
        <v>0.21560000000000001</v>
      </c>
      <c r="M2115" s="1">
        <v>0.15479999999999999</v>
      </c>
      <c r="Q2115" s="1">
        <v>0.1547</v>
      </c>
      <c r="R2115" s="1">
        <v>0.2288</v>
      </c>
      <c r="S2115" s="1">
        <v>0.2944</v>
      </c>
    </row>
    <row r="2116" spans="1:24">
      <c r="A2116" s="25" t="s">
        <v>192</v>
      </c>
      <c r="B2116" t="s">
        <v>192</v>
      </c>
      <c r="C2116">
        <v>254</v>
      </c>
      <c r="D2116" t="s">
        <v>192</v>
      </c>
      <c r="E2116">
        <v>254</v>
      </c>
      <c r="F2116" s="1">
        <v>5.8599999999999999E-2</v>
      </c>
      <c r="G2116" s="1">
        <v>8.3999999999999995E-3</v>
      </c>
      <c r="H2116" s="1">
        <v>1.9400000000000001E-2</v>
      </c>
      <c r="I2116" s="1">
        <v>0.14649999999999999</v>
      </c>
      <c r="J2116" s="1">
        <v>1.2999999999999999E-3</v>
      </c>
      <c r="K2116" s="1">
        <v>1.6000000000000001E-3</v>
      </c>
      <c r="L2116" s="1">
        <v>8.3999999999999995E-3</v>
      </c>
      <c r="M2116" s="1">
        <v>6.1699999999999998E-2</v>
      </c>
      <c r="N2116" s="1">
        <v>5.9999999999999995E-4</v>
      </c>
      <c r="O2116" s="1">
        <v>3.5099999999999999E-2</v>
      </c>
      <c r="P2116" s="1">
        <v>6.1999999999999998E-3</v>
      </c>
      <c r="Q2116" s="1">
        <v>0.11119999999999999</v>
      </c>
      <c r="R2116" s="1">
        <v>0.43569999999999998</v>
      </c>
      <c r="S2116" s="1">
        <v>0.1328</v>
      </c>
      <c r="T2116" s="1">
        <v>1.8200000000000001E-2</v>
      </c>
      <c r="U2116" s="1">
        <v>1.34E-2</v>
      </c>
      <c r="V2116" s="1">
        <v>8.3999999999999995E-3</v>
      </c>
      <c r="W2116" s="1">
        <v>5.0099999999999999E-2</v>
      </c>
      <c r="X2116" s="1">
        <v>1.0500000000000001E-2</v>
      </c>
    </row>
    <row r="2118" spans="1:24" ht="43.5">
      <c r="A2118" s="25" t="s">
        <v>691</v>
      </c>
    </row>
    <row r="2119" spans="1:24">
      <c r="A2119" s="25" t="s">
        <v>182</v>
      </c>
      <c r="B2119" t="s">
        <v>219</v>
      </c>
      <c r="C2119" t="s">
        <v>181</v>
      </c>
      <c r="D2119" t="s">
        <v>188</v>
      </c>
      <c r="E2119" t="s">
        <v>668</v>
      </c>
      <c r="F2119" t="s">
        <v>669</v>
      </c>
      <c r="G2119" t="s">
        <v>241</v>
      </c>
      <c r="H2119" t="s">
        <v>670</v>
      </c>
      <c r="I2119" t="s">
        <v>671</v>
      </c>
      <c r="J2119" t="s">
        <v>672</v>
      </c>
      <c r="K2119" t="s">
        <v>673</v>
      </c>
      <c r="L2119" t="s">
        <v>674</v>
      </c>
      <c r="M2119" t="s">
        <v>675</v>
      </c>
      <c r="N2119" t="s">
        <v>269</v>
      </c>
      <c r="O2119" t="s">
        <v>676</v>
      </c>
      <c r="P2119" t="s">
        <v>677</v>
      </c>
      <c r="Q2119" t="s">
        <v>678</v>
      </c>
      <c r="R2119" t="s">
        <v>679</v>
      </c>
      <c r="S2119" t="s">
        <v>680</v>
      </c>
      <c r="T2119" t="s">
        <v>681</v>
      </c>
      <c r="U2119" t="s">
        <v>682</v>
      </c>
      <c r="V2119" t="s">
        <v>683</v>
      </c>
      <c r="W2119" t="s">
        <v>684</v>
      </c>
    </row>
    <row r="2120" spans="1:24">
      <c r="A2120" s="25" t="s">
        <v>299</v>
      </c>
      <c r="B2120">
        <v>29</v>
      </c>
      <c r="C2120" t="s">
        <v>189</v>
      </c>
      <c r="D2120">
        <v>254</v>
      </c>
      <c r="H2120" s="1">
        <v>0.22889999999999999</v>
      </c>
      <c r="K2120" s="1">
        <v>6.9400000000000003E-2</v>
      </c>
      <c r="L2120" s="1">
        <v>3.4700000000000002E-2</v>
      </c>
      <c r="N2120" s="1">
        <v>0.15679999999999999</v>
      </c>
      <c r="P2120" s="1">
        <v>0.1673</v>
      </c>
      <c r="Q2120" s="1">
        <v>0.1502</v>
      </c>
      <c r="R2120" s="1">
        <v>0.20250000000000001</v>
      </c>
      <c r="T2120" s="1">
        <v>1.17E-2</v>
      </c>
      <c r="U2120" s="1">
        <v>6.9400000000000003E-2</v>
      </c>
      <c r="V2120" s="1">
        <v>9.7999999999999997E-3</v>
      </c>
      <c r="W2120" s="1">
        <v>8.4699999999999998E-2</v>
      </c>
    </row>
    <row r="2121" spans="1:24">
      <c r="A2121" s="25" t="s">
        <v>300</v>
      </c>
      <c r="B2121">
        <v>208</v>
      </c>
      <c r="C2121" t="s">
        <v>189</v>
      </c>
      <c r="D2121">
        <v>254</v>
      </c>
      <c r="E2121" s="1">
        <v>7.2800000000000004E-2</v>
      </c>
      <c r="F2121" s="1">
        <v>1.0500000000000001E-2</v>
      </c>
      <c r="G2121" s="1">
        <v>2.41E-2</v>
      </c>
      <c r="H2121" s="1">
        <v>0.1245</v>
      </c>
      <c r="I2121" s="1">
        <v>1.6000000000000001E-3</v>
      </c>
      <c r="J2121" s="1">
        <v>2E-3</v>
      </c>
      <c r="L2121" s="1">
        <v>5.4199999999999998E-2</v>
      </c>
      <c r="M2121" s="1">
        <v>8.0000000000000004E-4</v>
      </c>
      <c r="N2121" s="1">
        <v>1.9199999999999998E-2</v>
      </c>
      <c r="O2121" s="1">
        <v>7.7000000000000002E-3</v>
      </c>
      <c r="P2121" s="1">
        <v>0.1071</v>
      </c>
      <c r="Q2121" s="1">
        <v>0.4536</v>
      </c>
      <c r="R2121" s="1">
        <v>0.13159999999999999</v>
      </c>
      <c r="S2121" s="1">
        <v>2.2700000000000001E-2</v>
      </c>
      <c r="T2121" s="1">
        <v>1.49E-2</v>
      </c>
      <c r="V2121" s="1">
        <v>6.0699999999999997E-2</v>
      </c>
      <c r="W2121" s="1">
        <v>2.9999999999999997E-4</v>
      </c>
    </row>
    <row r="2122" spans="1:24">
      <c r="A2122" s="25" t="s">
        <v>301</v>
      </c>
      <c r="B2122">
        <v>7</v>
      </c>
      <c r="C2122" t="s">
        <v>189</v>
      </c>
      <c r="D2122">
        <v>254</v>
      </c>
      <c r="H2122" s="1">
        <v>0.55500000000000005</v>
      </c>
      <c r="L2122" s="1">
        <v>0.41620000000000001</v>
      </c>
      <c r="P2122" s="1">
        <v>0.13869999999999999</v>
      </c>
      <c r="Q2122" s="1">
        <v>0.44500000000000001</v>
      </c>
    </row>
    <row r="2123" spans="1:24">
      <c r="A2123" s="25" t="s">
        <v>302</v>
      </c>
      <c r="B2123">
        <v>10</v>
      </c>
      <c r="C2123" t="s">
        <v>189</v>
      </c>
      <c r="D2123">
        <v>254</v>
      </c>
      <c r="N2123" s="1">
        <v>1.6E-2</v>
      </c>
      <c r="Q2123" s="1">
        <v>0.92689999999999995</v>
      </c>
      <c r="R2123" s="1">
        <v>5.7099999999999998E-2</v>
      </c>
    </row>
    <row r="2124" spans="1:24">
      <c r="A2124" s="25" t="s">
        <v>192</v>
      </c>
      <c r="B2124">
        <v>254</v>
      </c>
      <c r="C2124" t="s">
        <v>192</v>
      </c>
      <c r="D2124">
        <v>254</v>
      </c>
      <c r="E2124" s="1">
        <v>5.8599999999999999E-2</v>
      </c>
      <c r="F2124" s="1">
        <v>8.3999999999999995E-3</v>
      </c>
      <c r="G2124" s="1">
        <v>1.9400000000000001E-2</v>
      </c>
      <c r="H2124" s="1">
        <v>0.14649999999999999</v>
      </c>
      <c r="I2124" s="1">
        <v>1.2999999999999999E-3</v>
      </c>
      <c r="J2124" s="1">
        <v>1.6000000000000001E-3</v>
      </c>
      <c r="K2124" s="1">
        <v>8.3999999999999995E-3</v>
      </c>
      <c r="L2124" s="1">
        <v>6.1699999999999998E-2</v>
      </c>
      <c r="M2124" s="1">
        <v>5.9999999999999995E-4</v>
      </c>
      <c r="N2124" s="1">
        <v>3.5099999999999999E-2</v>
      </c>
      <c r="O2124" s="1">
        <v>6.1999999999999998E-3</v>
      </c>
      <c r="P2124" s="1">
        <v>0.11119999999999999</v>
      </c>
      <c r="Q2124" s="1">
        <v>0.43569999999999998</v>
      </c>
      <c r="R2124" s="1">
        <v>0.1328</v>
      </c>
      <c r="S2124" s="1">
        <v>1.8200000000000001E-2</v>
      </c>
      <c r="T2124" s="1">
        <v>1.34E-2</v>
      </c>
      <c r="U2124" s="1">
        <v>8.3999999999999995E-3</v>
      </c>
      <c r="V2124" s="1">
        <v>5.0099999999999999E-2</v>
      </c>
      <c r="W2124" s="1">
        <v>1.0500000000000001E-2</v>
      </c>
    </row>
    <row r="2126" spans="1:24" ht="43.5">
      <c r="A2126" s="25" t="s">
        <v>692</v>
      </c>
    </row>
    <row r="2127" spans="1:24">
      <c r="A2127" s="25" t="s">
        <v>182</v>
      </c>
      <c r="B2127" t="s">
        <v>219</v>
      </c>
      <c r="C2127" t="s">
        <v>181</v>
      </c>
      <c r="D2127" t="s">
        <v>188</v>
      </c>
      <c r="E2127" t="s">
        <v>668</v>
      </c>
      <c r="F2127" t="s">
        <v>669</v>
      </c>
      <c r="G2127" t="s">
        <v>241</v>
      </c>
      <c r="H2127" t="s">
        <v>670</v>
      </c>
      <c r="I2127" t="s">
        <v>671</v>
      </c>
      <c r="J2127" t="s">
        <v>672</v>
      </c>
      <c r="K2127" t="s">
        <v>673</v>
      </c>
      <c r="L2127" t="s">
        <v>674</v>
      </c>
      <c r="M2127" t="s">
        <v>675</v>
      </c>
      <c r="N2127" t="s">
        <v>269</v>
      </c>
      <c r="O2127" t="s">
        <v>676</v>
      </c>
      <c r="P2127" t="s">
        <v>677</v>
      </c>
      <c r="Q2127" t="s">
        <v>678</v>
      </c>
      <c r="R2127" t="s">
        <v>679</v>
      </c>
      <c r="S2127" t="s">
        <v>680</v>
      </c>
      <c r="T2127" t="s">
        <v>681</v>
      </c>
      <c r="U2127" t="s">
        <v>682</v>
      </c>
      <c r="V2127" t="s">
        <v>683</v>
      </c>
      <c r="W2127" t="s">
        <v>684</v>
      </c>
    </row>
    <row r="2128" spans="1:24">
      <c r="A2128" s="25" t="s">
        <v>347</v>
      </c>
      <c r="B2128">
        <v>95</v>
      </c>
      <c r="C2128" t="s">
        <v>189</v>
      </c>
      <c r="D2128">
        <v>254</v>
      </c>
      <c r="E2128" s="1">
        <v>0.10290000000000001</v>
      </c>
      <c r="G2128" s="1">
        <v>4.3999999999999997E-2</v>
      </c>
      <c r="H2128" s="1">
        <v>0.1108</v>
      </c>
      <c r="I2128" s="1">
        <v>3.8999999999999998E-3</v>
      </c>
      <c r="J2128" s="1">
        <v>4.4000000000000003E-3</v>
      </c>
      <c r="K2128" s="1">
        <v>2.5999999999999999E-2</v>
      </c>
      <c r="L2128" s="1">
        <v>0.03</v>
      </c>
      <c r="M2128" s="1">
        <v>2E-3</v>
      </c>
      <c r="N2128" s="1">
        <v>4.7899999999999998E-2</v>
      </c>
      <c r="P2128" s="1">
        <v>7.9799999999999996E-2</v>
      </c>
      <c r="Q2128" s="1">
        <v>0.35389999999999999</v>
      </c>
      <c r="R2128" s="1">
        <v>0.1837</v>
      </c>
      <c r="T2128" s="1">
        <v>3.3300000000000003E-2</v>
      </c>
      <c r="U2128" s="1">
        <v>2.5999999999999999E-2</v>
      </c>
      <c r="V2128" s="1">
        <v>2.5399999999999999E-2</v>
      </c>
      <c r="W2128" s="1">
        <v>3.1699999999999999E-2</v>
      </c>
    </row>
    <row r="2129" spans="1:23">
      <c r="A2129" s="25" t="s">
        <v>348</v>
      </c>
      <c r="B2129">
        <v>58</v>
      </c>
      <c r="C2129" t="s">
        <v>189</v>
      </c>
      <c r="D2129">
        <v>254</v>
      </c>
      <c r="E2129" s="1">
        <v>7.6200000000000004E-2</v>
      </c>
      <c r="G2129" s="1">
        <v>1.2699999999999999E-2</v>
      </c>
      <c r="H2129" s="1">
        <v>0.2591</v>
      </c>
      <c r="L2129" s="1">
        <v>8.6699999999999999E-2</v>
      </c>
      <c r="N2129" s="1">
        <v>5.0900000000000001E-2</v>
      </c>
      <c r="P2129" s="1">
        <v>0.11020000000000001</v>
      </c>
      <c r="Q2129" s="1">
        <v>0.3629</v>
      </c>
      <c r="R2129" s="1">
        <v>0.16569999999999999</v>
      </c>
      <c r="S2129" s="1">
        <v>6.4999999999999997E-3</v>
      </c>
      <c r="V2129" s="1">
        <v>1.0500000000000001E-2</v>
      </c>
    </row>
    <row r="2130" spans="1:23">
      <c r="A2130" s="25" t="s">
        <v>349</v>
      </c>
      <c r="B2130">
        <v>43</v>
      </c>
      <c r="C2130" t="s">
        <v>189</v>
      </c>
      <c r="D2130">
        <v>254</v>
      </c>
      <c r="G2130" s="1">
        <v>1.38E-2</v>
      </c>
      <c r="H2130" s="1">
        <v>4.4900000000000002E-2</v>
      </c>
      <c r="J2130" s="1">
        <v>1.2999999999999999E-3</v>
      </c>
      <c r="L2130" s="1">
        <v>6.8699999999999997E-2</v>
      </c>
      <c r="P2130" s="1">
        <v>5.16E-2</v>
      </c>
      <c r="Q2130" s="1">
        <v>0.58089999999999997</v>
      </c>
      <c r="R2130" s="1">
        <v>0.15010000000000001</v>
      </c>
      <c r="T2130" s="1">
        <v>1.0500000000000001E-2</v>
      </c>
      <c r="V2130" s="1">
        <v>8.6400000000000005E-2</v>
      </c>
      <c r="W2130" s="1">
        <v>1.2999999999999999E-3</v>
      </c>
    </row>
    <row r="2131" spans="1:23">
      <c r="A2131" s="25" t="s">
        <v>350</v>
      </c>
      <c r="B2131">
        <v>31</v>
      </c>
      <c r="C2131" t="s">
        <v>189</v>
      </c>
      <c r="D2131">
        <v>254</v>
      </c>
      <c r="H2131" s="1">
        <v>0.20499999999999999</v>
      </c>
      <c r="L2131" s="1">
        <v>0.12690000000000001</v>
      </c>
      <c r="N2131" s="1">
        <v>5.3400000000000003E-2</v>
      </c>
      <c r="P2131" s="1">
        <v>0.313</v>
      </c>
      <c r="Q2131" s="1">
        <v>0.46460000000000001</v>
      </c>
      <c r="R2131" s="1">
        <v>6.6900000000000001E-2</v>
      </c>
      <c r="V2131" s="1">
        <v>0.1062</v>
      </c>
    </row>
    <row r="2132" spans="1:23">
      <c r="A2132" s="25" t="s">
        <v>192</v>
      </c>
      <c r="B2132">
        <v>254</v>
      </c>
      <c r="C2132" t="s">
        <v>192</v>
      </c>
      <c r="D2132">
        <v>254</v>
      </c>
      <c r="E2132" s="1">
        <v>5.8599999999999999E-2</v>
      </c>
      <c r="F2132" s="1">
        <v>8.3999999999999995E-3</v>
      </c>
      <c r="G2132" s="1">
        <v>1.9400000000000001E-2</v>
      </c>
      <c r="H2132" s="1">
        <v>0.14649999999999999</v>
      </c>
      <c r="I2132" s="1">
        <v>1.2999999999999999E-3</v>
      </c>
      <c r="J2132" s="1">
        <v>1.6000000000000001E-3</v>
      </c>
      <c r="K2132" s="1">
        <v>8.3999999999999995E-3</v>
      </c>
      <c r="L2132" s="1">
        <v>6.1699999999999998E-2</v>
      </c>
      <c r="M2132" s="1">
        <v>5.9999999999999995E-4</v>
      </c>
      <c r="N2132" s="1">
        <v>3.5099999999999999E-2</v>
      </c>
      <c r="O2132" s="1">
        <v>6.1999999999999998E-3</v>
      </c>
      <c r="P2132" s="1">
        <v>0.11119999999999999</v>
      </c>
      <c r="Q2132" s="1">
        <v>0.43569999999999998</v>
      </c>
      <c r="R2132" s="1">
        <v>0.1328</v>
      </c>
      <c r="S2132" s="1">
        <v>1.8200000000000001E-2</v>
      </c>
      <c r="T2132" s="1">
        <v>1.34E-2</v>
      </c>
      <c r="U2132" s="1">
        <v>8.3999999999999995E-3</v>
      </c>
      <c r="V2132" s="1">
        <v>5.0099999999999999E-2</v>
      </c>
      <c r="W2132" s="1">
        <v>1.0500000000000001E-2</v>
      </c>
    </row>
    <row r="2134" spans="1:23" ht="43.5">
      <c r="A2134" s="25" t="s">
        <v>693</v>
      </c>
    </row>
    <row r="2135" spans="1:23">
      <c r="A2135" s="25" t="s">
        <v>182</v>
      </c>
      <c r="B2135" t="s">
        <v>219</v>
      </c>
      <c r="C2135" t="s">
        <v>181</v>
      </c>
      <c r="D2135" t="s">
        <v>188</v>
      </c>
      <c r="E2135" t="s">
        <v>668</v>
      </c>
      <c r="F2135" t="s">
        <v>669</v>
      </c>
      <c r="G2135" t="s">
        <v>241</v>
      </c>
      <c r="H2135" t="s">
        <v>670</v>
      </c>
      <c r="I2135" t="s">
        <v>671</v>
      </c>
      <c r="J2135" t="s">
        <v>672</v>
      </c>
      <c r="K2135" t="s">
        <v>673</v>
      </c>
      <c r="L2135" t="s">
        <v>674</v>
      </c>
      <c r="M2135" t="s">
        <v>675</v>
      </c>
      <c r="N2135" t="s">
        <v>269</v>
      </c>
      <c r="O2135" t="s">
        <v>676</v>
      </c>
      <c r="P2135" t="s">
        <v>677</v>
      </c>
      <c r="Q2135" t="s">
        <v>678</v>
      </c>
      <c r="R2135" t="s">
        <v>679</v>
      </c>
      <c r="S2135" t="s">
        <v>680</v>
      </c>
      <c r="T2135" t="s">
        <v>681</v>
      </c>
      <c r="U2135" t="s">
        <v>682</v>
      </c>
      <c r="V2135" t="s">
        <v>683</v>
      </c>
      <c r="W2135" t="s">
        <v>684</v>
      </c>
    </row>
    <row r="2136" spans="1:23">
      <c r="A2136" s="25" t="s">
        <v>211</v>
      </c>
      <c r="B2136">
        <v>140</v>
      </c>
      <c r="C2136" t="s">
        <v>189</v>
      </c>
      <c r="D2136">
        <v>254</v>
      </c>
      <c r="E2136" s="1">
        <v>7.6799999999999993E-2</v>
      </c>
      <c r="F2136" s="1">
        <v>1.5299999999999999E-2</v>
      </c>
      <c r="G2136" s="1">
        <v>3.1E-2</v>
      </c>
      <c r="H2136" s="1">
        <v>0.12870000000000001</v>
      </c>
      <c r="I2136" s="1">
        <v>2.3E-3</v>
      </c>
      <c r="J2136" s="1">
        <v>4.0000000000000002E-4</v>
      </c>
      <c r="L2136" s="1">
        <v>7.0499999999999993E-2</v>
      </c>
      <c r="M2136" s="1">
        <v>1.1999999999999999E-3</v>
      </c>
      <c r="O2136" s="1">
        <v>1.1299999999999999E-2</v>
      </c>
      <c r="P2136" s="1">
        <v>8.2900000000000001E-2</v>
      </c>
      <c r="Q2136" s="1">
        <v>0.41920000000000002</v>
      </c>
      <c r="R2136" s="1">
        <v>0.1822</v>
      </c>
      <c r="S2136" s="1">
        <v>3.3099999999999997E-2</v>
      </c>
      <c r="T2136" s="1">
        <v>7.1000000000000004E-3</v>
      </c>
      <c r="V2136" s="1">
        <v>3.2500000000000001E-2</v>
      </c>
      <c r="W2136" s="1">
        <v>4.0000000000000002E-4</v>
      </c>
    </row>
    <row r="2137" spans="1:23">
      <c r="A2137" s="25" t="s">
        <v>212</v>
      </c>
      <c r="B2137">
        <v>69</v>
      </c>
      <c r="C2137" t="s">
        <v>189</v>
      </c>
      <c r="D2137">
        <v>254</v>
      </c>
      <c r="E2137" s="1">
        <v>2.81E-2</v>
      </c>
      <c r="G2137" s="1">
        <v>9.1000000000000004E-3</v>
      </c>
      <c r="H2137" s="1">
        <v>0.18060000000000001</v>
      </c>
      <c r="K2137" s="1">
        <v>3.3599999999999998E-2</v>
      </c>
      <c r="L2137" s="1">
        <v>3.0300000000000001E-2</v>
      </c>
      <c r="N2137" s="1">
        <v>0.1067</v>
      </c>
      <c r="P2137" s="1">
        <v>0.10150000000000001</v>
      </c>
      <c r="Q2137" s="1">
        <v>0.39660000000000001</v>
      </c>
      <c r="R2137" s="1">
        <v>0.1106</v>
      </c>
      <c r="T2137" s="1">
        <v>5.7000000000000002E-3</v>
      </c>
      <c r="U2137" s="1">
        <v>3.3599999999999998E-2</v>
      </c>
      <c r="V2137" s="1">
        <v>1.24E-2</v>
      </c>
      <c r="W2137" s="1">
        <v>4.1000000000000002E-2</v>
      </c>
    </row>
    <row r="2138" spans="1:23">
      <c r="A2138" s="25" t="s">
        <v>213</v>
      </c>
      <c r="B2138">
        <v>45</v>
      </c>
      <c r="C2138" t="s">
        <v>189</v>
      </c>
      <c r="D2138">
        <v>254</v>
      </c>
      <c r="E2138" s="1">
        <v>4.6600000000000003E-2</v>
      </c>
      <c r="H2138" s="1">
        <v>0.1525</v>
      </c>
      <c r="J2138" s="1">
        <v>7.1999999999999998E-3</v>
      </c>
      <c r="L2138" s="1">
        <v>7.6799999999999993E-2</v>
      </c>
      <c r="N2138" s="1">
        <v>4.2099999999999999E-2</v>
      </c>
      <c r="P2138" s="1">
        <v>0.20150000000000001</v>
      </c>
      <c r="Q2138" s="1">
        <v>0.53069999999999995</v>
      </c>
      <c r="R2138" s="1">
        <v>2.41E-2</v>
      </c>
      <c r="T2138" s="1">
        <v>4.0800000000000003E-2</v>
      </c>
      <c r="V2138" s="1">
        <v>0.14610000000000001</v>
      </c>
    </row>
    <row r="2139" spans="1:23">
      <c r="A2139" s="25" t="s">
        <v>192</v>
      </c>
      <c r="B2139">
        <v>254</v>
      </c>
      <c r="C2139" t="s">
        <v>192</v>
      </c>
      <c r="D2139">
        <v>254</v>
      </c>
      <c r="E2139" s="1">
        <v>5.8599999999999999E-2</v>
      </c>
      <c r="F2139" s="1">
        <v>8.3999999999999995E-3</v>
      </c>
      <c r="G2139" s="1">
        <v>1.9400000000000001E-2</v>
      </c>
      <c r="H2139" s="1">
        <v>0.14649999999999999</v>
      </c>
      <c r="I2139" s="1">
        <v>1.2999999999999999E-3</v>
      </c>
      <c r="J2139" s="1">
        <v>1.6000000000000001E-3</v>
      </c>
      <c r="K2139" s="1">
        <v>8.3999999999999995E-3</v>
      </c>
      <c r="L2139" s="1">
        <v>6.1699999999999998E-2</v>
      </c>
      <c r="M2139" s="1">
        <v>5.9999999999999995E-4</v>
      </c>
      <c r="N2139" s="1">
        <v>3.5099999999999999E-2</v>
      </c>
      <c r="O2139" s="1">
        <v>6.1999999999999998E-3</v>
      </c>
      <c r="P2139" s="1">
        <v>0.11119999999999999</v>
      </c>
      <c r="Q2139" s="1">
        <v>0.43569999999999998</v>
      </c>
      <c r="R2139" s="1">
        <v>0.1328</v>
      </c>
      <c r="S2139" s="1">
        <v>1.8200000000000001E-2</v>
      </c>
      <c r="T2139" s="1">
        <v>1.34E-2</v>
      </c>
      <c r="U2139" s="1">
        <v>8.3999999999999995E-3</v>
      </c>
      <c r="V2139" s="1">
        <v>5.0099999999999999E-2</v>
      </c>
      <c r="W2139" s="1">
        <v>1.0500000000000001E-2</v>
      </c>
    </row>
    <row r="2141" spans="1:23" ht="57.95">
      <c r="A2141" s="25" t="s">
        <v>694</v>
      </c>
    </row>
    <row r="2142" spans="1:23">
      <c r="A2142" s="25" t="s">
        <v>182</v>
      </c>
      <c r="B2142" t="s">
        <v>219</v>
      </c>
      <c r="C2142" t="s">
        <v>181</v>
      </c>
      <c r="D2142" t="s">
        <v>188</v>
      </c>
      <c r="E2142" t="s">
        <v>241</v>
      </c>
      <c r="F2142" t="s">
        <v>220</v>
      </c>
      <c r="G2142" t="s">
        <v>243</v>
      </c>
      <c r="H2142" t="s">
        <v>221</v>
      </c>
    </row>
    <row r="2143" spans="1:23">
      <c r="A2143" s="25" t="s">
        <v>190</v>
      </c>
      <c r="B2143">
        <v>1441</v>
      </c>
      <c r="C2143" t="s">
        <v>189</v>
      </c>
      <c r="D2143">
        <v>3008</v>
      </c>
      <c r="E2143" s="1">
        <v>8.0000000000000004E-4</v>
      </c>
      <c r="F2143" s="1">
        <v>0.87560000000000004</v>
      </c>
      <c r="G2143" s="1">
        <v>8.9999999999999998E-4</v>
      </c>
      <c r="H2143" s="1">
        <v>0.1227</v>
      </c>
    </row>
    <row r="2144" spans="1:23">
      <c r="A2144" s="25" t="s">
        <v>191</v>
      </c>
      <c r="B2144">
        <v>1543</v>
      </c>
      <c r="C2144" t="s">
        <v>189</v>
      </c>
      <c r="D2144">
        <v>3008</v>
      </c>
      <c r="E2144" s="1">
        <v>5.3E-3</v>
      </c>
      <c r="F2144" s="1">
        <v>0.85109999999999997</v>
      </c>
      <c r="G2144" s="1">
        <v>2.9999999999999997E-4</v>
      </c>
      <c r="H2144" s="1">
        <v>0.14330000000000001</v>
      </c>
    </row>
    <row r="2145" spans="1:8">
      <c r="A2145" s="25" t="s">
        <v>192</v>
      </c>
      <c r="B2145">
        <v>3008</v>
      </c>
      <c r="C2145" t="s">
        <v>192</v>
      </c>
      <c r="D2145">
        <v>3008</v>
      </c>
      <c r="E2145" s="1">
        <v>3.5000000000000001E-3</v>
      </c>
      <c r="F2145" s="1">
        <v>0.86050000000000004</v>
      </c>
      <c r="G2145" s="1">
        <v>5.9999999999999995E-4</v>
      </c>
      <c r="H2145" s="1">
        <v>0.13539999999999999</v>
      </c>
    </row>
    <row r="2147" spans="1:8" ht="72.599999999999994">
      <c r="A2147" s="25" t="s">
        <v>695</v>
      </c>
    </row>
    <row r="2148" spans="1:8">
      <c r="A2148" s="25" t="s">
        <v>182</v>
      </c>
      <c r="B2148" t="s">
        <v>219</v>
      </c>
      <c r="C2148" t="s">
        <v>181</v>
      </c>
      <c r="D2148" t="s">
        <v>188</v>
      </c>
      <c r="E2148" t="s">
        <v>241</v>
      </c>
      <c r="F2148" t="s">
        <v>220</v>
      </c>
      <c r="G2148" t="s">
        <v>243</v>
      </c>
      <c r="H2148" t="s">
        <v>221</v>
      </c>
    </row>
    <row r="2149" spans="1:8" ht="29.1">
      <c r="A2149" s="25" t="s">
        <v>194</v>
      </c>
      <c r="B2149">
        <v>1585</v>
      </c>
      <c r="C2149" t="s">
        <v>189</v>
      </c>
      <c r="D2149">
        <v>3008</v>
      </c>
      <c r="E2149" s="1">
        <v>3.3999999999999998E-3</v>
      </c>
      <c r="F2149" s="1">
        <v>0.86639999999999995</v>
      </c>
      <c r="G2149" s="1">
        <v>5.0000000000000001E-4</v>
      </c>
      <c r="H2149" s="1">
        <v>0.12970000000000001</v>
      </c>
    </row>
    <row r="2150" spans="1:8" ht="29.1">
      <c r="A2150" s="25" t="s">
        <v>195</v>
      </c>
      <c r="B2150">
        <v>773</v>
      </c>
      <c r="C2150" t="s">
        <v>189</v>
      </c>
      <c r="D2150">
        <v>3008</v>
      </c>
      <c r="E2150" s="1">
        <v>5.3E-3</v>
      </c>
      <c r="F2150" s="1">
        <v>0.86170000000000002</v>
      </c>
      <c r="G2150" s="1">
        <v>1E-3</v>
      </c>
      <c r="H2150" s="1">
        <v>0.1321</v>
      </c>
    </row>
    <row r="2151" spans="1:8" ht="29.1">
      <c r="A2151" s="25" t="s">
        <v>196</v>
      </c>
      <c r="B2151">
        <v>626</v>
      </c>
      <c r="C2151" t="s">
        <v>189</v>
      </c>
      <c r="D2151">
        <v>3008</v>
      </c>
      <c r="E2151" s="1">
        <v>1.2999999999999999E-3</v>
      </c>
      <c r="F2151" s="1">
        <v>0.82389999999999997</v>
      </c>
      <c r="H2151" s="1">
        <v>0.17480000000000001</v>
      </c>
    </row>
    <row r="2152" spans="1:8">
      <c r="A2152" s="25" t="s">
        <v>192</v>
      </c>
      <c r="B2152">
        <v>3008</v>
      </c>
      <c r="C2152" t="s">
        <v>192</v>
      </c>
      <c r="D2152">
        <v>3008</v>
      </c>
      <c r="E2152" s="1">
        <v>3.5000000000000001E-3</v>
      </c>
      <c r="F2152" s="1">
        <v>0.86050000000000004</v>
      </c>
      <c r="G2152" s="1">
        <v>5.9999999999999995E-4</v>
      </c>
      <c r="H2152" s="1">
        <v>0.13539999999999999</v>
      </c>
    </row>
    <row r="2154" spans="1:8" ht="57.95">
      <c r="A2154" s="25" t="s">
        <v>696</v>
      </c>
    </row>
    <row r="2155" spans="1:8">
      <c r="A2155" s="25" t="s">
        <v>182</v>
      </c>
      <c r="B2155" t="s">
        <v>219</v>
      </c>
      <c r="C2155" t="s">
        <v>181</v>
      </c>
      <c r="D2155" t="s">
        <v>188</v>
      </c>
      <c r="E2155" t="s">
        <v>241</v>
      </c>
      <c r="F2155" t="s">
        <v>220</v>
      </c>
      <c r="G2155" t="s">
        <v>243</v>
      </c>
      <c r="H2155" t="s">
        <v>221</v>
      </c>
    </row>
    <row r="2156" spans="1:8">
      <c r="A2156" s="25" t="s">
        <v>198</v>
      </c>
      <c r="B2156">
        <v>414</v>
      </c>
      <c r="C2156" t="s">
        <v>189</v>
      </c>
      <c r="D2156">
        <v>3008</v>
      </c>
      <c r="E2156" s="1">
        <v>1.2999999999999999E-3</v>
      </c>
      <c r="F2156" s="1">
        <v>0.75529999999999997</v>
      </c>
      <c r="H2156" s="1">
        <v>0.24340000000000001</v>
      </c>
    </row>
    <row r="2157" spans="1:8">
      <c r="A2157" s="25" t="s">
        <v>199</v>
      </c>
      <c r="B2157">
        <v>2594</v>
      </c>
      <c r="C2157" t="s">
        <v>189</v>
      </c>
      <c r="D2157">
        <v>3008</v>
      </c>
      <c r="E2157" s="1">
        <v>3.8E-3</v>
      </c>
      <c r="F2157" s="1">
        <v>0.87350000000000005</v>
      </c>
      <c r="G2157" s="1">
        <v>5.9999999999999995E-4</v>
      </c>
      <c r="H2157" s="1">
        <v>0.1221</v>
      </c>
    </row>
    <row r="2158" spans="1:8">
      <c r="A2158" s="25" t="s">
        <v>192</v>
      </c>
      <c r="B2158">
        <v>3008</v>
      </c>
      <c r="C2158" t="s">
        <v>192</v>
      </c>
      <c r="D2158">
        <v>3008</v>
      </c>
      <c r="E2158" s="1">
        <v>3.5000000000000001E-3</v>
      </c>
      <c r="F2158" s="1">
        <v>0.86050000000000004</v>
      </c>
      <c r="G2158" s="1">
        <v>5.9999999999999995E-4</v>
      </c>
      <c r="H2158" s="1">
        <v>0.13539999999999999</v>
      </c>
    </row>
    <row r="2160" spans="1:8" ht="57.95">
      <c r="A2160" s="25" t="s">
        <v>697</v>
      </c>
    </row>
    <row r="2161" spans="1:8">
      <c r="A2161" s="25" t="s">
        <v>182</v>
      </c>
      <c r="B2161" t="s">
        <v>219</v>
      </c>
      <c r="C2161" t="s">
        <v>181</v>
      </c>
      <c r="D2161" t="s">
        <v>188</v>
      </c>
      <c r="E2161" t="s">
        <v>241</v>
      </c>
      <c r="F2161" t="s">
        <v>220</v>
      </c>
      <c r="G2161" t="s">
        <v>243</v>
      </c>
      <c r="H2161" t="s">
        <v>221</v>
      </c>
    </row>
    <row r="2162" spans="1:8">
      <c r="A2162" s="25" t="s">
        <v>201</v>
      </c>
      <c r="B2162">
        <v>315</v>
      </c>
      <c r="C2162" t="s">
        <v>189</v>
      </c>
      <c r="D2162">
        <v>3008</v>
      </c>
      <c r="F2162" s="1">
        <v>0.71499999999999997</v>
      </c>
      <c r="G2162" s="1">
        <v>5.9999999999999995E-4</v>
      </c>
      <c r="H2162" s="1">
        <v>0.28439999999999999</v>
      </c>
    </row>
    <row r="2163" spans="1:8">
      <c r="A2163" s="25" t="s">
        <v>202</v>
      </c>
      <c r="B2163">
        <v>39</v>
      </c>
      <c r="C2163" t="s">
        <v>189</v>
      </c>
      <c r="D2163">
        <v>3008</v>
      </c>
      <c r="F2163" s="1">
        <v>0.8276</v>
      </c>
      <c r="H2163" s="1">
        <v>0.1724</v>
      </c>
    </row>
    <row r="2164" spans="1:8">
      <c r="A2164" s="25" t="s">
        <v>203</v>
      </c>
      <c r="B2164">
        <v>2000</v>
      </c>
      <c r="C2164" t="s">
        <v>189</v>
      </c>
      <c r="D2164">
        <v>3008</v>
      </c>
      <c r="E2164" s="1">
        <v>5.1000000000000004E-3</v>
      </c>
      <c r="F2164" s="1">
        <v>0.90690000000000004</v>
      </c>
      <c r="G2164" s="1">
        <v>6.9999999999999999E-4</v>
      </c>
      <c r="H2164" s="1">
        <v>8.7300000000000003E-2</v>
      </c>
    </row>
    <row r="2165" spans="1:8">
      <c r="A2165" s="25" t="s">
        <v>204</v>
      </c>
      <c r="B2165">
        <v>5</v>
      </c>
      <c r="C2165" t="s">
        <v>189</v>
      </c>
      <c r="D2165">
        <v>3008</v>
      </c>
      <c r="F2165" s="1">
        <v>0.90649999999999997</v>
      </c>
      <c r="H2165" s="1">
        <v>9.35E-2</v>
      </c>
    </row>
    <row r="2166" spans="1:8">
      <c r="A2166" s="25" t="s">
        <v>205</v>
      </c>
      <c r="B2166">
        <v>649</v>
      </c>
      <c r="C2166" t="s">
        <v>189</v>
      </c>
      <c r="D2166">
        <v>3008</v>
      </c>
      <c r="F2166" s="1">
        <v>0.77429999999999999</v>
      </c>
      <c r="H2166" s="1">
        <v>0.22570000000000001</v>
      </c>
    </row>
    <row r="2167" spans="1:8">
      <c r="A2167" s="25" t="s">
        <v>192</v>
      </c>
      <c r="B2167">
        <v>3008</v>
      </c>
      <c r="C2167" t="s">
        <v>192</v>
      </c>
      <c r="D2167">
        <v>3008</v>
      </c>
      <c r="E2167" s="1">
        <v>3.5000000000000001E-3</v>
      </c>
      <c r="F2167" s="1">
        <v>0.86050000000000004</v>
      </c>
      <c r="G2167" s="1">
        <v>5.9999999999999995E-4</v>
      </c>
      <c r="H2167" s="1">
        <v>0.13539999999999999</v>
      </c>
    </row>
    <row r="2169" spans="1:8" ht="57.95">
      <c r="A2169" s="25" t="s">
        <v>698</v>
      </c>
    </row>
    <row r="2170" spans="1:8">
      <c r="A2170" s="25" t="s">
        <v>182</v>
      </c>
      <c r="B2170" t="s">
        <v>219</v>
      </c>
      <c r="C2170" t="s">
        <v>181</v>
      </c>
      <c r="D2170" t="s">
        <v>188</v>
      </c>
      <c r="E2170" t="s">
        <v>241</v>
      </c>
      <c r="F2170" t="s">
        <v>220</v>
      </c>
      <c r="G2170" t="s">
        <v>243</v>
      </c>
      <c r="H2170" t="s">
        <v>221</v>
      </c>
    </row>
    <row r="2171" spans="1:8">
      <c r="A2171" s="25" t="s">
        <v>207</v>
      </c>
      <c r="B2171">
        <v>2235</v>
      </c>
      <c r="C2171" t="s">
        <v>189</v>
      </c>
      <c r="D2171">
        <v>3008</v>
      </c>
      <c r="E2171" s="1">
        <v>1.5E-3</v>
      </c>
      <c r="F2171" s="1">
        <v>0.86970000000000003</v>
      </c>
      <c r="G2171" s="1">
        <v>5.9999999999999995E-4</v>
      </c>
      <c r="H2171" s="1">
        <v>0.1283</v>
      </c>
    </row>
    <row r="2172" spans="1:8">
      <c r="A2172" s="25" t="s">
        <v>208</v>
      </c>
      <c r="B2172">
        <v>4</v>
      </c>
      <c r="C2172" t="s">
        <v>189</v>
      </c>
      <c r="D2172">
        <v>3008</v>
      </c>
      <c r="F2172" s="1">
        <v>0.98540000000000005</v>
      </c>
      <c r="H2172" s="1">
        <v>1.46E-2</v>
      </c>
    </row>
    <row r="2173" spans="1:8">
      <c r="A2173" s="25" t="s">
        <v>209</v>
      </c>
      <c r="B2173">
        <v>769</v>
      </c>
      <c r="C2173" t="s">
        <v>189</v>
      </c>
      <c r="D2173">
        <v>3008</v>
      </c>
      <c r="E2173" s="1">
        <v>1.01E-2</v>
      </c>
      <c r="F2173" s="1">
        <v>0.8286</v>
      </c>
      <c r="G2173" s="1">
        <v>5.0000000000000001E-4</v>
      </c>
      <c r="H2173" s="1">
        <v>0.1608</v>
      </c>
    </row>
    <row r="2174" spans="1:8">
      <c r="A2174" s="25" t="s">
        <v>192</v>
      </c>
      <c r="B2174">
        <v>3008</v>
      </c>
      <c r="C2174" t="s">
        <v>192</v>
      </c>
      <c r="D2174">
        <v>3008</v>
      </c>
      <c r="E2174" s="1">
        <v>3.5000000000000001E-3</v>
      </c>
      <c r="F2174" s="1">
        <v>0.86050000000000004</v>
      </c>
      <c r="G2174" s="1">
        <v>5.9999999999999995E-4</v>
      </c>
      <c r="H2174" s="1">
        <v>0.13539999999999999</v>
      </c>
    </row>
    <row r="2176" spans="1:8" ht="57.95">
      <c r="A2176" s="25" t="s">
        <v>699</v>
      </c>
    </row>
    <row r="2177" spans="1:8">
      <c r="A2177" s="25" t="s">
        <v>182</v>
      </c>
      <c r="B2177" t="s">
        <v>219</v>
      </c>
      <c r="C2177" t="s">
        <v>181</v>
      </c>
      <c r="D2177" t="s">
        <v>188</v>
      </c>
      <c r="E2177" t="s">
        <v>241</v>
      </c>
      <c r="F2177" t="s">
        <v>220</v>
      </c>
      <c r="G2177" t="s">
        <v>243</v>
      </c>
      <c r="H2177" t="s">
        <v>221</v>
      </c>
    </row>
    <row r="2178" spans="1:8">
      <c r="A2178" s="25" t="s">
        <v>299</v>
      </c>
      <c r="B2178">
        <v>375</v>
      </c>
      <c r="C2178" t="s">
        <v>189</v>
      </c>
      <c r="D2178">
        <v>3008</v>
      </c>
      <c r="E2178" s="1">
        <v>1.2999999999999999E-3</v>
      </c>
      <c r="F2178" s="1">
        <v>0.85670000000000002</v>
      </c>
      <c r="G2178" s="1">
        <v>5.0000000000000001E-4</v>
      </c>
      <c r="H2178" s="1">
        <v>0.1414</v>
      </c>
    </row>
    <row r="2179" spans="1:8">
      <c r="A2179" s="25" t="s">
        <v>300</v>
      </c>
      <c r="B2179">
        <v>2524</v>
      </c>
      <c r="C2179" t="s">
        <v>189</v>
      </c>
      <c r="D2179">
        <v>3008</v>
      </c>
      <c r="E2179" s="1">
        <v>4.0000000000000001E-3</v>
      </c>
      <c r="F2179" s="1">
        <v>0.85770000000000002</v>
      </c>
      <c r="G2179" s="1">
        <v>5.9999999999999995E-4</v>
      </c>
      <c r="H2179" s="1">
        <v>0.13769999999999999</v>
      </c>
    </row>
    <row r="2180" spans="1:8">
      <c r="A2180" s="25" t="s">
        <v>301</v>
      </c>
      <c r="B2180">
        <v>19</v>
      </c>
      <c r="C2180" t="s">
        <v>189</v>
      </c>
      <c r="D2180">
        <v>3008</v>
      </c>
      <c r="F2180" s="1">
        <v>0.92900000000000005</v>
      </c>
      <c r="H2180" s="1">
        <v>7.0999999999999994E-2</v>
      </c>
    </row>
    <row r="2181" spans="1:8">
      <c r="A2181" s="25" t="s">
        <v>302</v>
      </c>
      <c r="B2181">
        <v>90</v>
      </c>
      <c r="C2181" t="s">
        <v>189</v>
      </c>
      <c r="D2181">
        <v>3008</v>
      </c>
      <c r="F2181" s="1">
        <v>0.92969999999999997</v>
      </c>
      <c r="H2181" s="1">
        <v>7.0300000000000001E-2</v>
      </c>
    </row>
    <row r="2182" spans="1:8">
      <c r="A2182" s="25" t="s">
        <v>192</v>
      </c>
      <c r="B2182">
        <v>3008</v>
      </c>
      <c r="C2182" t="s">
        <v>192</v>
      </c>
      <c r="D2182">
        <v>3008</v>
      </c>
      <c r="E2182" s="1">
        <v>3.5000000000000001E-3</v>
      </c>
      <c r="F2182" s="1">
        <v>0.86050000000000004</v>
      </c>
      <c r="G2182" s="1">
        <v>5.9999999999999995E-4</v>
      </c>
      <c r="H2182" s="1">
        <v>0.13539999999999999</v>
      </c>
    </row>
    <row r="2184" spans="1:8" ht="57.95">
      <c r="A2184" s="25" t="s">
        <v>700</v>
      </c>
    </row>
    <row r="2185" spans="1:8">
      <c r="A2185" s="25" t="s">
        <v>182</v>
      </c>
      <c r="B2185" t="s">
        <v>219</v>
      </c>
      <c r="C2185" t="s">
        <v>181</v>
      </c>
      <c r="D2185" t="s">
        <v>188</v>
      </c>
      <c r="E2185" t="s">
        <v>241</v>
      </c>
      <c r="F2185" t="s">
        <v>220</v>
      </c>
      <c r="G2185" t="s">
        <v>243</v>
      </c>
      <c r="H2185" t="s">
        <v>221</v>
      </c>
    </row>
    <row r="2186" spans="1:8">
      <c r="A2186" s="25" t="s">
        <v>347</v>
      </c>
      <c r="B2186">
        <v>857</v>
      </c>
      <c r="C2186" t="s">
        <v>189</v>
      </c>
      <c r="D2186">
        <v>3008</v>
      </c>
      <c r="E2186" s="1">
        <v>9.7999999999999997E-3</v>
      </c>
      <c r="F2186" s="1">
        <v>0.85850000000000004</v>
      </c>
      <c r="G2186" s="1">
        <v>2E-3</v>
      </c>
      <c r="H2186" s="1">
        <v>0.12970000000000001</v>
      </c>
    </row>
    <row r="2187" spans="1:8">
      <c r="A2187" s="25" t="s">
        <v>348</v>
      </c>
      <c r="B2187">
        <v>606</v>
      </c>
      <c r="C2187" t="s">
        <v>189</v>
      </c>
      <c r="D2187">
        <v>3008</v>
      </c>
      <c r="F2187" s="1">
        <v>0.83560000000000001</v>
      </c>
      <c r="H2187" s="1">
        <v>0.16439999999999999</v>
      </c>
    </row>
    <row r="2188" spans="1:8">
      <c r="A2188" s="25" t="s">
        <v>349</v>
      </c>
      <c r="B2188">
        <v>695</v>
      </c>
      <c r="C2188" t="s">
        <v>189</v>
      </c>
      <c r="D2188">
        <v>3008</v>
      </c>
      <c r="E2188" s="1">
        <v>4.0000000000000002E-4</v>
      </c>
      <c r="F2188" s="1">
        <v>0.88970000000000005</v>
      </c>
      <c r="G2188" s="1">
        <v>5.0000000000000001E-4</v>
      </c>
      <c r="H2188" s="1">
        <v>0.1094</v>
      </c>
    </row>
    <row r="2189" spans="1:8">
      <c r="A2189" s="25" t="s">
        <v>350</v>
      </c>
      <c r="B2189">
        <v>526</v>
      </c>
      <c r="C2189" t="s">
        <v>189</v>
      </c>
      <c r="D2189">
        <v>3008</v>
      </c>
      <c r="E2189" s="1">
        <v>5.1999999999999998E-3</v>
      </c>
      <c r="F2189" s="1">
        <v>0.83879999999999999</v>
      </c>
      <c r="H2189" s="1">
        <v>0.15609999999999999</v>
      </c>
    </row>
    <row r="2190" spans="1:8">
      <c r="A2190" s="25" t="s">
        <v>192</v>
      </c>
      <c r="B2190">
        <v>3008</v>
      </c>
      <c r="C2190" t="s">
        <v>192</v>
      </c>
      <c r="D2190">
        <v>3008</v>
      </c>
      <c r="E2190" s="1">
        <v>3.5000000000000001E-3</v>
      </c>
      <c r="F2190" s="1">
        <v>0.86050000000000004</v>
      </c>
      <c r="G2190" s="1">
        <v>5.9999999999999995E-4</v>
      </c>
      <c r="H2190" s="1">
        <v>0.13539999999999999</v>
      </c>
    </row>
    <row r="2192" spans="1:8" ht="57.95">
      <c r="A2192" s="25" t="s">
        <v>701</v>
      </c>
    </row>
    <row r="2193" spans="1:8">
      <c r="A2193" s="25" t="s">
        <v>182</v>
      </c>
      <c r="B2193" t="s">
        <v>219</v>
      </c>
      <c r="C2193" t="s">
        <v>181</v>
      </c>
      <c r="D2193" t="s">
        <v>188</v>
      </c>
      <c r="E2193" t="s">
        <v>241</v>
      </c>
      <c r="F2193" t="s">
        <v>220</v>
      </c>
      <c r="G2193" t="s">
        <v>243</v>
      </c>
      <c r="H2193" t="s">
        <v>221</v>
      </c>
    </row>
    <row r="2194" spans="1:8">
      <c r="A2194" s="25" t="s">
        <v>211</v>
      </c>
      <c r="B2194">
        <v>1715</v>
      </c>
      <c r="C2194" t="s">
        <v>189</v>
      </c>
      <c r="D2194">
        <v>3008</v>
      </c>
      <c r="E2194" s="1">
        <v>2.5000000000000001E-3</v>
      </c>
      <c r="F2194" s="1">
        <v>0.84009999999999996</v>
      </c>
      <c r="G2194" s="1">
        <v>5.9999999999999995E-4</v>
      </c>
      <c r="H2194" s="1">
        <v>0.15679999999999999</v>
      </c>
    </row>
    <row r="2195" spans="1:8">
      <c r="A2195" s="25" t="s">
        <v>212</v>
      </c>
      <c r="B2195">
        <v>848</v>
      </c>
      <c r="C2195" t="s">
        <v>189</v>
      </c>
      <c r="D2195">
        <v>3008</v>
      </c>
      <c r="E2195" s="1">
        <v>4.4000000000000003E-3</v>
      </c>
      <c r="F2195" s="1">
        <v>0.87629999999999997</v>
      </c>
      <c r="G2195" s="1">
        <v>2.0000000000000001E-4</v>
      </c>
      <c r="H2195" s="1">
        <v>0.11899999999999999</v>
      </c>
    </row>
    <row r="2196" spans="1:8">
      <c r="A2196" s="25" t="s">
        <v>213</v>
      </c>
      <c r="B2196">
        <v>445</v>
      </c>
      <c r="C2196" t="s">
        <v>189</v>
      </c>
      <c r="D2196">
        <v>3008</v>
      </c>
      <c r="E2196" s="1">
        <v>5.7999999999999996E-3</v>
      </c>
      <c r="F2196" s="1">
        <v>0.90539999999999998</v>
      </c>
      <c r="G2196" s="1">
        <v>6.9999999999999999E-4</v>
      </c>
      <c r="H2196" s="1">
        <v>8.8099999999999998E-2</v>
      </c>
    </row>
    <row r="2197" spans="1:8">
      <c r="A2197" s="25" t="s">
        <v>192</v>
      </c>
      <c r="B2197">
        <v>3008</v>
      </c>
      <c r="C2197" t="s">
        <v>192</v>
      </c>
      <c r="D2197">
        <v>3008</v>
      </c>
      <c r="E2197" s="1">
        <v>3.5000000000000001E-3</v>
      </c>
      <c r="F2197" s="1">
        <v>0.86050000000000004</v>
      </c>
      <c r="G2197" s="1">
        <v>5.9999999999999995E-4</v>
      </c>
      <c r="H2197" s="1">
        <v>0.13539999999999999</v>
      </c>
    </row>
    <row r="2199" spans="1:8" ht="57.95">
      <c r="A2199" s="25" t="s">
        <v>702</v>
      </c>
    </row>
    <row r="2200" spans="1:8">
      <c r="A2200" s="25" t="s">
        <v>182</v>
      </c>
      <c r="B2200" t="s">
        <v>219</v>
      </c>
      <c r="C2200" t="s">
        <v>181</v>
      </c>
      <c r="D2200" t="s">
        <v>188</v>
      </c>
      <c r="E2200" t="s">
        <v>241</v>
      </c>
      <c r="F2200" t="s">
        <v>220</v>
      </c>
      <c r="G2200" t="s">
        <v>221</v>
      </c>
    </row>
    <row r="2201" spans="1:8">
      <c r="A2201" s="25" t="s">
        <v>190</v>
      </c>
      <c r="B2201">
        <v>1020</v>
      </c>
      <c r="C2201" t="s">
        <v>189</v>
      </c>
      <c r="D2201">
        <v>2047</v>
      </c>
      <c r="F2201" s="1">
        <v>0.95699999999999996</v>
      </c>
      <c r="G2201" s="1">
        <v>4.2999999999999997E-2</v>
      </c>
    </row>
    <row r="2202" spans="1:8">
      <c r="A2202" s="25" t="s">
        <v>191</v>
      </c>
      <c r="B2202">
        <v>1024</v>
      </c>
      <c r="C2202" t="s">
        <v>189</v>
      </c>
      <c r="D2202">
        <v>2047</v>
      </c>
      <c r="E2202" s="1">
        <v>5.0000000000000001E-4</v>
      </c>
      <c r="F2202" s="1">
        <v>0.97109999999999996</v>
      </c>
      <c r="G2202" s="1">
        <v>2.8500000000000001E-2</v>
      </c>
    </row>
    <row r="2203" spans="1:8">
      <c r="A2203" s="25" t="s">
        <v>192</v>
      </c>
      <c r="B2203">
        <v>2047</v>
      </c>
      <c r="C2203" t="s">
        <v>192</v>
      </c>
      <c r="D2203">
        <v>2047</v>
      </c>
      <c r="E2203" s="1">
        <v>2.9999999999999997E-4</v>
      </c>
      <c r="F2203" s="1">
        <v>0.96519999999999995</v>
      </c>
      <c r="G2203" s="1">
        <v>3.4599999999999999E-2</v>
      </c>
    </row>
    <row r="2205" spans="1:8" ht="57.95">
      <c r="A2205" s="25" t="s">
        <v>703</v>
      </c>
    </row>
    <row r="2206" spans="1:8">
      <c r="A2206" s="25" t="s">
        <v>182</v>
      </c>
      <c r="B2206" t="s">
        <v>219</v>
      </c>
      <c r="C2206" t="s">
        <v>181</v>
      </c>
      <c r="D2206" t="s">
        <v>188</v>
      </c>
      <c r="E2206" t="s">
        <v>241</v>
      </c>
      <c r="F2206" t="s">
        <v>220</v>
      </c>
      <c r="G2206" t="s">
        <v>221</v>
      </c>
    </row>
    <row r="2207" spans="1:8" ht="29.1">
      <c r="A2207" s="25" t="s">
        <v>194</v>
      </c>
      <c r="B2207">
        <v>1467</v>
      </c>
      <c r="C2207" t="s">
        <v>189</v>
      </c>
      <c r="D2207">
        <v>2047</v>
      </c>
      <c r="F2207" s="1">
        <v>0.96589999999999998</v>
      </c>
      <c r="G2207" s="1">
        <v>3.4099999999999998E-2</v>
      </c>
    </row>
    <row r="2208" spans="1:8" ht="29.1">
      <c r="A2208" s="25" t="s">
        <v>195</v>
      </c>
      <c r="B2208">
        <v>425</v>
      </c>
      <c r="C2208" t="s">
        <v>189</v>
      </c>
      <c r="D2208">
        <v>2047</v>
      </c>
      <c r="F2208" s="1">
        <v>0.96989999999999998</v>
      </c>
      <c r="G2208" s="1">
        <v>3.0099999999999998E-2</v>
      </c>
    </row>
    <row r="2209" spans="1:7" ht="29.1">
      <c r="A2209" s="25" t="s">
        <v>196</v>
      </c>
      <c r="B2209">
        <v>152</v>
      </c>
      <c r="C2209" t="s">
        <v>189</v>
      </c>
      <c r="D2209">
        <v>2047</v>
      </c>
      <c r="E2209" s="1">
        <v>7.4999999999999997E-3</v>
      </c>
      <c r="F2209" s="1">
        <v>0.93069999999999997</v>
      </c>
      <c r="G2209" s="1">
        <v>6.1800000000000001E-2</v>
      </c>
    </row>
    <row r="2210" spans="1:7">
      <c r="A2210" s="25" t="s">
        <v>192</v>
      </c>
      <c r="B2210">
        <v>2047</v>
      </c>
      <c r="C2210" t="s">
        <v>192</v>
      </c>
      <c r="D2210">
        <v>2047</v>
      </c>
      <c r="E2210" s="1">
        <v>2.9999999999999997E-4</v>
      </c>
      <c r="F2210" s="1">
        <v>0.96519999999999995</v>
      </c>
      <c r="G2210" s="1">
        <v>3.4599999999999999E-2</v>
      </c>
    </row>
    <row r="2212" spans="1:7" ht="57.95">
      <c r="A2212" s="25" t="s">
        <v>704</v>
      </c>
    </row>
    <row r="2213" spans="1:7">
      <c r="A2213" s="25" t="s">
        <v>182</v>
      </c>
      <c r="B2213" t="s">
        <v>219</v>
      </c>
      <c r="C2213" t="s">
        <v>181</v>
      </c>
      <c r="D2213" t="s">
        <v>188</v>
      </c>
      <c r="E2213" t="s">
        <v>241</v>
      </c>
      <c r="F2213" t="s">
        <v>220</v>
      </c>
      <c r="G2213" t="s">
        <v>221</v>
      </c>
    </row>
    <row r="2214" spans="1:7">
      <c r="A2214" s="25" t="s">
        <v>198</v>
      </c>
      <c r="B2214">
        <v>238</v>
      </c>
      <c r="C2214" t="s">
        <v>189</v>
      </c>
      <c r="D2214">
        <v>2047</v>
      </c>
      <c r="F2214" s="1">
        <v>0.93089999999999995</v>
      </c>
      <c r="G2214" s="1">
        <v>6.9099999999999995E-2</v>
      </c>
    </row>
    <row r="2215" spans="1:7">
      <c r="A2215" s="25" t="s">
        <v>199</v>
      </c>
      <c r="B2215">
        <v>1809</v>
      </c>
      <c r="C2215" t="s">
        <v>189</v>
      </c>
      <c r="D2215">
        <v>2047</v>
      </c>
      <c r="E2215" s="1">
        <v>2.9999999999999997E-4</v>
      </c>
      <c r="F2215" s="1">
        <v>0.96899999999999997</v>
      </c>
      <c r="G2215" s="1">
        <v>3.0700000000000002E-2</v>
      </c>
    </row>
    <row r="2216" spans="1:7">
      <c r="A2216" s="25" t="s">
        <v>192</v>
      </c>
      <c r="B2216">
        <v>2047</v>
      </c>
      <c r="C2216" t="s">
        <v>192</v>
      </c>
      <c r="D2216">
        <v>2047</v>
      </c>
      <c r="E2216" s="1">
        <v>2.9999999999999997E-4</v>
      </c>
      <c r="F2216" s="1">
        <v>0.96519999999999995</v>
      </c>
      <c r="G2216" s="1">
        <v>3.4599999999999999E-2</v>
      </c>
    </row>
    <row r="2218" spans="1:7" ht="57.95">
      <c r="A2218" s="25" t="s">
        <v>705</v>
      </c>
    </row>
    <row r="2219" spans="1:7">
      <c r="A2219" s="25" t="s">
        <v>182</v>
      </c>
      <c r="B2219" t="s">
        <v>219</v>
      </c>
      <c r="C2219" t="s">
        <v>181</v>
      </c>
      <c r="D2219" t="s">
        <v>188</v>
      </c>
      <c r="E2219" t="s">
        <v>241</v>
      </c>
      <c r="F2219" t="s">
        <v>220</v>
      </c>
      <c r="G2219" t="s">
        <v>221</v>
      </c>
    </row>
    <row r="2220" spans="1:7">
      <c r="A2220" s="25" t="s">
        <v>201</v>
      </c>
      <c r="B2220">
        <v>119</v>
      </c>
      <c r="C2220" t="s">
        <v>189</v>
      </c>
      <c r="D2220">
        <v>2047</v>
      </c>
      <c r="F2220" s="1">
        <v>0.90449999999999997</v>
      </c>
      <c r="G2220" s="1">
        <v>9.5500000000000002E-2</v>
      </c>
    </row>
    <row r="2221" spans="1:7">
      <c r="A2221" s="25" t="s">
        <v>202</v>
      </c>
      <c r="B2221">
        <v>15</v>
      </c>
      <c r="C2221" t="s">
        <v>189</v>
      </c>
      <c r="D2221">
        <v>2047</v>
      </c>
      <c r="F2221" s="1">
        <v>0.97589999999999999</v>
      </c>
      <c r="G2221" s="1">
        <v>2.41E-2</v>
      </c>
    </row>
    <row r="2222" spans="1:7">
      <c r="A2222" s="25" t="s">
        <v>203</v>
      </c>
      <c r="B2222">
        <v>1598</v>
      </c>
      <c r="C2222" t="s">
        <v>189</v>
      </c>
      <c r="D2222">
        <v>2047</v>
      </c>
      <c r="F2222" s="1">
        <v>0.96950000000000003</v>
      </c>
      <c r="G2222" s="1">
        <v>3.0499999999999999E-2</v>
      </c>
    </row>
    <row r="2223" spans="1:7">
      <c r="A2223" s="25" t="s">
        <v>204</v>
      </c>
      <c r="B2223">
        <v>2</v>
      </c>
      <c r="C2223" t="s">
        <v>189</v>
      </c>
      <c r="D2223">
        <v>2047</v>
      </c>
      <c r="F2223" s="1">
        <v>1</v>
      </c>
    </row>
    <row r="2224" spans="1:7">
      <c r="A2224" s="25" t="s">
        <v>205</v>
      </c>
      <c r="B2224">
        <v>313</v>
      </c>
      <c r="C2224" t="s">
        <v>189</v>
      </c>
      <c r="D2224">
        <v>2047</v>
      </c>
      <c r="E2224" s="1">
        <v>1.5E-3</v>
      </c>
      <c r="F2224" s="1">
        <v>0.97319999999999995</v>
      </c>
      <c r="G2224" s="1">
        <v>2.53E-2</v>
      </c>
    </row>
    <row r="2225" spans="1:7">
      <c r="A2225" s="25" t="s">
        <v>192</v>
      </c>
      <c r="B2225">
        <v>2047</v>
      </c>
      <c r="C2225" t="s">
        <v>192</v>
      </c>
      <c r="D2225">
        <v>2047</v>
      </c>
      <c r="E2225" s="1">
        <v>2.9999999999999997E-4</v>
      </c>
      <c r="F2225" s="1">
        <v>0.96519999999999995</v>
      </c>
      <c r="G2225" s="1">
        <v>3.4599999999999999E-2</v>
      </c>
    </row>
    <row r="2227" spans="1:7" ht="57.95">
      <c r="A2227" s="25" t="s">
        <v>706</v>
      </c>
    </row>
    <row r="2228" spans="1:7">
      <c r="A2228" s="25" t="s">
        <v>182</v>
      </c>
      <c r="B2228" t="s">
        <v>219</v>
      </c>
      <c r="C2228" t="s">
        <v>181</v>
      </c>
      <c r="D2228" t="s">
        <v>188</v>
      </c>
      <c r="E2228" t="s">
        <v>241</v>
      </c>
      <c r="F2228" t="s">
        <v>220</v>
      </c>
      <c r="G2228" t="s">
        <v>221</v>
      </c>
    </row>
    <row r="2229" spans="1:7">
      <c r="A2229" s="25" t="s">
        <v>207</v>
      </c>
      <c r="B2229">
        <v>1491</v>
      </c>
      <c r="C2229" t="s">
        <v>189</v>
      </c>
      <c r="D2229">
        <v>2047</v>
      </c>
      <c r="E2229" s="1">
        <v>4.0000000000000002E-4</v>
      </c>
      <c r="F2229" s="1">
        <v>0.97709999999999997</v>
      </c>
      <c r="G2229" s="1">
        <v>2.2499999999999999E-2</v>
      </c>
    </row>
    <row r="2230" spans="1:7">
      <c r="A2230" s="25" t="s">
        <v>208</v>
      </c>
      <c r="B2230">
        <v>4</v>
      </c>
      <c r="C2230" t="s">
        <v>189</v>
      </c>
      <c r="D2230">
        <v>2047</v>
      </c>
      <c r="F2230" s="1">
        <v>1</v>
      </c>
    </row>
    <row r="2231" spans="1:7">
      <c r="A2231" s="25" t="s">
        <v>209</v>
      </c>
      <c r="B2231">
        <v>552</v>
      </c>
      <c r="C2231" t="s">
        <v>189</v>
      </c>
      <c r="D2231">
        <v>2047</v>
      </c>
      <c r="F2231" s="1">
        <v>0.92769999999999997</v>
      </c>
      <c r="G2231" s="1">
        <v>7.2300000000000003E-2</v>
      </c>
    </row>
    <row r="2232" spans="1:7">
      <c r="A2232" s="25" t="s">
        <v>192</v>
      </c>
      <c r="B2232">
        <v>2047</v>
      </c>
      <c r="C2232" t="s">
        <v>192</v>
      </c>
      <c r="D2232">
        <v>2047</v>
      </c>
      <c r="E2232" s="1">
        <v>2.9999999999999997E-4</v>
      </c>
      <c r="F2232" s="1">
        <v>0.96519999999999995</v>
      </c>
      <c r="G2232" s="1">
        <v>3.4599999999999999E-2</v>
      </c>
    </row>
    <row r="2234" spans="1:7" ht="57.95">
      <c r="A2234" s="25" t="s">
        <v>707</v>
      </c>
    </row>
    <row r="2235" spans="1:7">
      <c r="A2235" s="25" t="s">
        <v>182</v>
      </c>
      <c r="B2235" t="s">
        <v>219</v>
      </c>
      <c r="C2235" t="s">
        <v>181</v>
      </c>
      <c r="D2235" t="s">
        <v>188</v>
      </c>
      <c r="E2235" t="s">
        <v>241</v>
      </c>
      <c r="F2235" t="s">
        <v>220</v>
      </c>
      <c r="G2235" t="s">
        <v>221</v>
      </c>
    </row>
    <row r="2236" spans="1:7">
      <c r="A2236" s="25" t="s">
        <v>299</v>
      </c>
      <c r="B2236">
        <v>203</v>
      </c>
      <c r="C2236" t="s">
        <v>189</v>
      </c>
      <c r="D2236">
        <v>2047</v>
      </c>
      <c r="F2236" s="1">
        <v>0.93640000000000001</v>
      </c>
      <c r="G2236" s="1">
        <v>6.3600000000000004E-2</v>
      </c>
    </row>
    <row r="2237" spans="1:7">
      <c r="A2237" s="25" t="s">
        <v>300</v>
      </c>
      <c r="B2237">
        <v>1782</v>
      </c>
      <c r="C2237" t="s">
        <v>189</v>
      </c>
      <c r="D2237">
        <v>2047</v>
      </c>
      <c r="E2237" s="1">
        <v>2.9999999999999997E-4</v>
      </c>
      <c r="F2237" s="1">
        <v>0.96809999999999996</v>
      </c>
      <c r="G2237" s="1">
        <v>3.1600000000000003E-2</v>
      </c>
    </row>
    <row r="2238" spans="1:7">
      <c r="A2238" s="25" t="s">
        <v>301</v>
      </c>
      <c r="B2238">
        <v>12</v>
      </c>
      <c r="C2238" t="s">
        <v>189</v>
      </c>
      <c r="D2238">
        <v>2047</v>
      </c>
      <c r="F2238" s="1">
        <v>0.878</v>
      </c>
      <c r="G2238" s="1">
        <v>0.122</v>
      </c>
    </row>
    <row r="2239" spans="1:7">
      <c r="A2239" s="25" t="s">
        <v>302</v>
      </c>
      <c r="B2239">
        <v>50</v>
      </c>
      <c r="C2239" t="s">
        <v>189</v>
      </c>
      <c r="D2239">
        <v>2047</v>
      </c>
      <c r="F2239" s="1">
        <v>0.99639999999999995</v>
      </c>
      <c r="G2239" s="1">
        <v>3.5999999999999999E-3</v>
      </c>
    </row>
    <row r="2240" spans="1:7">
      <c r="A2240" s="25" t="s">
        <v>192</v>
      </c>
      <c r="B2240">
        <v>2047</v>
      </c>
      <c r="C2240" t="s">
        <v>192</v>
      </c>
      <c r="D2240">
        <v>2047</v>
      </c>
      <c r="E2240" s="1">
        <v>2.9999999999999997E-4</v>
      </c>
      <c r="F2240" s="1">
        <v>0.96519999999999995</v>
      </c>
      <c r="G2240" s="1">
        <v>3.4599999999999999E-2</v>
      </c>
    </row>
    <row r="2242" spans="1:7" ht="57.95">
      <c r="A2242" s="25" t="s">
        <v>708</v>
      </c>
    </row>
    <row r="2243" spans="1:7">
      <c r="A2243" s="25" t="s">
        <v>182</v>
      </c>
      <c r="B2243" t="s">
        <v>219</v>
      </c>
      <c r="C2243" t="s">
        <v>181</v>
      </c>
      <c r="D2243" t="s">
        <v>188</v>
      </c>
      <c r="E2243" t="s">
        <v>241</v>
      </c>
      <c r="F2243" t="s">
        <v>220</v>
      </c>
      <c r="G2243" t="s">
        <v>221</v>
      </c>
    </row>
    <row r="2244" spans="1:7">
      <c r="A2244" s="25" t="s">
        <v>347</v>
      </c>
      <c r="B2244">
        <v>508</v>
      </c>
      <c r="C2244" t="s">
        <v>189</v>
      </c>
      <c r="D2244">
        <v>2047</v>
      </c>
      <c r="E2244" s="1">
        <v>5.0000000000000001E-4</v>
      </c>
      <c r="F2244" s="1">
        <v>0.97340000000000004</v>
      </c>
      <c r="G2244" s="1">
        <v>2.6100000000000002E-2</v>
      </c>
    </row>
    <row r="2245" spans="1:7">
      <c r="A2245" s="25" t="s">
        <v>348</v>
      </c>
      <c r="B2245">
        <v>404</v>
      </c>
      <c r="C2245" t="s">
        <v>189</v>
      </c>
      <c r="D2245">
        <v>2047</v>
      </c>
      <c r="F2245" s="1">
        <v>0.93659999999999999</v>
      </c>
      <c r="G2245" s="1">
        <v>6.3399999999999998E-2</v>
      </c>
    </row>
    <row r="2246" spans="1:7">
      <c r="A2246" s="25" t="s">
        <v>349</v>
      </c>
      <c r="B2246">
        <v>524</v>
      </c>
      <c r="C2246" t="s">
        <v>189</v>
      </c>
      <c r="D2246">
        <v>2047</v>
      </c>
      <c r="F2246" s="1">
        <v>0.9698</v>
      </c>
      <c r="G2246" s="1">
        <v>3.0200000000000001E-2</v>
      </c>
    </row>
    <row r="2247" spans="1:7">
      <c r="A2247" s="25" t="s">
        <v>350</v>
      </c>
      <c r="B2247">
        <v>400</v>
      </c>
      <c r="C2247" t="s">
        <v>189</v>
      </c>
      <c r="D2247">
        <v>2047</v>
      </c>
      <c r="E2247" s="1">
        <v>5.9999999999999995E-4</v>
      </c>
      <c r="F2247" s="1">
        <v>0.96799999999999997</v>
      </c>
      <c r="G2247" s="1">
        <v>3.1300000000000001E-2</v>
      </c>
    </row>
    <row r="2248" spans="1:7">
      <c r="A2248" s="25" t="s">
        <v>192</v>
      </c>
      <c r="B2248">
        <v>2047</v>
      </c>
      <c r="C2248" t="s">
        <v>192</v>
      </c>
      <c r="D2248">
        <v>2047</v>
      </c>
      <c r="E2248" s="1">
        <v>2.9999999999999997E-4</v>
      </c>
      <c r="F2248" s="1">
        <v>0.96519999999999995</v>
      </c>
      <c r="G2248" s="1">
        <v>3.4599999999999999E-2</v>
      </c>
    </row>
    <row r="2250" spans="1:7" ht="57.95">
      <c r="A2250" s="25" t="s">
        <v>709</v>
      </c>
    </row>
    <row r="2251" spans="1:7">
      <c r="A2251" s="25" t="s">
        <v>182</v>
      </c>
      <c r="B2251" t="s">
        <v>219</v>
      </c>
      <c r="C2251" t="s">
        <v>181</v>
      </c>
      <c r="D2251" t="s">
        <v>188</v>
      </c>
      <c r="E2251" t="s">
        <v>241</v>
      </c>
      <c r="F2251" t="s">
        <v>220</v>
      </c>
      <c r="G2251" t="s">
        <v>221</v>
      </c>
    </row>
    <row r="2252" spans="1:7">
      <c r="A2252" s="25" t="s">
        <v>211</v>
      </c>
      <c r="B2252">
        <v>1226</v>
      </c>
      <c r="C2252" t="s">
        <v>189</v>
      </c>
      <c r="D2252">
        <v>2047</v>
      </c>
      <c r="E2252" s="1">
        <v>2.9999999999999997E-4</v>
      </c>
      <c r="F2252" s="1">
        <v>0.97740000000000005</v>
      </c>
      <c r="G2252" s="1">
        <v>2.23E-2</v>
      </c>
    </row>
    <row r="2253" spans="1:7">
      <c r="A2253" s="25" t="s">
        <v>212</v>
      </c>
      <c r="B2253">
        <v>485</v>
      </c>
      <c r="C2253" t="s">
        <v>189</v>
      </c>
      <c r="D2253">
        <v>2047</v>
      </c>
      <c r="F2253" s="1">
        <v>0.93440000000000001</v>
      </c>
      <c r="G2253" s="1">
        <v>6.5600000000000006E-2</v>
      </c>
    </row>
    <row r="2254" spans="1:7">
      <c r="A2254" s="25" t="s">
        <v>213</v>
      </c>
      <c r="B2254">
        <v>336</v>
      </c>
      <c r="C2254" t="s">
        <v>189</v>
      </c>
      <c r="D2254">
        <v>2047</v>
      </c>
      <c r="E2254" s="1">
        <v>5.0000000000000001E-4</v>
      </c>
      <c r="F2254" s="1">
        <v>0.96530000000000005</v>
      </c>
      <c r="G2254" s="1">
        <v>3.4200000000000001E-2</v>
      </c>
    </row>
    <row r="2255" spans="1:7">
      <c r="A2255" s="25" t="s">
        <v>192</v>
      </c>
      <c r="B2255">
        <v>2047</v>
      </c>
      <c r="C2255" t="s">
        <v>192</v>
      </c>
      <c r="D2255">
        <v>2047</v>
      </c>
      <c r="E2255" s="1">
        <v>2.9999999999999997E-4</v>
      </c>
      <c r="F2255" s="1">
        <v>0.96519999999999995</v>
      </c>
      <c r="G2255" s="1">
        <v>3.4599999999999999E-2</v>
      </c>
    </row>
    <row r="2257" spans="1:8" ht="57.95">
      <c r="A2257" s="25" t="s">
        <v>710</v>
      </c>
    </row>
    <row r="2258" spans="1:8">
      <c r="A2258" s="25" t="s">
        <v>182</v>
      </c>
      <c r="B2258" t="s">
        <v>219</v>
      </c>
      <c r="C2258" t="s">
        <v>181</v>
      </c>
      <c r="D2258" t="s">
        <v>188</v>
      </c>
      <c r="E2258" t="s">
        <v>241</v>
      </c>
      <c r="F2258" t="s">
        <v>220</v>
      </c>
      <c r="G2258" t="s">
        <v>243</v>
      </c>
      <c r="H2258" t="s">
        <v>221</v>
      </c>
    </row>
    <row r="2259" spans="1:8">
      <c r="A2259" s="25" t="s">
        <v>190</v>
      </c>
      <c r="B2259">
        <v>820</v>
      </c>
      <c r="C2259" t="s">
        <v>189</v>
      </c>
      <c r="D2259">
        <v>1889</v>
      </c>
      <c r="E2259" s="1">
        <v>1.1999999999999999E-3</v>
      </c>
      <c r="F2259" s="1">
        <v>0.95579999999999998</v>
      </c>
      <c r="G2259" s="1">
        <v>8.0000000000000004E-4</v>
      </c>
      <c r="H2259" s="1">
        <v>4.2200000000000001E-2</v>
      </c>
    </row>
    <row r="2260" spans="1:8">
      <c r="A2260" s="25" t="s">
        <v>191</v>
      </c>
      <c r="B2260">
        <v>1046</v>
      </c>
      <c r="C2260" t="s">
        <v>189</v>
      </c>
      <c r="D2260">
        <v>1889</v>
      </c>
      <c r="E2260" s="1">
        <v>2.9999999999999997E-4</v>
      </c>
      <c r="F2260" s="1">
        <v>0.94979999999999998</v>
      </c>
      <c r="H2260" s="1">
        <v>4.99E-2</v>
      </c>
    </row>
    <row r="2261" spans="1:8">
      <c r="A2261" s="25" t="s">
        <v>192</v>
      </c>
      <c r="B2261">
        <v>1889</v>
      </c>
      <c r="C2261" t="s">
        <v>192</v>
      </c>
      <c r="D2261">
        <v>1889</v>
      </c>
      <c r="E2261" s="1">
        <v>5.9999999999999995E-4</v>
      </c>
      <c r="F2261" s="1">
        <v>0.95169999999999999</v>
      </c>
      <c r="G2261" s="1">
        <v>2.9999999999999997E-4</v>
      </c>
      <c r="H2261" s="1">
        <v>4.7399999999999998E-2</v>
      </c>
    </row>
    <row r="2263" spans="1:8" ht="57.95">
      <c r="A2263" s="25" t="s">
        <v>711</v>
      </c>
    </row>
    <row r="2264" spans="1:8">
      <c r="A2264" s="25" t="s">
        <v>182</v>
      </c>
      <c r="B2264" t="s">
        <v>219</v>
      </c>
      <c r="C2264" t="s">
        <v>181</v>
      </c>
      <c r="D2264" t="s">
        <v>188</v>
      </c>
      <c r="E2264" t="s">
        <v>241</v>
      </c>
      <c r="F2264" t="s">
        <v>220</v>
      </c>
      <c r="G2264" t="s">
        <v>243</v>
      </c>
      <c r="H2264" t="s">
        <v>221</v>
      </c>
    </row>
    <row r="2265" spans="1:8" ht="29.1">
      <c r="A2265" s="25" t="s">
        <v>194</v>
      </c>
      <c r="B2265">
        <v>663</v>
      </c>
      <c r="C2265" t="s">
        <v>189</v>
      </c>
      <c r="D2265">
        <v>1889</v>
      </c>
      <c r="E2265" s="1">
        <v>4.0000000000000002E-4</v>
      </c>
      <c r="F2265" s="1">
        <v>0.96089999999999998</v>
      </c>
      <c r="H2265" s="1">
        <v>3.8699999999999998E-2</v>
      </c>
    </row>
    <row r="2266" spans="1:8" ht="29.1">
      <c r="A2266" s="25" t="s">
        <v>195</v>
      </c>
      <c r="B2266">
        <v>616</v>
      </c>
      <c r="C2266" t="s">
        <v>189</v>
      </c>
      <c r="D2266">
        <v>1889</v>
      </c>
      <c r="F2266" s="1">
        <v>0.95089999999999997</v>
      </c>
      <c r="G2266" s="1">
        <v>5.0000000000000001E-4</v>
      </c>
      <c r="H2266" s="1">
        <v>4.8599999999999997E-2</v>
      </c>
    </row>
    <row r="2267" spans="1:8" ht="29.1">
      <c r="A2267" s="25" t="s">
        <v>196</v>
      </c>
      <c r="B2267">
        <v>587</v>
      </c>
      <c r="C2267" t="s">
        <v>189</v>
      </c>
      <c r="D2267">
        <v>1889</v>
      </c>
      <c r="E2267" s="1">
        <v>1.9E-3</v>
      </c>
      <c r="F2267" s="1">
        <v>0.9304</v>
      </c>
      <c r="G2267" s="1">
        <v>5.0000000000000001E-4</v>
      </c>
      <c r="H2267" s="1">
        <v>6.7100000000000007E-2</v>
      </c>
    </row>
    <row r="2268" spans="1:8">
      <c r="A2268" s="25" t="s">
        <v>192</v>
      </c>
      <c r="B2268">
        <v>1889</v>
      </c>
      <c r="C2268" t="s">
        <v>192</v>
      </c>
      <c r="D2268">
        <v>1889</v>
      </c>
      <c r="E2268" s="1">
        <v>5.9999999999999995E-4</v>
      </c>
      <c r="F2268" s="1">
        <v>0.95169999999999999</v>
      </c>
      <c r="G2268" s="1">
        <v>2.9999999999999997E-4</v>
      </c>
      <c r="H2268" s="1">
        <v>4.7399999999999998E-2</v>
      </c>
    </row>
    <row r="2270" spans="1:8" ht="57.95">
      <c r="A2270" s="25" t="s">
        <v>712</v>
      </c>
    </row>
    <row r="2271" spans="1:8">
      <c r="A2271" s="25" t="s">
        <v>182</v>
      </c>
      <c r="B2271" t="s">
        <v>219</v>
      </c>
      <c r="C2271" t="s">
        <v>181</v>
      </c>
      <c r="D2271" t="s">
        <v>188</v>
      </c>
      <c r="E2271" t="s">
        <v>241</v>
      </c>
      <c r="F2271" t="s">
        <v>220</v>
      </c>
      <c r="G2271" t="s">
        <v>243</v>
      </c>
      <c r="H2271" t="s">
        <v>221</v>
      </c>
    </row>
    <row r="2272" spans="1:8">
      <c r="A2272" s="25" t="s">
        <v>198</v>
      </c>
      <c r="B2272">
        <v>299</v>
      </c>
      <c r="C2272" t="s">
        <v>189</v>
      </c>
      <c r="D2272">
        <v>1889</v>
      </c>
      <c r="F2272" s="1">
        <v>0.91249999999999998</v>
      </c>
      <c r="H2272" s="1">
        <v>8.7499999999999994E-2</v>
      </c>
    </row>
    <row r="2273" spans="1:8">
      <c r="A2273" s="25" t="s">
        <v>199</v>
      </c>
      <c r="B2273">
        <v>1590</v>
      </c>
      <c r="C2273" t="s">
        <v>189</v>
      </c>
      <c r="D2273">
        <v>1889</v>
      </c>
      <c r="E2273" s="1">
        <v>6.9999999999999999E-4</v>
      </c>
      <c r="F2273" s="1">
        <v>0.9577</v>
      </c>
      <c r="G2273" s="1">
        <v>2.9999999999999997E-4</v>
      </c>
      <c r="H2273" s="1">
        <v>4.1300000000000003E-2</v>
      </c>
    </row>
    <row r="2274" spans="1:8">
      <c r="A2274" s="25" t="s">
        <v>192</v>
      </c>
      <c r="B2274">
        <v>1889</v>
      </c>
      <c r="C2274" t="s">
        <v>192</v>
      </c>
      <c r="D2274">
        <v>1889</v>
      </c>
      <c r="E2274" s="1">
        <v>5.9999999999999995E-4</v>
      </c>
      <c r="F2274" s="1">
        <v>0.95169999999999999</v>
      </c>
      <c r="G2274" s="1">
        <v>2.9999999999999997E-4</v>
      </c>
      <c r="H2274" s="1">
        <v>4.7399999999999998E-2</v>
      </c>
    </row>
    <row r="2276" spans="1:8" ht="57.95">
      <c r="A2276" s="25" t="s">
        <v>713</v>
      </c>
    </row>
    <row r="2277" spans="1:8">
      <c r="A2277" s="25" t="s">
        <v>182</v>
      </c>
      <c r="B2277" t="s">
        <v>219</v>
      </c>
      <c r="C2277" t="s">
        <v>181</v>
      </c>
      <c r="D2277" t="s">
        <v>188</v>
      </c>
      <c r="E2277" t="s">
        <v>241</v>
      </c>
      <c r="F2277" t="s">
        <v>220</v>
      </c>
      <c r="G2277" t="s">
        <v>243</v>
      </c>
      <c r="H2277" t="s">
        <v>221</v>
      </c>
    </row>
    <row r="2278" spans="1:8">
      <c r="A2278" s="25" t="s">
        <v>201</v>
      </c>
      <c r="B2278">
        <v>260</v>
      </c>
      <c r="C2278" t="s">
        <v>189</v>
      </c>
      <c r="D2278">
        <v>1889</v>
      </c>
      <c r="E2278" s="1">
        <v>4.5999999999999999E-3</v>
      </c>
      <c r="F2278" s="1">
        <v>0.81130000000000002</v>
      </c>
      <c r="G2278" s="1">
        <v>8.0000000000000004E-4</v>
      </c>
      <c r="H2278" s="1">
        <v>0.18329999999999999</v>
      </c>
    </row>
    <row r="2279" spans="1:8">
      <c r="A2279" s="25" t="s">
        <v>202</v>
      </c>
      <c r="B2279">
        <v>34</v>
      </c>
      <c r="C2279" t="s">
        <v>189</v>
      </c>
      <c r="D2279">
        <v>1889</v>
      </c>
      <c r="F2279" s="1">
        <v>0.90569999999999995</v>
      </c>
      <c r="H2279" s="1">
        <v>9.4299999999999995E-2</v>
      </c>
    </row>
    <row r="2280" spans="1:8">
      <c r="A2280" s="25" t="s">
        <v>203</v>
      </c>
      <c r="B2280">
        <v>1096</v>
      </c>
      <c r="C2280" t="s">
        <v>189</v>
      </c>
      <c r="D2280">
        <v>1889</v>
      </c>
      <c r="F2280" s="1">
        <v>0.98799999999999999</v>
      </c>
      <c r="G2280" s="1">
        <v>2.0000000000000001E-4</v>
      </c>
      <c r="H2280" s="1">
        <v>1.17E-2</v>
      </c>
    </row>
    <row r="2281" spans="1:8">
      <c r="A2281" s="25" t="s">
        <v>204</v>
      </c>
      <c r="B2281">
        <v>4</v>
      </c>
      <c r="C2281" t="s">
        <v>189</v>
      </c>
      <c r="D2281">
        <v>1889</v>
      </c>
      <c r="F2281" s="1">
        <v>0.72340000000000004</v>
      </c>
      <c r="H2281" s="1">
        <v>0.27660000000000001</v>
      </c>
    </row>
    <row r="2282" spans="1:8">
      <c r="A2282" s="25" t="s">
        <v>205</v>
      </c>
      <c r="B2282">
        <v>495</v>
      </c>
      <c r="C2282" t="s">
        <v>189</v>
      </c>
      <c r="D2282">
        <v>1889</v>
      </c>
      <c r="F2282" s="1">
        <v>0.93830000000000002</v>
      </c>
      <c r="H2282" s="1">
        <v>6.1699999999999998E-2</v>
      </c>
    </row>
    <row r="2283" spans="1:8">
      <c r="A2283" s="25" t="s">
        <v>192</v>
      </c>
      <c r="B2283">
        <v>1889</v>
      </c>
      <c r="C2283" t="s">
        <v>192</v>
      </c>
      <c r="D2283">
        <v>1889</v>
      </c>
      <c r="E2283" s="1">
        <v>5.9999999999999995E-4</v>
      </c>
      <c r="F2283" s="1">
        <v>0.95169999999999999</v>
      </c>
      <c r="G2283" s="1">
        <v>2.9999999999999997E-4</v>
      </c>
      <c r="H2283" s="1">
        <v>4.7399999999999998E-2</v>
      </c>
    </row>
    <row r="2285" spans="1:8" ht="57.95">
      <c r="A2285" s="25" t="s">
        <v>714</v>
      </c>
    </row>
    <row r="2286" spans="1:8">
      <c r="A2286" s="25" t="s">
        <v>182</v>
      </c>
      <c r="B2286" t="s">
        <v>219</v>
      </c>
      <c r="C2286" t="s">
        <v>181</v>
      </c>
      <c r="D2286" t="s">
        <v>188</v>
      </c>
      <c r="E2286" t="s">
        <v>241</v>
      </c>
      <c r="F2286" t="s">
        <v>220</v>
      </c>
      <c r="G2286" t="s">
        <v>243</v>
      </c>
      <c r="H2286" t="s">
        <v>221</v>
      </c>
    </row>
    <row r="2287" spans="1:8">
      <c r="A2287" s="25" t="s">
        <v>207</v>
      </c>
      <c r="B2287">
        <v>1423</v>
      </c>
      <c r="C2287" t="s">
        <v>189</v>
      </c>
      <c r="D2287">
        <v>1889</v>
      </c>
      <c r="E2287" s="1">
        <v>8.0000000000000004E-4</v>
      </c>
      <c r="F2287" s="1">
        <v>0.95640000000000003</v>
      </c>
      <c r="G2287" s="1">
        <v>2.9999999999999997E-4</v>
      </c>
      <c r="H2287" s="1">
        <v>4.2500000000000003E-2</v>
      </c>
    </row>
    <row r="2288" spans="1:8">
      <c r="A2288" s="25" t="s">
        <v>208</v>
      </c>
      <c r="B2288">
        <v>1</v>
      </c>
      <c r="C2288" t="s">
        <v>189</v>
      </c>
      <c r="D2288">
        <v>1889</v>
      </c>
      <c r="H2288" s="1">
        <v>1</v>
      </c>
    </row>
    <row r="2289" spans="1:8">
      <c r="A2289" s="25" t="s">
        <v>209</v>
      </c>
      <c r="B2289">
        <v>465</v>
      </c>
      <c r="C2289" t="s">
        <v>189</v>
      </c>
      <c r="D2289">
        <v>1889</v>
      </c>
      <c r="F2289" s="1">
        <v>0.93620000000000003</v>
      </c>
      <c r="H2289" s="1">
        <v>6.3799999999999996E-2</v>
      </c>
    </row>
    <row r="2290" spans="1:8">
      <c r="A2290" s="25" t="s">
        <v>192</v>
      </c>
      <c r="B2290">
        <v>1889</v>
      </c>
      <c r="C2290" t="s">
        <v>192</v>
      </c>
      <c r="D2290">
        <v>1889</v>
      </c>
      <c r="E2290" s="1">
        <v>5.9999999999999995E-4</v>
      </c>
      <c r="F2290" s="1">
        <v>0.95169999999999999</v>
      </c>
      <c r="G2290" s="1">
        <v>2.9999999999999997E-4</v>
      </c>
      <c r="H2290" s="1">
        <v>4.7399999999999998E-2</v>
      </c>
    </row>
    <row r="2292" spans="1:8" ht="57.95">
      <c r="A2292" s="25" t="s">
        <v>715</v>
      </c>
    </row>
    <row r="2293" spans="1:8">
      <c r="A2293" s="25" t="s">
        <v>182</v>
      </c>
      <c r="B2293" t="s">
        <v>219</v>
      </c>
      <c r="C2293" t="s">
        <v>181</v>
      </c>
      <c r="D2293" t="s">
        <v>188</v>
      </c>
      <c r="E2293" t="s">
        <v>241</v>
      </c>
      <c r="F2293" t="s">
        <v>220</v>
      </c>
      <c r="G2293" t="s">
        <v>243</v>
      </c>
      <c r="H2293" t="s">
        <v>221</v>
      </c>
    </row>
    <row r="2294" spans="1:8">
      <c r="A2294" s="25" t="s">
        <v>299</v>
      </c>
      <c r="B2294">
        <v>267</v>
      </c>
      <c r="C2294" t="s">
        <v>189</v>
      </c>
      <c r="D2294">
        <v>1889</v>
      </c>
      <c r="E2294" s="1">
        <v>3.0000000000000001E-3</v>
      </c>
      <c r="F2294" s="1">
        <v>0.90939999999999999</v>
      </c>
      <c r="G2294" s="1">
        <v>1.1000000000000001E-3</v>
      </c>
      <c r="H2294" s="1">
        <v>8.6499999999999994E-2</v>
      </c>
    </row>
    <row r="2295" spans="1:8">
      <c r="A2295" s="25" t="s">
        <v>300</v>
      </c>
      <c r="B2295">
        <v>1541</v>
      </c>
      <c r="C2295" t="s">
        <v>189</v>
      </c>
      <c r="D2295">
        <v>1889</v>
      </c>
      <c r="E2295" s="1">
        <v>2.0000000000000001E-4</v>
      </c>
      <c r="F2295" s="1">
        <v>0.95630000000000004</v>
      </c>
      <c r="G2295" s="1">
        <v>1E-4</v>
      </c>
      <c r="H2295" s="1">
        <v>4.3299999999999998E-2</v>
      </c>
    </row>
    <row r="2296" spans="1:8">
      <c r="A2296" s="25" t="s">
        <v>301</v>
      </c>
      <c r="B2296">
        <v>14</v>
      </c>
      <c r="C2296" t="s">
        <v>189</v>
      </c>
      <c r="D2296">
        <v>1889</v>
      </c>
      <c r="F2296" s="1">
        <v>0.9758</v>
      </c>
      <c r="H2296" s="1">
        <v>2.4199999999999999E-2</v>
      </c>
    </row>
    <row r="2297" spans="1:8">
      <c r="A2297" s="25" t="s">
        <v>302</v>
      </c>
      <c r="B2297">
        <v>67</v>
      </c>
      <c r="C2297" t="s">
        <v>189</v>
      </c>
      <c r="D2297">
        <v>1889</v>
      </c>
      <c r="F2297" s="1">
        <v>0.98860000000000003</v>
      </c>
      <c r="H2297" s="1">
        <v>1.14E-2</v>
      </c>
    </row>
    <row r="2298" spans="1:8">
      <c r="A2298" s="25" t="s">
        <v>192</v>
      </c>
      <c r="B2298">
        <v>1889</v>
      </c>
      <c r="C2298" t="s">
        <v>192</v>
      </c>
      <c r="D2298">
        <v>1889</v>
      </c>
      <c r="E2298" s="1">
        <v>5.9999999999999995E-4</v>
      </c>
      <c r="F2298" s="1">
        <v>0.95169999999999999</v>
      </c>
      <c r="G2298" s="1">
        <v>2.9999999999999997E-4</v>
      </c>
      <c r="H2298" s="1">
        <v>4.7399999999999998E-2</v>
      </c>
    </row>
    <row r="2300" spans="1:8" ht="57.95">
      <c r="A2300" s="25" t="s">
        <v>716</v>
      </c>
    </row>
    <row r="2301" spans="1:8">
      <c r="A2301" s="25" t="s">
        <v>182</v>
      </c>
      <c r="B2301" t="s">
        <v>219</v>
      </c>
      <c r="C2301" t="s">
        <v>181</v>
      </c>
      <c r="D2301" t="s">
        <v>188</v>
      </c>
      <c r="E2301" t="s">
        <v>241</v>
      </c>
      <c r="F2301" t="s">
        <v>220</v>
      </c>
      <c r="G2301" t="s">
        <v>243</v>
      </c>
      <c r="H2301" t="s">
        <v>221</v>
      </c>
    </row>
    <row r="2302" spans="1:8">
      <c r="A2302" s="25" t="s">
        <v>347</v>
      </c>
      <c r="B2302">
        <v>576</v>
      </c>
      <c r="C2302" t="s">
        <v>189</v>
      </c>
      <c r="D2302">
        <v>1889</v>
      </c>
      <c r="E2302" s="1">
        <v>1.2999999999999999E-3</v>
      </c>
      <c r="F2302" s="1">
        <v>0.94330000000000003</v>
      </c>
      <c r="G2302" s="1">
        <v>5.0000000000000001E-4</v>
      </c>
      <c r="H2302" s="1">
        <v>5.4899999999999997E-2</v>
      </c>
    </row>
    <row r="2303" spans="1:8">
      <c r="A2303" s="25" t="s">
        <v>348</v>
      </c>
      <c r="B2303">
        <v>388</v>
      </c>
      <c r="C2303" t="s">
        <v>189</v>
      </c>
      <c r="D2303">
        <v>1889</v>
      </c>
      <c r="F2303" s="1">
        <v>0.93240000000000001</v>
      </c>
      <c r="H2303" s="1">
        <v>6.7599999999999993E-2</v>
      </c>
    </row>
    <row r="2304" spans="1:8">
      <c r="A2304" s="25" t="s">
        <v>349</v>
      </c>
      <c r="B2304">
        <v>409</v>
      </c>
      <c r="C2304" t="s">
        <v>189</v>
      </c>
      <c r="D2304">
        <v>1889</v>
      </c>
      <c r="E2304" s="1">
        <v>8.0000000000000004E-4</v>
      </c>
      <c r="F2304" s="1">
        <v>0.95120000000000005</v>
      </c>
      <c r="G2304" s="1">
        <v>5.9999999999999995E-4</v>
      </c>
      <c r="H2304" s="1">
        <v>4.7399999999999998E-2</v>
      </c>
    </row>
    <row r="2305" spans="1:8">
      <c r="A2305" s="25" t="s">
        <v>350</v>
      </c>
      <c r="B2305">
        <v>304</v>
      </c>
      <c r="C2305" t="s">
        <v>189</v>
      </c>
      <c r="D2305">
        <v>1889</v>
      </c>
      <c r="E2305" s="1">
        <v>4.0000000000000002E-4</v>
      </c>
      <c r="F2305" s="1">
        <v>0.96040000000000003</v>
      </c>
      <c r="H2305" s="1">
        <v>3.9199999999999999E-2</v>
      </c>
    </row>
    <row r="2306" spans="1:8">
      <c r="A2306" s="25" t="s">
        <v>192</v>
      </c>
      <c r="B2306">
        <v>1889</v>
      </c>
      <c r="C2306" t="s">
        <v>192</v>
      </c>
      <c r="D2306">
        <v>1889</v>
      </c>
      <c r="E2306" s="1">
        <v>5.9999999999999995E-4</v>
      </c>
      <c r="F2306" s="1">
        <v>0.95169999999999999</v>
      </c>
      <c r="G2306" s="1">
        <v>2.9999999999999997E-4</v>
      </c>
      <c r="H2306" s="1">
        <v>4.7399999999999998E-2</v>
      </c>
    </row>
    <row r="2308" spans="1:8" ht="57.95">
      <c r="A2308" s="25" t="s">
        <v>717</v>
      </c>
    </row>
    <row r="2309" spans="1:8">
      <c r="A2309" s="25" t="s">
        <v>182</v>
      </c>
      <c r="B2309" t="s">
        <v>219</v>
      </c>
      <c r="C2309" t="s">
        <v>181</v>
      </c>
      <c r="D2309" t="s">
        <v>188</v>
      </c>
      <c r="E2309" t="s">
        <v>241</v>
      </c>
      <c r="F2309" t="s">
        <v>220</v>
      </c>
      <c r="G2309" t="s">
        <v>243</v>
      </c>
      <c r="H2309" t="s">
        <v>221</v>
      </c>
    </row>
    <row r="2310" spans="1:8">
      <c r="A2310" s="25" t="s">
        <v>211</v>
      </c>
      <c r="B2310">
        <v>1047</v>
      </c>
      <c r="C2310" t="s">
        <v>189</v>
      </c>
      <c r="D2310">
        <v>1889</v>
      </c>
      <c r="E2310" s="1">
        <v>4.0000000000000002E-4</v>
      </c>
      <c r="F2310" s="1">
        <v>0.96209999999999996</v>
      </c>
      <c r="H2310" s="1">
        <v>3.7600000000000001E-2</v>
      </c>
    </row>
    <row r="2311" spans="1:8">
      <c r="A2311" s="25" t="s">
        <v>212</v>
      </c>
      <c r="B2311">
        <v>589</v>
      </c>
      <c r="C2311" t="s">
        <v>189</v>
      </c>
      <c r="D2311">
        <v>1889</v>
      </c>
      <c r="E2311" s="1">
        <v>1.4E-3</v>
      </c>
      <c r="F2311" s="1">
        <v>0.93049999999999999</v>
      </c>
      <c r="G2311" s="1">
        <v>8.9999999999999998E-4</v>
      </c>
      <c r="H2311" s="1">
        <v>6.7199999999999996E-2</v>
      </c>
    </row>
    <row r="2312" spans="1:8">
      <c r="A2312" s="25" t="s">
        <v>213</v>
      </c>
      <c r="B2312">
        <v>253</v>
      </c>
      <c r="C2312" t="s">
        <v>189</v>
      </c>
      <c r="D2312">
        <v>1889</v>
      </c>
      <c r="F2312" s="1">
        <v>0.95040000000000002</v>
      </c>
      <c r="H2312" s="1">
        <v>4.9599999999999998E-2</v>
      </c>
    </row>
    <row r="2313" spans="1:8">
      <c r="A2313" s="25" t="s">
        <v>192</v>
      </c>
      <c r="B2313">
        <v>1889</v>
      </c>
      <c r="C2313" t="s">
        <v>192</v>
      </c>
      <c r="D2313">
        <v>1889</v>
      </c>
      <c r="E2313" s="1">
        <v>5.9999999999999995E-4</v>
      </c>
      <c r="F2313" s="1">
        <v>0.95169999999999999</v>
      </c>
      <c r="G2313" s="1">
        <v>2.9999999999999997E-4</v>
      </c>
      <c r="H2313" s="1">
        <v>4.7399999999999998E-2</v>
      </c>
    </row>
    <row r="2315" spans="1:8" ht="57.95">
      <c r="A2315" s="25" t="s">
        <v>718</v>
      </c>
    </row>
    <row r="2316" spans="1:8">
      <c r="A2316" s="25" t="s">
        <v>182</v>
      </c>
      <c r="B2316" t="s">
        <v>219</v>
      </c>
      <c r="C2316" t="s">
        <v>181</v>
      </c>
      <c r="D2316" t="s">
        <v>188</v>
      </c>
      <c r="E2316" t="s">
        <v>241</v>
      </c>
      <c r="F2316" t="s">
        <v>220</v>
      </c>
      <c r="G2316" t="s">
        <v>243</v>
      </c>
      <c r="H2316" t="s">
        <v>221</v>
      </c>
    </row>
    <row r="2317" spans="1:8">
      <c r="A2317" s="25" t="s">
        <v>190</v>
      </c>
      <c r="B2317">
        <v>1441</v>
      </c>
      <c r="C2317" t="s">
        <v>189</v>
      </c>
      <c r="D2317">
        <v>3008</v>
      </c>
      <c r="E2317" s="1">
        <v>8.3000000000000001E-3</v>
      </c>
      <c r="F2317" s="1">
        <v>0.751</v>
      </c>
      <c r="H2317" s="1">
        <v>0.24079999999999999</v>
      </c>
    </row>
    <row r="2318" spans="1:8">
      <c r="A2318" s="25" t="s">
        <v>191</v>
      </c>
      <c r="B2318">
        <v>1543</v>
      </c>
      <c r="C2318" t="s">
        <v>189</v>
      </c>
      <c r="D2318">
        <v>3008</v>
      </c>
      <c r="E2318" s="1">
        <v>9.5999999999999992E-3</v>
      </c>
      <c r="F2318" s="1">
        <v>0.69689999999999996</v>
      </c>
      <c r="G2318" s="1">
        <v>2E-3</v>
      </c>
      <c r="H2318" s="1">
        <v>0.29139999999999999</v>
      </c>
    </row>
    <row r="2319" spans="1:8">
      <c r="A2319" s="25" t="s">
        <v>192</v>
      </c>
      <c r="B2319">
        <v>3008</v>
      </c>
      <c r="C2319" t="s">
        <v>192</v>
      </c>
      <c r="D2319">
        <v>3008</v>
      </c>
      <c r="E2319" s="1">
        <v>9.1000000000000004E-3</v>
      </c>
      <c r="F2319" s="1">
        <v>0.7177</v>
      </c>
      <c r="G2319" s="1">
        <v>1.1999999999999999E-3</v>
      </c>
      <c r="H2319" s="1">
        <v>0.27200000000000002</v>
      </c>
    </row>
    <row r="2321" spans="1:8" ht="57.95">
      <c r="A2321" s="25" t="s">
        <v>719</v>
      </c>
    </row>
    <row r="2322" spans="1:8">
      <c r="A2322" s="25" t="s">
        <v>182</v>
      </c>
      <c r="B2322" t="s">
        <v>219</v>
      </c>
      <c r="C2322" t="s">
        <v>181</v>
      </c>
      <c r="D2322" t="s">
        <v>188</v>
      </c>
      <c r="E2322" t="s">
        <v>241</v>
      </c>
      <c r="F2322" t="s">
        <v>220</v>
      </c>
      <c r="G2322" t="s">
        <v>243</v>
      </c>
      <c r="H2322" t="s">
        <v>221</v>
      </c>
    </row>
    <row r="2323" spans="1:8" ht="29.1">
      <c r="A2323" s="25" t="s">
        <v>194</v>
      </c>
      <c r="B2323">
        <v>1585</v>
      </c>
      <c r="C2323" t="s">
        <v>189</v>
      </c>
      <c r="D2323">
        <v>3008</v>
      </c>
      <c r="E2323" s="1">
        <v>5.7999999999999996E-3</v>
      </c>
      <c r="F2323" s="1">
        <v>0.79810000000000003</v>
      </c>
      <c r="G2323" s="1">
        <v>1.6999999999999999E-3</v>
      </c>
      <c r="H2323" s="1">
        <v>0.1943</v>
      </c>
    </row>
    <row r="2324" spans="1:8" ht="29.1">
      <c r="A2324" s="25" t="s">
        <v>195</v>
      </c>
      <c r="B2324">
        <v>773</v>
      </c>
      <c r="C2324" t="s">
        <v>189</v>
      </c>
      <c r="D2324">
        <v>3008</v>
      </c>
      <c r="E2324" s="1">
        <v>2.1299999999999999E-2</v>
      </c>
      <c r="F2324" s="1">
        <v>0.62060000000000004</v>
      </c>
      <c r="H2324" s="1">
        <v>0.35809999999999997</v>
      </c>
    </row>
    <row r="2325" spans="1:8" ht="29.1">
      <c r="A2325" s="25" t="s">
        <v>196</v>
      </c>
      <c r="B2325">
        <v>626</v>
      </c>
      <c r="C2325" t="s">
        <v>189</v>
      </c>
      <c r="D2325">
        <v>3008</v>
      </c>
      <c r="E2325" s="1">
        <v>8.9999999999999993E-3</v>
      </c>
      <c r="F2325" s="1">
        <v>0.37640000000000001</v>
      </c>
      <c r="H2325" s="1">
        <v>0.61470000000000002</v>
      </c>
    </row>
    <row r="2326" spans="1:8">
      <c r="A2326" s="25" t="s">
        <v>192</v>
      </c>
      <c r="B2326">
        <v>3008</v>
      </c>
      <c r="C2326" t="s">
        <v>192</v>
      </c>
      <c r="D2326">
        <v>3008</v>
      </c>
      <c r="E2326" s="1">
        <v>9.1000000000000004E-3</v>
      </c>
      <c r="F2326" s="1">
        <v>0.7177</v>
      </c>
      <c r="G2326" s="1">
        <v>1.1999999999999999E-3</v>
      </c>
      <c r="H2326" s="1">
        <v>0.27200000000000002</v>
      </c>
    </row>
    <row r="2328" spans="1:8" ht="57.95">
      <c r="A2328" s="25" t="s">
        <v>720</v>
      </c>
    </row>
    <row r="2329" spans="1:8">
      <c r="A2329" s="25" t="s">
        <v>182</v>
      </c>
      <c r="B2329" t="s">
        <v>219</v>
      </c>
      <c r="C2329" t="s">
        <v>181</v>
      </c>
      <c r="D2329" t="s">
        <v>188</v>
      </c>
      <c r="E2329" t="s">
        <v>241</v>
      </c>
      <c r="F2329" t="s">
        <v>220</v>
      </c>
      <c r="G2329" t="s">
        <v>243</v>
      </c>
      <c r="H2329" t="s">
        <v>221</v>
      </c>
    </row>
    <row r="2330" spans="1:8">
      <c r="A2330" s="25" t="s">
        <v>198</v>
      </c>
      <c r="B2330">
        <v>414</v>
      </c>
      <c r="C2330" t="s">
        <v>189</v>
      </c>
      <c r="D2330">
        <v>3008</v>
      </c>
      <c r="E2330" s="1">
        <v>6.1999999999999998E-3</v>
      </c>
      <c r="F2330" s="1">
        <v>0.61909999999999998</v>
      </c>
      <c r="H2330" s="1">
        <v>0.37459999999999999</v>
      </c>
    </row>
    <row r="2331" spans="1:8">
      <c r="A2331" s="25" t="s">
        <v>199</v>
      </c>
      <c r="B2331">
        <v>2594</v>
      </c>
      <c r="C2331" t="s">
        <v>189</v>
      </c>
      <c r="D2331">
        <v>3008</v>
      </c>
      <c r="E2331" s="1">
        <v>9.4000000000000004E-3</v>
      </c>
      <c r="F2331" s="1">
        <v>0.72989999999999999</v>
      </c>
      <c r="G2331" s="1">
        <v>1.4E-3</v>
      </c>
      <c r="H2331" s="1">
        <v>0.25929999999999997</v>
      </c>
    </row>
    <row r="2332" spans="1:8">
      <c r="A2332" s="25" t="s">
        <v>192</v>
      </c>
      <c r="B2332">
        <v>3008</v>
      </c>
      <c r="C2332" t="s">
        <v>192</v>
      </c>
      <c r="D2332">
        <v>3008</v>
      </c>
      <c r="E2332" s="1">
        <v>9.1000000000000004E-3</v>
      </c>
      <c r="F2332" s="1">
        <v>0.7177</v>
      </c>
      <c r="G2332" s="1">
        <v>1.1999999999999999E-3</v>
      </c>
      <c r="H2332" s="1">
        <v>0.27200000000000002</v>
      </c>
    </row>
    <row r="2334" spans="1:8" ht="57.95">
      <c r="A2334" s="25" t="s">
        <v>721</v>
      </c>
    </row>
    <row r="2335" spans="1:8">
      <c r="A2335" s="25" t="s">
        <v>182</v>
      </c>
      <c r="B2335" t="s">
        <v>219</v>
      </c>
      <c r="C2335" t="s">
        <v>181</v>
      </c>
      <c r="D2335" t="s">
        <v>188</v>
      </c>
      <c r="E2335" t="s">
        <v>241</v>
      </c>
      <c r="F2335" t="s">
        <v>220</v>
      </c>
      <c r="G2335" t="s">
        <v>243</v>
      </c>
      <c r="H2335" t="s">
        <v>221</v>
      </c>
    </row>
    <row r="2336" spans="1:8">
      <c r="A2336" s="25" t="s">
        <v>201</v>
      </c>
      <c r="B2336">
        <v>315</v>
      </c>
      <c r="C2336" t="s">
        <v>189</v>
      </c>
      <c r="D2336">
        <v>3008</v>
      </c>
      <c r="E2336" s="1">
        <v>6.7999999999999996E-3</v>
      </c>
      <c r="F2336" s="1">
        <v>0.69610000000000005</v>
      </c>
      <c r="H2336" s="1">
        <v>0.29709999999999998</v>
      </c>
    </row>
    <row r="2337" spans="1:8">
      <c r="A2337" s="25" t="s">
        <v>202</v>
      </c>
      <c r="B2337">
        <v>39</v>
      </c>
      <c r="C2337" t="s">
        <v>189</v>
      </c>
      <c r="D2337">
        <v>3008</v>
      </c>
      <c r="F2337" s="1">
        <v>0.38100000000000001</v>
      </c>
      <c r="H2337" s="1">
        <v>0.61899999999999999</v>
      </c>
    </row>
    <row r="2338" spans="1:8">
      <c r="A2338" s="25" t="s">
        <v>203</v>
      </c>
      <c r="B2338">
        <v>2000</v>
      </c>
      <c r="C2338" t="s">
        <v>189</v>
      </c>
      <c r="D2338">
        <v>3008</v>
      </c>
      <c r="E2338" s="1">
        <v>9.7999999999999997E-3</v>
      </c>
      <c r="F2338" s="1">
        <v>0.76</v>
      </c>
      <c r="G2338" s="1">
        <v>1.8E-3</v>
      </c>
      <c r="H2338" s="1">
        <v>0.22850000000000001</v>
      </c>
    </row>
    <row r="2339" spans="1:8">
      <c r="A2339" s="25" t="s">
        <v>204</v>
      </c>
      <c r="B2339">
        <v>5</v>
      </c>
      <c r="C2339" t="s">
        <v>189</v>
      </c>
      <c r="D2339">
        <v>3008</v>
      </c>
      <c r="F2339" s="1">
        <v>0.84330000000000005</v>
      </c>
      <c r="H2339" s="1">
        <v>0.15670000000000001</v>
      </c>
    </row>
    <row r="2340" spans="1:8">
      <c r="A2340" s="25" t="s">
        <v>205</v>
      </c>
      <c r="B2340">
        <v>649</v>
      </c>
      <c r="C2340" t="s">
        <v>189</v>
      </c>
      <c r="D2340">
        <v>3008</v>
      </c>
      <c r="E2340" s="1">
        <v>8.2000000000000007E-3</v>
      </c>
      <c r="F2340" s="1">
        <v>0.59670000000000001</v>
      </c>
      <c r="H2340" s="1">
        <v>0.39510000000000001</v>
      </c>
    </row>
    <row r="2341" spans="1:8">
      <c r="A2341" s="25" t="s">
        <v>192</v>
      </c>
      <c r="B2341">
        <v>3008</v>
      </c>
      <c r="C2341" t="s">
        <v>192</v>
      </c>
      <c r="D2341">
        <v>3008</v>
      </c>
      <c r="E2341" s="1">
        <v>9.1000000000000004E-3</v>
      </c>
      <c r="F2341" s="1">
        <v>0.7177</v>
      </c>
      <c r="G2341" s="1">
        <v>1.1999999999999999E-3</v>
      </c>
      <c r="H2341" s="1">
        <v>0.27200000000000002</v>
      </c>
    </row>
    <row r="2343" spans="1:8" ht="57.95">
      <c r="A2343" s="25" t="s">
        <v>722</v>
      </c>
    </row>
    <row r="2344" spans="1:8">
      <c r="A2344" s="25" t="s">
        <v>182</v>
      </c>
      <c r="B2344" t="s">
        <v>219</v>
      </c>
      <c r="C2344" t="s">
        <v>181</v>
      </c>
      <c r="D2344" t="s">
        <v>188</v>
      </c>
      <c r="E2344" t="s">
        <v>241</v>
      </c>
      <c r="F2344" t="s">
        <v>220</v>
      </c>
      <c r="G2344" t="s">
        <v>243</v>
      </c>
      <c r="H2344" t="s">
        <v>221</v>
      </c>
    </row>
    <row r="2345" spans="1:8">
      <c r="A2345" s="25" t="s">
        <v>207</v>
      </c>
      <c r="B2345">
        <v>2235</v>
      </c>
      <c r="C2345" t="s">
        <v>189</v>
      </c>
      <c r="D2345">
        <v>3008</v>
      </c>
      <c r="E2345" s="1">
        <v>8.3000000000000001E-3</v>
      </c>
      <c r="F2345" s="1">
        <v>0.71940000000000004</v>
      </c>
      <c r="G2345" s="1">
        <v>1.6000000000000001E-3</v>
      </c>
      <c r="H2345" s="1">
        <v>0.27079999999999999</v>
      </c>
    </row>
    <row r="2346" spans="1:8">
      <c r="A2346" s="25" t="s">
        <v>208</v>
      </c>
      <c r="B2346">
        <v>4</v>
      </c>
      <c r="C2346" t="s">
        <v>189</v>
      </c>
      <c r="D2346">
        <v>3008</v>
      </c>
      <c r="F2346" s="1">
        <v>1</v>
      </c>
    </row>
    <row r="2347" spans="1:8">
      <c r="A2347" s="25" t="s">
        <v>209</v>
      </c>
      <c r="B2347">
        <v>769</v>
      </c>
      <c r="C2347" t="s">
        <v>189</v>
      </c>
      <c r="D2347">
        <v>3008</v>
      </c>
      <c r="E2347" s="1">
        <v>1.1900000000000001E-2</v>
      </c>
      <c r="F2347" s="1">
        <v>0.70630000000000004</v>
      </c>
      <c r="H2347" s="1">
        <v>0.28179999999999999</v>
      </c>
    </row>
    <row r="2348" spans="1:8">
      <c r="A2348" s="25" t="s">
        <v>192</v>
      </c>
      <c r="B2348">
        <v>3008</v>
      </c>
      <c r="C2348" t="s">
        <v>192</v>
      </c>
      <c r="D2348">
        <v>3008</v>
      </c>
      <c r="E2348" s="1">
        <v>9.1000000000000004E-3</v>
      </c>
      <c r="F2348" s="1">
        <v>0.7177</v>
      </c>
      <c r="G2348" s="1">
        <v>1.1999999999999999E-3</v>
      </c>
      <c r="H2348" s="1">
        <v>0.27200000000000002</v>
      </c>
    </row>
    <row r="2350" spans="1:8" ht="57.95">
      <c r="A2350" s="25" t="s">
        <v>723</v>
      </c>
    </row>
    <row r="2351" spans="1:8">
      <c r="A2351" s="25" t="s">
        <v>182</v>
      </c>
      <c r="B2351" t="s">
        <v>219</v>
      </c>
      <c r="C2351" t="s">
        <v>181</v>
      </c>
      <c r="D2351" t="s">
        <v>188</v>
      </c>
      <c r="E2351" t="s">
        <v>241</v>
      </c>
      <c r="F2351" t="s">
        <v>220</v>
      </c>
      <c r="G2351" t="s">
        <v>243</v>
      </c>
      <c r="H2351" t="s">
        <v>221</v>
      </c>
    </row>
    <row r="2352" spans="1:8">
      <c r="A2352" s="25" t="s">
        <v>299</v>
      </c>
      <c r="B2352">
        <v>375</v>
      </c>
      <c r="C2352" t="s">
        <v>189</v>
      </c>
      <c r="D2352">
        <v>3008</v>
      </c>
      <c r="E2352" s="1">
        <v>1.6000000000000001E-3</v>
      </c>
      <c r="F2352" s="1">
        <v>0.70220000000000005</v>
      </c>
      <c r="H2352" s="1">
        <v>0.29620000000000002</v>
      </c>
    </row>
    <row r="2353" spans="1:8">
      <c r="A2353" s="25" t="s">
        <v>300</v>
      </c>
      <c r="B2353">
        <v>2524</v>
      </c>
      <c r="C2353" t="s">
        <v>189</v>
      </c>
      <c r="D2353">
        <v>3008</v>
      </c>
      <c r="E2353" s="1">
        <v>1.0200000000000001E-2</v>
      </c>
      <c r="F2353" s="1">
        <v>0.71360000000000001</v>
      </c>
      <c r="G2353" s="1">
        <v>1.4E-3</v>
      </c>
      <c r="H2353" s="1">
        <v>0.2747</v>
      </c>
    </row>
    <row r="2354" spans="1:8">
      <c r="A2354" s="25" t="s">
        <v>301</v>
      </c>
      <c r="B2354">
        <v>19</v>
      </c>
      <c r="C2354" t="s">
        <v>189</v>
      </c>
      <c r="D2354">
        <v>3008</v>
      </c>
      <c r="F2354" s="1">
        <v>0.81479999999999997</v>
      </c>
      <c r="H2354" s="1">
        <v>0.1852</v>
      </c>
    </row>
    <row r="2355" spans="1:8">
      <c r="A2355" s="25" t="s">
        <v>302</v>
      </c>
      <c r="B2355">
        <v>90</v>
      </c>
      <c r="C2355" t="s">
        <v>189</v>
      </c>
      <c r="D2355">
        <v>3008</v>
      </c>
      <c r="E2355" s="1">
        <v>6.1999999999999998E-3</v>
      </c>
      <c r="F2355" s="1">
        <v>0.85199999999999998</v>
      </c>
      <c r="H2355" s="1">
        <v>0.1419</v>
      </c>
    </row>
    <row r="2356" spans="1:8">
      <c r="A2356" s="25" t="s">
        <v>192</v>
      </c>
      <c r="B2356">
        <v>3008</v>
      </c>
      <c r="C2356" t="s">
        <v>192</v>
      </c>
      <c r="D2356">
        <v>3008</v>
      </c>
      <c r="E2356" s="1">
        <v>9.1000000000000004E-3</v>
      </c>
      <c r="F2356" s="1">
        <v>0.7177</v>
      </c>
      <c r="G2356" s="1">
        <v>1.1999999999999999E-3</v>
      </c>
      <c r="H2356" s="1">
        <v>0.27200000000000002</v>
      </c>
    </row>
    <row r="2358" spans="1:8" ht="57.95">
      <c r="A2358" s="25" t="s">
        <v>724</v>
      </c>
    </row>
    <row r="2359" spans="1:8">
      <c r="A2359" s="25" t="s">
        <v>182</v>
      </c>
      <c r="B2359" t="s">
        <v>219</v>
      </c>
      <c r="C2359" t="s">
        <v>181</v>
      </c>
      <c r="D2359" t="s">
        <v>188</v>
      </c>
      <c r="E2359" t="s">
        <v>241</v>
      </c>
      <c r="F2359" t="s">
        <v>220</v>
      </c>
      <c r="G2359" t="s">
        <v>243</v>
      </c>
      <c r="H2359" t="s">
        <v>221</v>
      </c>
    </row>
    <row r="2360" spans="1:8">
      <c r="A2360" s="25" t="s">
        <v>347</v>
      </c>
      <c r="B2360">
        <v>857</v>
      </c>
      <c r="C2360" t="s">
        <v>189</v>
      </c>
      <c r="D2360">
        <v>3008</v>
      </c>
      <c r="E2360" s="1">
        <v>1.5299999999999999E-2</v>
      </c>
      <c r="F2360" s="1">
        <v>0.67689999999999995</v>
      </c>
      <c r="H2360" s="1">
        <v>0.30780000000000002</v>
      </c>
    </row>
    <row r="2361" spans="1:8">
      <c r="A2361" s="25" t="s">
        <v>348</v>
      </c>
      <c r="B2361">
        <v>606</v>
      </c>
      <c r="C2361" t="s">
        <v>189</v>
      </c>
      <c r="D2361">
        <v>3008</v>
      </c>
      <c r="E2361" s="1">
        <v>9.4999999999999998E-3</v>
      </c>
      <c r="F2361" s="1">
        <v>0.70099999999999996</v>
      </c>
      <c r="H2361" s="1">
        <v>0.28949999999999998</v>
      </c>
    </row>
    <row r="2362" spans="1:8">
      <c r="A2362" s="25" t="s">
        <v>349</v>
      </c>
      <c r="B2362">
        <v>695</v>
      </c>
      <c r="C2362" t="s">
        <v>189</v>
      </c>
      <c r="D2362">
        <v>3008</v>
      </c>
      <c r="E2362" s="1">
        <v>6.1999999999999998E-3</v>
      </c>
      <c r="F2362" s="1">
        <v>0.75619999999999998</v>
      </c>
      <c r="H2362" s="1">
        <v>0.23760000000000001</v>
      </c>
    </row>
    <row r="2363" spans="1:8">
      <c r="A2363" s="25" t="s">
        <v>350</v>
      </c>
      <c r="B2363">
        <v>526</v>
      </c>
      <c r="C2363" t="s">
        <v>189</v>
      </c>
      <c r="D2363">
        <v>3008</v>
      </c>
      <c r="E2363" s="1">
        <v>8.0999999999999996E-3</v>
      </c>
      <c r="F2363" s="1">
        <v>0.70679999999999998</v>
      </c>
      <c r="G2363" s="1">
        <v>4.7999999999999996E-3</v>
      </c>
      <c r="H2363" s="1">
        <v>0.28029999999999999</v>
      </c>
    </row>
    <row r="2364" spans="1:8">
      <c r="A2364" s="25" t="s">
        <v>192</v>
      </c>
      <c r="B2364">
        <v>3008</v>
      </c>
      <c r="C2364" t="s">
        <v>192</v>
      </c>
      <c r="D2364">
        <v>3008</v>
      </c>
      <c r="E2364" s="1">
        <v>9.1000000000000004E-3</v>
      </c>
      <c r="F2364" s="1">
        <v>0.7177</v>
      </c>
      <c r="G2364" s="1">
        <v>1.1999999999999999E-3</v>
      </c>
      <c r="H2364" s="1">
        <v>0.27200000000000002</v>
      </c>
    </row>
    <row r="2366" spans="1:8" ht="57.95">
      <c r="A2366" s="25" t="s">
        <v>725</v>
      </c>
    </row>
    <row r="2367" spans="1:8">
      <c r="A2367" s="25" t="s">
        <v>182</v>
      </c>
      <c r="B2367" t="s">
        <v>219</v>
      </c>
      <c r="C2367" t="s">
        <v>181</v>
      </c>
      <c r="D2367" t="s">
        <v>188</v>
      </c>
      <c r="E2367" t="s">
        <v>241</v>
      </c>
      <c r="F2367" t="s">
        <v>220</v>
      </c>
      <c r="G2367" t="s">
        <v>243</v>
      </c>
      <c r="H2367" t="s">
        <v>221</v>
      </c>
    </row>
    <row r="2368" spans="1:8">
      <c r="A2368" s="25" t="s">
        <v>211</v>
      </c>
      <c r="B2368">
        <v>1715</v>
      </c>
      <c r="C2368" t="s">
        <v>189</v>
      </c>
      <c r="D2368">
        <v>3008</v>
      </c>
      <c r="E2368" s="1">
        <v>8.8000000000000005E-3</v>
      </c>
      <c r="F2368" s="1">
        <v>0.7137</v>
      </c>
      <c r="G2368" s="1">
        <v>4.0000000000000002E-4</v>
      </c>
      <c r="H2368" s="1">
        <v>0.27710000000000001</v>
      </c>
    </row>
    <row r="2369" spans="1:8">
      <c r="A2369" s="25" t="s">
        <v>212</v>
      </c>
      <c r="B2369">
        <v>848</v>
      </c>
      <c r="C2369" t="s">
        <v>189</v>
      </c>
      <c r="D2369">
        <v>3008</v>
      </c>
      <c r="E2369" s="1">
        <v>7.4999999999999997E-3</v>
      </c>
      <c r="F2369" s="1">
        <v>0.69369999999999998</v>
      </c>
      <c r="G2369" s="1">
        <v>3.8999999999999998E-3</v>
      </c>
      <c r="H2369" s="1">
        <v>0.2949</v>
      </c>
    </row>
    <row r="2370" spans="1:8">
      <c r="A2370" s="25" t="s">
        <v>213</v>
      </c>
      <c r="B2370">
        <v>445</v>
      </c>
      <c r="C2370" t="s">
        <v>189</v>
      </c>
      <c r="D2370">
        <v>3008</v>
      </c>
      <c r="E2370" s="1">
        <v>1.2200000000000001E-2</v>
      </c>
      <c r="F2370" s="1">
        <v>0.76719999999999999</v>
      </c>
      <c r="H2370" s="1">
        <v>0.22059999999999999</v>
      </c>
    </row>
    <row r="2371" spans="1:8">
      <c r="A2371" s="25" t="s">
        <v>192</v>
      </c>
      <c r="B2371">
        <v>3008</v>
      </c>
      <c r="C2371" t="s">
        <v>192</v>
      </c>
      <c r="D2371">
        <v>3008</v>
      </c>
      <c r="E2371" s="1">
        <v>9.1000000000000004E-3</v>
      </c>
      <c r="F2371" s="1">
        <v>0.7177</v>
      </c>
      <c r="G2371" s="1">
        <v>1.1999999999999999E-3</v>
      </c>
      <c r="H2371" s="1">
        <v>0.27200000000000002</v>
      </c>
    </row>
    <row r="2373" spans="1:8" ht="43.5">
      <c r="A2373" s="25" t="s">
        <v>726</v>
      </c>
    </row>
    <row r="2374" spans="1:8">
      <c r="A2374" s="25" t="s">
        <v>181</v>
      </c>
      <c r="B2374" t="s">
        <v>182</v>
      </c>
      <c r="C2374" t="s">
        <v>183</v>
      </c>
      <c r="D2374" t="s">
        <v>184</v>
      </c>
      <c r="E2374" t="s">
        <v>185</v>
      </c>
      <c r="F2374" t="s">
        <v>186</v>
      </c>
      <c r="G2374" t="s">
        <v>187</v>
      </c>
      <c r="H2374" t="s">
        <v>188</v>
      </c>
    </row>
    <row r="2375" spans="1:8">
      <c r="A2375" s="25" t="s">
        <v>189</v>
      </c>
      <c r="B2375" t="s">
        <v>190</v>
      </c>
      <c r="C2375">
        <v>8.0101633924728688</v>
      </c>
      <c r="D2375">
        <v>7</v>
      </c>
      <c r="E2375">
        <v>0</v>
      </c>
      <c r="F2375">
        <v>56</v>
      </c>
      <c r="G2375">
        <v>1441</v>
      </c>
      <c r="H2375">
        <v>3008</v>
      </c>
    </row>
    <row r="2376" spans="1:8">
      <c r="A2376" s="25" t="s">
        <v>189</v>
      </c>
      <c r="B2376" t="s">
        <v>191</v>
      </c>
      <c r="C2376">
        <v>8.6720810631861518</v>
      </c>
      <c r="D2376">
        <v>7</v>
      </c>
      <c r="E2376">
        <v>0</v>
      </c>
      <c r="F2376">
        <v>59</v>
      </c>
      <c r="G2376">
        <v>1543</v>
      </c>
      <c r="H2376">
        <v>3008</v>
      </c>
    </row>
    <row r="2377" spans="1:8">
      <c r="A2377" s="25" t="s">
        <v>192</v>
      </c>
      <c r="B2377" t="s">
        <v>192</v>
      </c>
      <c r="C2377">
        <v>8.4134924958020356</v>
      </c>
      <c r="D2377">
        <v>7</v>
      </c>
      <c r="E2377">
        <v>0</v>
      </c>
      <c r="F2377">
        <v>59</v>
      </c>
      <c r="G2377">
        <v>3008</v>
      </c>
      <c r="H2377">
        <v>3008</v>
      </c>
    </row>
    <row r="2379" spans="1:8" ht="57.95">
      <c r="A2379" s="25" t="s">
        <v>727</v>
      </c>
    </row>
    <row r="2380" spans="1:8">
      <c r="A2380" s="25" t="s">
        <v>181</v>
      </c>
      <c r="B2380" t="s">
        <v>182</v>
      </c>
      <c r="C2380" t="s">
        <v>183</v>
      </c>
      <c r="D2380" t="s">
        <v>184</v>
      </c>
      <c r="E2380" t="s">
        <v>185</v>
      </c>
      <c r="F2380" t="s">
        <v>186</v>
      </c>
      <c r="G2380" t="s">
        <v>187</v>
      </c>
      <c r="H2380" t="s">
        <v>188</v>
      </c>
    </row>
    <row r="2381" spans="1:8">
      <c r="A2381" s="25" t="s">
        <v>189</v>
      </c>
      <c r="B2381" t="s">
        <v>194</v>
      </c>
      <c r="C2381">
        <v>8.2555913095555109</v>
      </c>
      <c r="D2381">
        <v>7</v>
      </c>
      <c r="E2381">
        <v>0</v>
      </c>
      <c r="F2381">
        <v>56</v>
      </c>
      <c r="G2381">
        <v>1585</v>
      </c>
      <c r="H2381">
        <v>3008</v>
      </c>
    </row>
    <row r="2382" spans="1:8">
      <c r="A2382" s="25" t="s">
        <v>189</v>
      </c>
      <c r="B2382" t="s">
        <v>195</v>
      </c>
      <c r="C2382">
        <v>8.2290188134016251</v>
      </c>
      <c r="D2382">
        <v>6</v>
      </c>
      <c r="E2382">
        <v>0</v>
      </c>
      <c r="F2382">
        <v>59</v>
      </c>
      <c r="G2382">
        <v>773</v>
      </c>
      <c r="H2382">
        <v>3008</v>
      </c>
    </row>
    <row r="2383" spans="1:8">
      <c r="A2383" s="25" t="s">
        <v>189</v>
      </c>
      <c r="B2383" t="s">
        <v>196</v>
      </c>
      <c r="C2383">
        <v>9.6993061439947823</v>
      </c>
      <c r="D2383">
        <v>7</v>
      </c>
      <c r="E2383">
        <v>0</v>
      </c>
      <c r="F2383">
        <v>59</v>
      </c>
      <c r="G2383">
        <v>626</v>
      </c>
      <c r="H2383">
        <v>3008</v>
      </c>
    </row>
    <row r="2384" spans="1:8">
      <c r="A2384" s="25" t="s">
        <v>192</v>
      </c>
      <c r="B2384" t="s">
        <v>192</v>
      </c>
      <c r="C2384">
        <v>8.4134924958020356</v>
      </c>
      <c r="D2384">
        <v>7</v>
      </c>
      <c r="E2384">
        <v>0</v>
      </c>
      <c r="F2384">
        <v>59</v>
      </c>
      <c r="G2384">
        <v>3008</v>
      </c>
      <c r="H2384">
        <v>3008</v>
      </c>
    </row>
    <row r="2386" spans="1:8" ht="43.5">
      <c r="A2386" s="25" t="s">
        <v>728</v>
      </c>
    </row>
    <row r="2387" spans="1:8">
      <c r="A2387" s="25" t="s">
        <v>181</v>
      </c>
      <c r="B2387" t="s">
        <v>182</v>
      </c>
      <c r="C2387" t="s">
        <v>183</v>
      </c>
      <c r="D2387" t="s">
        <v>184</v>
      </c>
      <c r="E2387" t="s">
        <v>185</v>
      </c>
      <c r="F2387" t="s">
        <v>186</v>
      </c>
      <c r="G2387" t="s">
        <v>187</v>
      </c>
      <c r="H2387" t="s">
        <v>188</v>
      </c>
    </row>
    <row r="2388" spans="1:8">
      <c r="A2388" s="25" t="s">
        <v>189</v>
      </c>
      <c r="B2388" t="s">
        <v>198</v>
      </c>
      <c r="C2388">
        <v>10.325319245465041</v>
      </c>
      <c r="D2388">
        <v>7</v>
      </c>
      <c r="E2388">
        <v>0</v>
      </c>
      <c r="F2388">
        <v>51</v>
      </c>
      <c r="G2388">
        <v>414</v>
      </c>
      <c r="H2388">
        <v>3008</v>
      </c>
    </row>
    <row r="2389" spans="1:8">
      <c r="A2389" s="25" t="s">
        <v>189</v>
      </c>
      <c r="B2389" t="s">
        <v>199</v>
      </c>
      <c r="C2389">
        <v>8.1769100012879203</v>
      </c>
      <c r="D2389">
        <v>7</v>
      </c>
      <c r="E2389">
        <v>0</v>
      </c>
      <c r="F2389">
        <v>59</v>
      </c>
      <c r="G2389">
        <v>2594</v>
      </c>
      <c r="H2389">
        <v>3008</v>
      </c>
    </row>
    <row r="2390" spans="1:8">
      <c r="A2390" s="25" t="s">
        <v>192</v>
      </c>
      <c r="B2390" t="s">
        <v>192</v>
      </c>
      <c r="C2390">
        <v>8.4134924958020356</v>
      </c>
      <c r="D2390">
        <v>7</v>
      </c>
      <c r="E2390">
        <v>0</v>
      </c>
      <c r="F2390">
        <v>59</v>
      </c>
      <c r="G2390">
        <v>3008</v>
      </c>
      <c r="H2390">
        <v>3008</v>
      </c>
    </row>
    <row r="2392" spans="1:8" ht="43.5">
      <c r="A2392" s="25" t="s">
        <v>729</v>
      </c>
    </row>
    <row r="2393" spans="1:8">
      <c r="A2393" s="25" t="s">
        <v>181</v>
      </c>
      <c r="B2393" t="s">
        <v>182</v>
      </c>
      <c r="C2393" t="s">
        <v>183</v>
      </c>
      <c r="D2393" t="s">
        <v>184</v>
      </c>
      <c r="E2393" t="s">
        <v>185</v>
      </c>
      <c r="F2393" t="s">
        <v>186</v>
      </c>
      <c r="G2393" t="s">
        <v>187</v>
      </c>
      <c r="H2393" t="s">
        <v>188</v>
      </c>
    </row>
    <row r="2394" spans="1:8">
      <c r="A2394" s="25" t="s">
        <v>189</v>
      </c>
      <c r="B2394" t="s">
        <v>201</v>
      </c>
      <c r="C2394">
        <v>10.387223098503339</v>
      </c>
      <c r="D2394">
        <v>10</v>
      </c>
      <c r="E2394">
        <v>0</v>
      </c>
      <c r="F2394">
        <v>56</v>
      </c>
      <c r="G2394">
        <v>315</v>
      </c>
      <c r="H2394">
        <v>3008</v>
      </c>
    </row>
    <row r="2395" spans="1:8">
      <c r="A2395" s="25" t="s">
        <v>189</v>
      </c>
      <c r="B2395" t="s">
        <v>202</v>
      </c>
      <c r="C2395">
        <v>10.296255841216171</v>
      </c>
      <c r="D2395">
        <v>10</v>
      </c>
      <c r="E2395">
        <v>0</v>
      </c>
      <c r="F2395">
        <v>40</v>
      </c>
      <c r="G2395">
        <v>39</v>
      </c>
      <c r="H2395">
        <v>3008</v>
      </c>
    </row>
    <row r="2396" spans="1:8">
      <c r="A2396" s="25" t="s">
        <v>189</v>
      </c>
      <c r="B2396" t="s">
        <v>203</v>
      </c>
      <c r="C2396">
        <v>7.5650700324050328</v>
      </c>
      <c r="D2396">
        <v>6</v>
      </c>
      <c r="E2396">
        <v>0</v>
      </c>
      <c r="F2396">
        <v>56</v>
      </c>
      <c r="G2396">
        <v>2000</v>
      </c>
      <c r="H2396">
        <v>3008</v>
      </c>
    </row>
    <row r="2397" spans="1:8">
      <c r="A2397" s="25" t="s">
        <v>189</v>
      </c>
      <c r="B2397" t="s">
        <v>204</v>
      </c>
      <c r="C2397">
        <v>4.290902786857977</v>
      </c>
      <c r="D2397">
        <v>5</v>
      </c>
      <c r="E2397">
        <v>0</v>
      </c>
      <c r="F2397">
        <v>20</v>
      </c>
      <c r="G2397">
        <v>5</v>
      </c>
      <c r="H2397">
        <v>3008</v>
      </c>
    </row>
    <row r="2398" spans="1:8">
      <c r="A2398" s="25" t="s">
        <v>189</v>
      </c>
      <c r="B2398" t="s">
        <v>205</v>
      </c>
      <c r="C2398">
        <v>10.286102271300191</v>
      </c>
      <c r="D2398">
        <v>8</v>
      </c>
      <c r="E2398">
        <v>0</v>
      </c>
      <c r="F2398">
        <v>59</v>
      </c>
      <c r="G2398">
        <v>649</v>
      </c>
      <c r="H2398">
        <v>3008</v>
      </c>
    </row>
    <row r="2399" spans="1:8">
      <c r="A2399" s="25" t="s">
        <v>192</v>
      </c>
      <c r="B2399" t="s">
        <v>192</v>
      </c>
      <c r="C2399">
        <v>8.4134924958020356</v>
      </c>
      <c r="D2399">
        <v>7</v>
      </c>
      <c r="E2399">
        <v>0</v>
      </c>
      <c r="F2399">
        <v>59</v>
      </c>
      <c r="G2399">
        <v>3008</v>
      </c>
      <c r="H2399">
        <v>3008</v>
      </c>
    </row>
    <row r="2401" spans="1:8" ht="43.5">
      <c r="A2401" s="25" t="s">
        <v>730</v>
      </c>
    </row>
    <row r="2402" spans="1:8">
      <c r="A2402" s="25" t="s">
        <v>181</v>
      </c>
      <c r="B2402" t="s">
        <v>182</v>
      </c>
      <c r="C2402" t="s">
        <v>183</v>
      </c>
      <c r="D2402" t="s">
        <v>184</v>
      </c>
      <c r="E2402" t="s">
        <v>185</v>
      </c>
      <c r="F2402" t="s">
        <v>186</v>
      </c>
      <c r="G2402" t="s">
        <v>187</v>
      </c>
      <c r="H2402" t="s">
        <v>188</v>
      </c>
    </row>
    <row r="2403" spans="1:8">
      <c r="A2403" s="25" t="s">
        <v>189</v>
      </c>
      <c r="B2403" t="s">
        <v>207</v>
      </c>
      <c r="C2403">
        <v>7.8871699491806986</v>
      </c>
      <c r="D2403">
        <v>6</v>
      </c>
      <c r="E2403">
        <v>0</v>
      </c>
      <c r="F2403">
        <v>59</v>
      </c>
      <c r="G2403">
        <v>2235</v>
      </c>
      <c r="H2403">
        <v>3008</v>
      </c>
    </row>
    <row r="2404" spans="1:8">
      <c r="A2404" s="25" t="s">
        <v>189</v>
      </c>
      <c r="B2404" t="s">
        <v>208</v>
      </c>
      <c r="C2404">
        <v>0</v>
      </c>
      <c r="D2404">
        <v>0</v>
      </c>
      <c r="E2404">
        <v>0</v>
      </c>
      <c r="F2404">
        <v>0</v>
      </c>
      <c r="G2404">
        <v>4</v>
      </c>
      <c r="H2404">
        <v>3008</v>
      </c>
    </row>
    <row r="2405" spans="1:8">
      <c r="A2405" s="25" t="s">
        <v>189</v>
      </c>
      <c r="B2405" t="s">
        <v>209</v>
      </c>
      <c r="C2405">
        <v>10.26914655637535</v>
      </c>
      <c r="D2405">
        <v>8</v>
      </c>
      <c r="E2405">
        <v>0</v>
      </c>
      <c r="F2405">
        <v>59</v>
      </c>
      <c r="G2405">
        <v>769</v>
      </c>
      <c r="H2405">
        <v>3008</v>
      </c>
    </row>
    <row r="2406" spans="1:8">
      <c r="A2406" s="25" t="s">
        <v>192</v>
      </c>
      <c r="B2406" t="s">
        <v>192</v>
      </c>
      <c r="C2406">
        <v>8.4134924958020356</v>
      </c>
      <c r="D2406">
        <v>7</v>
      </c>
      <c r="E2406">
        <v>0</v>
      </c>
      <c r="F2406">
        <v>59</v>
      </c>
      <c r="G2406">
        <v>3008</v>
      </c>
      <c r="H2406">
        <v>3008</v>
      </c>
    </row>
    <row r="2408" spans="1:8" ht="43.5">
      <c r="A2408" s="25" t="s">
        <v>731</v>
      </c>
    </row>
    <row r="2409" spans="1:8">
      <c r="A2409" s="25" t="s">
        <v>181</v>
      </c>
      <c r="B2409" t="s">
        <v>182</v>
      </c>
      <c r="C2409" t="s">
        <v>183</v>
      </c>
      <c r="D2409" t="s">
        <v>184</v>
      </c>
      <c r="E2409" t="s">
        <v>185</v>
      </c>
      <c r="F2409" t="s">
        <v>186</v>
      </c>
      <c r="G2409" t="s">
        <v>187</v>
      </c>
      <c r="H2409" t="s">
        <v>188</v>
      </c>
    </row>
    <row r="2410" spans="1:8">
      <c r="A2410" s="25" t="s">
        <v>189</v>
      </c>
      <c r="B2410" t="s">
        <v>299</v>
      </c>
      <c r="C2410">
        <v>8.2970485936179692</v>
      </c>
      <c r="D2410">
        <v>7</v>
      </c>
      <c r="E2410">
        <v>0</v>
      </c>
      <c r="F2410">
        <v>50</v>
      </c>
      <c r="G2410">
        <v>375</v>
      </c>
      <c r="H2410">
        <v>3008</v>
      </c>
    </row>
    <row r="2411" spans="1:8">
      <c r="A2411" s="25" t="s">
        <v>189</v>
      </c>
      <c r="B2411" t="s">
        <v>300</v>
      </c>
      <c r="C2411">
        <v>8.7656780855557717</v>
      </c>
      <c r="D2411">
        <v>7</v>
      </c>
      <c r="E2411">
        <v>0</v>
      </c>
      <c r="F2411">
        <v>59</v>
      </c>
      <c r="G2411">
        <v>2524</v>
      </c>
      <c r="H2411">
        <v>3008</v>
      </c>
    </row>
    <row r="2412" spans="1:8">
      <c r="A2412" s="25" t="s">
        <v>189</v>
      </c>
      <c r="B2412" t="s">
        <v>301</v>
      </c>
      <c r="C2412">
        <v>6.029589071637206</v>
      </c>
      <c r="D2412">
        <v>1</v>
      </c>
      <c r="E2412">
        <v>0</v>
      </c>
      <c r="F2412">
        <v>25</v>
      </c>
      <c r="G2412">
        <v>19</v>
      </c>
      <c r="H2412">
        <v>3008</v>
      </c>
    </row>
    <row r="2413" spans="1:8">
      <c r="A2413" s="25" t="s">
        <v>189</v>
      </c>
      <c r="B2413" t="s">
        <v>302</v>
      </c>
      <c r="C2413">
        <v>0.62820476363093369</v>
      </c>
      <c r="D2413">
        <v>0</v>
      </c>
      <c r="E2413">
        <v>0</v>
      </c>
      <c r="F2413">
        <v>10</v>
      </c>
      <c r="G2413">
        <v>90</v>
      </c>
      <c r="H2413">
        <v>3008</v>
      </c>
    </row>
    <row r="2414" spans="1:8">
      <c r="A2414" s="25" t="s">
        <v>192</v>
      </c>
      <c r="B2414" t="s">
        <v>192</v>
      </c>
      <c r="C2414">
        <v>8.4134924958020356</v>
      </c>
      <c r="D2414">
        <v>7</v>
      </c>
      <c r="E2414">
        <v>0</v>
      </c>
      <c r="F2414">
        <v>59</v>
      </c>
      <c r="G2414">
        <v>3008</v>
      </c>
      <c r="H2414">
        <v>3008</v>
      </c>
    </row>
    <row r="2416" spans="1:8" ht="57.95">
      <c r="A2416" s="25" t="s">
        <v>732</v>
      </c>
    </row>
    <row r="2417" spans="1:19">
      <c r="A2417" s="25" t="s">
        <v>181</v>
      </c>
      <c r="B2417" t="s">
        <v>182</v>
      </c>
      <c r="C2417" t="s">
        <v>183</v>
      </c>
      <c r="D2417" t="s">
        <v>184</v>
      </c>
      <c r="E2417" t="s">
        <v>185</v>
      </c>
      <c r="F2417" t="s">
        <v>186</v>
      </c>
      <c r="G2417" t="s">
        <v>187</v>
      </c>
      <c r="H2417" t="s">
        <v>188</v>
      </c>
    </row>
    <row r="2418" spans="1:19">
      <c r="A2418" s="25" t="s">
        <v>189</v>
      </c>
      <c r="B2418" t="s">
        <v>347</v>
      </c>
      <c r="C2418">
        <v>8.1139199694178821</v>
      </c>
      <c r="D2418">
        <v>6</v>
      </c>
      <c r="E2418">
        <v>0</v>
      </c>
      <c r="F2418">
        <v>51</v>
      </c>
      <c r="G2418">
        <v>857</v>
      </c>
      <c r="H2418">
        <v>3008</v>
      </c>
    </row>
    <row r="2419" spans="1:19">
      <c r="A2419" s="25" t="s">
        <v>189</v>
      </c>
      <c r="B2419" t="s">
        <v>348</v>
      </c>
      <c r="C2419">
        <v>8.9358967457924088</v>
      </c>
      <c r="D2419">
        <v>7</v>
      </c>
      <c r="E2419">
        <v>0</v>
      </c>
      <c r="F2419">
        <v>59</v>
      </c>
      <c r="G2419">
        <v>606</v>
      </c>
      <c r="H2419">
        <v>3008</v>
      </c>
    </row>
    <row r="2420" spans="1:19">
      <c r="A2420" s="25" t="s">
        <v>189</v>
      </c>
      <c r="B2420" t="s">
        <v>349</v>
      </c>
      <c r="C2420">
        <v>8.5680786278031587</v>
      </c>
      <c r="D2420">
        <v>7</v>
      </c>
      <c r="E2420">
        <v>0</v>
      </c>
      <c r="F2420">
        <v>59</v>
      </c>
      <c r="G2420">
        <v>695</v>
      </c>
      <c r="H2420">
        <v>3008</v>
      </c>
    </row>
    <row r="2421" spans="1:19">
      <c r="A2421" s="25" t="s">
        <v>189</v>
      </c>
      <c r="B2421" t="s">
        <v>350</v>
      </c>
      <c r="C2421">
        <v>8.5516361130870102</v>
      </c>
      <c r="D2421">
        <v>7</v>
      </c>
      <c r="E2421">
        <v>0</v>
      </c>
      <c r="F2421">
        <v>50</v>
      </c>
      <c r="G2421">
        <v>526</v>
      </c>
      <c r="H2421">
        <v>3008</v>
      </c>
    </row>
    <row r="2422" spans="1:19">
      <c r="A2422" s="25" t="s">
        <v>192</v>
      </c>
      <c r="B2422" t="s">
        <v>192</v>
      </c>
      <c r="C2422">
        <v>8.4134924958020356</v>
      </c>
      <c r="D2422">
        <v>7</v>
      </c>
      <c r="E2422">
        <v>0</v>
      </c>
      <c r="F2422">
        <v>59</v>
      </c>
      <c r="G2422">
        <v>3008</v>
      </c>
      <c r="H2422">
        <v>3008</v>
      </c>
    </row>
    <row r="2424" spans="1:19" ht="43.5">
      <c r="A2424" s="25" t="s">
        <v>733</v>
      </c>
    </row>
    <row r="2425" spans="1:19">
      <c r="A2425" s="25" t="s">
        <v>181</v>
      </c>
      <c r="B2425" t="s">
        <v>182</v>
      </c>
      <c r="C2425" t="s">
        <v>183</v>
      </c>
      <c r="D2425" t="s">
        <v>184</v>
      </c>
      <c r="E2425" t="s">
        <v>185</v>
      </c>
      <c r="F2425" t="s">
        <v>186</v>
      </c>
      <c r="G2425" t="s">
        <v>187</v>
      </c>
      <c r="H2425" t="s">
        <v>188</v>
      </c>
    </row>
    <row r="2426" spans="1:19">
      <c r="A2426" s="25" t="s">
        <v>189</v>
      </c>
      <c r="B2426" t="s">
        <v>211</v>
      </c>
      <c r="C2426">
        <v>8.8316678410139602</v>
      </c>
      <c r="D2426">
        <v>7</v>
      </c>
      <c r="E2426">
        <v>0</v>
      </c>
      <c r="F2426">
        <v>59</v>
      </c>
      <c r="G2426">
        <v>1715</v>
      </c>
      <c r="H2426">
        <v>3008</v>
      </c>
    </row>
    <row r="2427" spans="1:19">
      <c r="A2427" s="25" t="s">
        <v>189</v>
      </c>
      <c r="B2427" t="s">
        <v>212</v>
      </c>
      <c r="C2427">
        <v>7.529440526811114</v>
      </c>
      <c r="D2427">
        <v>5</v>
      </c>
      <c r="E2427">
        <v>0</v>
      </c>
      <c r="F2427">
        <v>50</v>
      </c>
      <c r="G2427">
        <v>848</v>
      </c>
      <c r="H2427">
        <v>3008</v>
      </c>
    </row>
    <row r="2428" spans="1:19">
      <c r="A2428" s="25" t="s">
        <v>189</v>
      </c>
      <c r="B2428" t="s">
        <v>213</v>
      </c>
      <c r="C2428">
        <v>8.3266582813620893</v>
      </c>
      <c r="D2428">
        <v>6</v>
      </c>
      <c r="E2428">
        <v>0</v>
      </c>
      <c r="F2428">
        <v>50</v>
      </c>
      <c r="G2428">
        <v>445</v>
      </c>
      <c r="H2428">
        <v>3008</v>
      </c>
    </row>
    <row r="2429" spans="1:19">
      <c r="A2429" s="25" t="s">
        <v>192</v>
      </c>
      <c r="B2429" t="s">
        <v>192</v>
      </c>
      <c r="C2429">
        <v>8.4134924958020356</v>
      </c>
      <c r="D2429">
        <v>7</v>
      </c>
      <c r="E2429">
        <v>0</v>
      </c>
      <c r="F2429">
        <v>59</v>
      </c>
      <c r="G2429">
        <v>3008</v>
      </c>
      <c r="H2429">
        <v>3008</v>
      </c>
    </row>
    <row r="2431" spans="1:19" ht="43.5">
      <c r="A2431" s="25" t="s">
        <v>734</v>
      </c>
    </row>
    <row r="2432" spans="1:19">
      <c r="A2432" s="25" t="s">
        <v>182</v>
      </c>
      <c r="B2432" t="s">
        <v>219</v>
      </c>
      <c r="C2432" t="s">
        <v>181</v>
      </c>
      <c r="D2432" t="s">
        <v>188</v>
      </c>
      <c r="E2432" t="s">
        <v>735</v>
      </c>
      <c r="F2432" t="s">
        <v>736</v>
      </c>
      <c r="G2432" t="s">
        <v>737</v>
      </c>
      <c r="H2432" t="s">
        <v>241</v>
      </c>
      <c r="I2432" t="s">
        <v>738</v>
      </c>
      <c r="J2432" t="s">
        <v>739</v>
      </c>
      <c r="K2432" t="s">
        <v>740</v>
      </c>
      <c r="L2432" t="s">
        <v>741</v>
      </c>
      <c r="M2432" t="s">
        <v>324</v>
      </c>
      <c r="N2432" t="s">
        <v>742</v>
      </c>
      <c r="O2432" t="s">
        <v>243</v>
      </c>
      <c r="P2432" t="s">
        <v>743</v>
      </c>
      <c r="Q2432" t="s">
        <v>744</v>
      </c>
      <c r="R2432" t="s">
        <v>745</v>
      </c>
      <c r="S2432" t="s">
        <v>746</v>
      </c>
    </row>
    <row r="2433" spans="1:19">
      <c r="A2433" s="25" t="s">
        <v>190</v>
      </c>
      <c r="B2433">
        <v>4901</v>
      </c>
      <c r="C2433" t="s">
        <v>189</v>
      </c>
      <c r="D2433">
        <v>10431</v>
      </c>
      <c r="E2433" s="1">
        <v>0.1333</v>
      </c>
      <c r="F2433" s="1">
        <v>2.7799999999999998E-2</v>
      </c>
      <c r="G2433" s="1">
        <v>0.92390000000000005</v>
      </c>
      <c r="H2433" s="1">
        <v>5.9999999999999995E-4</v>
      </c>
      <c r="I2433" s="1">
        <v>0.40970000000000001</v>
      </c>
      <c r="J2433" s="1">
        <v>0.99509999999999998</v>
      </c>
      <c r="K2433" s="1">
        <v>0.19769999999999999</v>
      </c>
      <c r="L2433" s="1">
        <v>0.3679</v>
      </c>
      <c r="M2433" s="1">
        <v>1.4E-3</v>
      </c>
      <c r="N2433" s="1">
        <v>0.86280000000000001</v>
      </c>
      <c r="O2433" s="1">
        <v>8.9999999999999998E-4</v>
      </c>
      <c r="P2433" s="1">
        <v>2.58E-2</v>
      </c>
      <c r="Q2433" s="1">
        <v>0.70120000000000005</v>
      </c>
      <c r="R2433" s="1">
        <v>0.96260000000000001</v>
      </c>
      <c r="S2433" s="1">
        <v>0.16919999999999999</v>
      </c>
    </row>
    <row r="2434" spans="1:19">
      <c r="A2434" s="25" t="s">
        <v>191</v>
      </c>
      <c r="B2434">
        <v>5473</v>
      </c>
      <c r="C2434" t="s">
        <v>189</v>
      </c>
      <c r="D2434">
        <v>10431</v>
      </c>
      <c r="E2434" s="1">
        <v>0.22270000000000001</v>
      </c>
      <c r="F2434" s="1">
        <v>3.4500000000000003E-2</v>
      </c>
      <c r="G2434" s="1">
        <v>0.94650000000000001</v>
      </c>
      <c r="H2434" s="1">
        <v>4.0000000000000002E-4</v>
      </c>
      <c r="I2434" s="1">
        <v>0.51690000000000003</v>
      </c>
      <c r="J2434" s="1">
        <v>0.99790000000000001</v>
      </c>
      <c r="K2434" s="1">
        <v>4.6100000000000002E-2</v>
      </c>
      <c r="L2434" s="1">
        <v>0.35270000000000001</v>
      </c>
      <c r="M2434" s="1">
        <v>2.9999999999999997E-4</v>
      </c>
      <c r="N2434" s="1">
        <v>0.85799999999999998</v>
      </c>
      <c r="O2434" s="1">
        <v>6.9999999999999999E-4</v>
      </c>
      <c r="P2434" s="1">
        <v>0.16839999999999999</v>
      </c>
      <c r="Q2434" s="1">
        <v>0.73109999999999997</v>
      </c>
      <c r="R2434" s="1">
        <v>0.94520000000000004</v>
      </c>
      <c r="S2434" s="1">
        <v>0.43580000000000002</v>
      </c>
    </row>
    <row r="2435" spans="1:19">
      <c r="A2435" s="25" t="s">
        <v>192</v>
      </c>
      <c r="B2435">
        <v>10431</v>
      </c>
      <c r="C2435" t="s">
        <v>192</v>
      </c>
      <c r="D2435">
        <v>10431</v>
      </c>
      <c r="E2435" s="1">
        <v>0.18840000000000001</v>
      </c>
      <c r="F2435" s="1">
        <v>3.1899999999999998E-2</v>
      </c>
      <c r="G2435" s="1">
        <v>0.93769999999999998</v>
      </c>
      <c r="H2435" s="1">
        <v>4.0000000000000002E-4</v>
      </c>
      <c r="I2435" s="1">
        <v>0.47599999999999998</v>
      </c>
      <c r="J2435" s="1">
        <v>0.99680000000000002</v>
      </c>
      <c r="K2435" s="1">
        <v>0.10390000000000001</v>
      </c>
      <c r="L2435" s="1">
        <v>0.35830000000000001</v>
      </c>
      <c r="M2435" s="1">
        <v>6.9999999999999999E-4</v>
      </c>
      <c r="N2435" s="1">
        <v>0.85960000000000003</v>
      </c>
      <c r="O2435" s="1">
        <v>8.0000000000000004E-4</v>
      </c>
      <c r="P2435" s="1">
        <v>0.11409999999999999</v>
      </c>
      <c r="Q2435" s="1">
        <v>0.71950000000000003</v>
      </c>
      <c r="R2435" s="1">
        <v>0.95179999999999998</v>
      </c>
      <c r="S2435" s="1">
        <v>0.33400000000000002</v>
      </c>
    </row>
    <row r="2437" spans="1:19" ht="57.95">
      <c r="A2437" s="25" t="s">
        <v>747</v>
      </c>
    </row>
    <row r="2438" spans="1:19">
      <c r="A2438" s="25" t="s">
        <v>182</v>
      </c>
      <c r="B2438" t="s">
        <v>219</v>
      </c>
      <c r="C2438" t="s">
        <v>181</v>
      </c>
      <c r="D2438" t="s">
        <v>188</v>
      </c>
      <c r="E2438" t="s">
        <v>735</v>
      </c>
      <c r="F2438" t="s">
        <v>736</v>
      </c>
      <c r="G2438" t="s">
        <v>737</v>
      </c>
      <c r="H2438" t="s">
        <v>241</v>
      </c>
      <c r="I2438" t="s">
        <v>738</v>
      </c>
      <c r="J2438" t="s">
        <v>739</v>
      </c>
      <c r="K2438" t="s">
        <v>740</v>
      </c>
      <c r="L2438" t="s">
        <v>741</v>
      </c>
      <c r="M2438" t="s">
        <v>324</v>
      </c>
      <c r="N2438" t="s">
        <v>742</v>
      </c>
      <c r="O2438" t="s">
        <v>243</v>
      </c>
      <c r="P2438" t="s">
        <v>743</v>
      </c>
      <c r="Q2438" t="s">
        <v>744</v>
      </c>
      <c r="R2438" t="s">
        <v>745</v>
      </c>
      <c r="S2438" t="s">
        <v>746</v>
      </c>
    </row>
    <row r="2439" spans="1:19" ht="29.1">
      <c r="A2439" s="25" t="s">
        <v>194</v>
      </c>
      <c r="B2439">
        <v>5953</v>
      </c>
      <c r="C2439" t="s">
        <v>189</v>
      </c>
      <c r="D2439">
        <v>10431</v>
      </c>
      <c r="E2439" s="1">
        <v>0.1827</v>
      </c>
      <c r="F2439" s="1">
        <v>3.1600000000000003E-2</v>
      </c>
      <c r="G2439" s="1">
        <v>0.94059999999999999</v>
      </c>
      <c r="H2439" s="1">
        <v>5.0000000000000001E-4</v>
      </c>
      <c r="I2439" s="1">
        <v>0.45129999999999998</v>
      </c>
      <c r="J2439" s="1">
        <v>0.99750000000000005</v>
      </c>
      <c r="K2439" s="1">
        <v>0.11459999999999999</v>
      </c>
      <c r="L2439" s="1">
        <v>0.36249999999999999</v>
      </c>
      <c r="M2439" s="1">
        <v>6.9999999999999999E-4</v>
      </c>
      <c r="N2439" s="1">
        <v>0.85519999999999996</v>
      </c>
      <c r="O2439" s="1">
        <v>5.9999999999999995E-4</v>
      </c>
      <c r="P2439" s="1">
        <v>0.1036</v>
      </c>
      <c r="Q2439" s="1">
        <v>0.7379</v>
      </c>
      <c r="R2439" s="1">
        <v>0.9536</v>
      </c>
      <c r="S2439" s="1">
        <v>0.29399999999999998</v>
      </c>
    </row>
    <row r="2440" spans="1:19" ht="29.1">
      <c r="A2440" s="25" t="s">
        <v>195</v>
      </c>
      <c r="B2440">
        <v>2702</v>
      </c>
      <c r="C2440" t="s">
        <v>189</v>
      </c>
      <c r="D2440">
        <v>10431</v>
      </c>
      <c r="E2440" s="1">
        <v>0.18529999999999999</v>
      </c>
      <c r="F2440" s="1">
        <v>2.63E-2</v>
      </c>
      <c r="G2440" s="1">
        <v>0.94669999999999999</v>
      </c>
      <c r="H2440" s="1">
        <v>2.9999999999999997E-4</v>
      </c>
      <c r="I2440" s="1">
        <v>0.53110000000000002</v>
      </c>
      <c r="J2440" s="1">
        <v>0.99639999999999995</v>
      </c>
      <c r="K2440" s="1">
        <v>7.9299999999999995E-2</v>
      </c>
      <c r="L2440" s="1">
        <v>0.32069999999999999</v>
      </c>
      <c r="M2440" s="1">
        <v>2.9999999999999997E-4</v>
      </c>
      <c r="N2440" s="1">
        <v>0.89290000000000003</v>
      </c>
      <c r="O2440" s="1">
        <v>1.5E-3</v>
      </c>
      <c r="P2440" s="1">
        <v>0.1348</v>
      </c>
      <c r="Q2440" s="1">
        <v>0.72330000000000005</v>
      </c>
      <c r="R2440" s="1">
        <v>0.9556</v>
      </c>
      <c r="S2440" s="1">
        <v>0.39460000000000001</v>
      </c>
    </row>
    <row r="2441" spans="1:19" ht="29.1">
      <c r="A2441" s="25" t="s">
        <v>196</v>
      </c>
      <c r="B2441">
        <v>1719</v>
      </c>
      <c r="C2441" t="s">
        <v>189</v>
      </c>
      <c r="D2441">
        <v>10431</v>
      </c>
      <c r="E2441" s="1">
        <v>0.2402</v>
      </c>
      <c r="F2441" s="1">
        <v>4.6300000000000001E-2</v>
      </c>
      <c r="G2441" s="1">
        <v>0.89959999999999996</v>
      </c>
      <c r="H2441" s="1">
        <v>2.0000000000000001E-4</v>
      </c>
      <c r="I2441" s="1">
        <v>0.5504</v>
      </c>
      <c r="J2441" s="1">
        <v>0.99270000000000003</v>
      </c>
      <c r="K2441" s="1">
        <v>7.3300000000000004E-2</v>
      </c>
      <c r="L2441" s="1">
        <v>0.40539999999999998</v>
      </c>
      <c r="M2441" s="1">
        <v>1.9E-3</v>
      </c>
      <c r="N2441" s="1">
        <v>0.82730000000000004</v>
      </c>
      <c r="O2441" s="1">
        <v>8.0000000000000004E-4</v>
      </c>
      <c r="P2441" s="1">
        <v>0.15079999999999999</v>
      </c>
      <c r="Q2441" s="1">
        <v>0.57430000000000003</v>
      </c>
      <c r="R2441" s="1">
        <v>0.93</v>
      </c>
      <c r="S2441" s="1">
        <v>0.51459999999999995</v>
      </c>
    </row>
    <row r="2442" spans="1:19">
      <c r="A2442" s="25" t="s">
        <v>192</v>
      </c>
      <c r="B2442">
        <v>10431</v>
      </c>
      <c r="C2442" t="s">
        <v>192</v>
      </c>
      <c r="D2442">
        <v>10431</v>
      </c>
      <c r="E2442" s="1">
        <v>0.18840000000000001</v>
      </c>
      <c r="F2442" s="1">
        <v>3.1899999999999998E-2</v>
      </c>
      <c r="G2442" s="1">
        <v>0.93769999999999998</v>
      </c>
      <c r="H2442" s="1">
        <v>4.0000000000000002E-4</v>
      </c>
      <c r="I2442" s="1">
        <v>0.47599999999999998</v>
      </c>
      <c r="J2442" s="1">
        <v>0.99680000000000002</v>
      </c>
      <c r="K2442" s="1">
        <v>0.10390000000000001</v>
      </c>
      <c r="L2442" s="1">
        <v>0.35830000000000001</v>
      </c>
      <c r="M2442" s="1">
        <v>6.9999999999999999E-4</v>
      </c>
      <c r="N2442" s="1">
        <v>0.85960000000000003</v>
      </c>
      <c r="O2442" s="1">
        <v>8.0000000000000004E-4</v>
      </c>
      <c r="P2442" s="1">
        <v>0.11409999999999999</v>
      </c>
      <c r="Q2442" s="1">
        <v>0.71950000000000003</v>
      </c>
      <c r="R2442" s="1">
        <v>0.95179999999999998</v>
      </c>
      <c r="S2442" s="1">
        <v>0.33400000000000002</v>
      </c>
    </row>
    <row r="2444" spans="1:19" ht="43.5">
      <c r="A2444" s="25" t="s">
        <v>748</v>
      </c>
    </row>
    <row r="2445" spans="1:19">
      <c r="A2445" s="25" t="s">
        <v>182</v>
      </c>
      <c r="B2445" t="s">
        <v>219</v>
      </c>
      <c r="C2445" t="s">
        <v>181</v>
      </c>
      <c r="D2445" t="s">
        <v>188</v>
      </c>
      <c r="E2445" t="s">
        <v>735</v>
      </c>
      <c r="F2445" t="s">
        <v>736</v>
      </c>
      <c r="G2445" t="s">
        <v>737</v>
      </c>
      <c r="H2445" t="s">
        <v>241</v>
      </c>
      <c r="I2445" t="s">
        <v>738</v>
      </c>
      <c r="J2445" t="s">
        <v>739</v>
      </c>
      <c r="K2445" t="s">
        <v>740</v>
      </c>
      <c r="L2445" t="s">
        <v>741</v>
      </c>
      <c r="M2445" t="s">
        <v>324</v>
      </c>
      <c r="N2445" t="s">
        <v>742</v>
      </c>
      <c r="O2445" t="s">
        <v>243</v>
      </c>
      <c r="P2445" t="s">
        <v>743</v>
      </c>
      <c r="Q2445" t="s">
        <v>744</v>
      </c>
      <c r="R2445" t="s">
        <v>745</v>
      </c>
      <c r="S2445" t="s">
        <v>746</v>
      </c>
    </row>
    <row r="2446" spans="1:19">
      <c r="A2446" s="25" t="s">
        <v>198</v>
      </c>
      <c r="B2446">
        <v>2262</v>
      </c>
      <c r="C2446" t="s">
        <v>189</v>
      </c>
      <c r="D2446">
        <v>10431</v>
      </c>
      <c r="E2446" s="1">
        <v>0.15590000000000001</v>
      </c>
      <c r="F2446" s="1">
        <v>4.0599999999999997E-2</v>
      </c>
      <c r="G2446" s="1">
        <v>0.89190000000000003</v>
      </c>
      <c r="H2446" s="1">
        <v>1E-3</v>
      </c>
      <c r="I2446" s="1">
        <v>0.31819999999999998</v>
      </c>
      <c r="J2446" s="1">
        <v>0.99439999999999995</v>
      </c>
      <c r="K2446" s="1">
        <v>0.11459999999999999</v>
      </c>
      <c r="L2446" s="1">
        <v>0.2873</v>
      </c>
      <c r="M2446" s="1">
        <v>1.2999999999999999E-3</v>
      </c>
      <c r="N2446" s="1">
        <v>0.83940000000000003</v>
      </c>
      <c r="O2446" s="1">
        <v>1.4E-3</v>
      </c>
      <c r="P2446" s="1">
        <v>5.7700000000000001E-2</v>
      </c>
      <c r="Q2446" s="1">
        <v>0.58150000000000002</v>
      </c>
      <c r="R2446" s="1">
        <v>0.94320000000000004</v>
      </c>
      <c r="S2446" s="1">
        <v>0.22739999999999999</v>
      </c>
    </row>
    <row r="2447" spans="1:19">
      <c r="A2447" s="25" t="s">
        <v>199</v>
      </c>
      <c r="B2447">
        <v>8169</v>
      </c>
      <c r="C2447" t="s">
        <v>189</v>
      </c>
      <c r="D2447">
        <v>10431</v>
      </c>
      <c r="E2447" s="1">
        <v>0.19570000000000001</v>
      </c>
      <c r="F2447" s="1">
        <v>0.03</v>
      </c>
      <c r="G2447" s="1">
        <v>0.94799999999999995</v>
      </c>
      <c r="H2447" s="1">
        <v>2.9999999999999997E-4</v>
      </c>
      <c r="I2447" s="1">
        <v>0.51129999999999998</v>
      </c>
      <c r="J2447" s="1">
        <v>0.99729999999999996</v>
      </c>
      <c r="K2447" s="1">
        <v>0.10150000000000001</v>
      </c>
      <c r="L2447" s="1">
        <v>0.37419999999999998</v>
      </c>
      <c r="M2447" s="1">
        <v>5.9999999999999995E-4</v>
      </c>
      <c r="N2447" s="1">
        <v>0.86419999999999997</v>
      </c>
      <c r="O2447" s="1">
        <v>5.9999999999999995E-4</v>
      </c>
      <c r="P2447" s="1">
        <v>0.12670000000000001</v>
      </c>
      <c r="Q2447" s="1">
        <v>0.75049999999999994</v>
      </c>
      <c r="R2447" s="1">
        <v>0.95369999999999999</v>
      </c>
      <c r="S2447" s="1">
        <v>0.3579</v>
      </c>
    </row>
    <row r="2448" spans="1:19">
      <c r="A2448" s="25" t="s">
        <v>192</v>
      </c>
      <c r="B2448">
        <v>10431</v>
      </c>
      <c r="C2448" t="s">
        <v>192</v>
      </c>
      <c r="D2448">
        <v>10431</v>
      </c>
      <c r="E2448" s="1">
        <v>0.18840000000000001</v>
      </c>
      <c r="F2448" s="1">
        <v>3.1899999999999998E-2</v>
      </c>
      <c r="G2448" s="1">
        <v>0.93769999999999998</v>
      </c>
      <c r="H2448" s="1">
        <v>4.0000000000000002E-4</v>
      </c>
      <c r="I2448" s="1">
        <v>0.47599999999999998</v>
      </c>
      <c r="J2448" s="1">
        <v>0.99680000000000002</v>
      </c>
      <c r="K2448" s="1">
        <v>0.10390000000000001</v>
      </c>
      <c r="L2448" s="1">
        <v>0.35830000000000001</v>
      </c>
      <c r="M2448" s="1">
        <v>6.9999999999999999E-4</v>
      </c>
      <c r="N2448" s="1">
        <v>0.85960000000000003</v>
      </c>
      <c r="O2448" s="1">
        <v>8.0000000000000004E-4</v>
      </c>
      <c r="P2448" s="1">
        <v>0.11409999999999999</v>
      </c>
      <c r="Q2448" s="1">
        <v>0.71950000000000003</v>
      </c>
      <c r="R2448" s="1">
        <v>0.95179999999999998</v>
      </c>
      <c r="S2448" s="1">
        <v>0.33400000000000002</v>
      </c>
    </row>
    <row r="2450" spans="1:19" ht="43.5">
      <c r="A2450" s="25" t="s">
        <v>749</v>
      </c>
    </row>
    <row r="2451" spans="1:19">
      <c r="A2451" s="25" t="s">
        <v>182</v>
      </c>
      <c r="B2451" t="s">
        <v>219</v>
      </c>
      <c r="C2451" t="s">
        <v>181</v>
      </c>
      <c r="D2451" t="s">
        <v>188</v>
      </c>
      <c r="E2451" t="s">
        <v>735</v>
      </c>
      <c r="F2451" t="s">
        <v>736</v>
      </c>
      <c r="G2451" t="s">
        <v>737</v>
      </c>
      <c r="H2451" t="s">
        <v>241</v>
      </c>
      <c r="I2451" t="s">
        <v>738</v>
      </c>
      <c r="J2451" t="s">
        <v>739</v>
      </c>
      <c r="K2451" t="s">
        <v>740</v>
      </c>
      <c r="L2451" t="s">
        <v>741</v>
      </c>
      <c r="M2451" t="s">
        <v>324</v>
      </c>
      <c r="N2451" t="s">
        <v>742</v>
      </c>
      <c r="O2451" t="s">
        <v>243</v>
      </c>
      <c r="P2451" t="s">
        <v>743</v>
      </c>
      <c r="Q2451" t="s">
        <v>744</v>
      </c>
      <c r="R2451" t="s">
        <v>745</v>
      </c>
      <c r="S2451" t="s">
        <v>746</v>
      </c>
    </row>
    <row r="2452" spans="1:19">
      <c r="A2452" s="25" t="s">
        <v>201</v>
      </c>
      <c r="B2452">
        <v>767</v>
      </c>
      <c r="C2452" t="s">
        <v>189</v>
      </c>
      <c r="D2452">
        <v>10431</v>
      </c>
      <c r="E2452" s="1">
        <v>0.1663</v>
      </c>
      <c r="F2452" s="1">
        <v>4.8500000000000001E-2</v>
      </c>
      <c r="G2452" s="1">
        <v>0.92820000000000003</v>
      </c>
      <c r="I2452" s="1">
        <v>0.58520000000000005</v>
      </c>
      <c r="J2452" s="1">
        <v>0.99539999999999995</v>
      </c>
      <c r="K2452" s="1">
        <v>6.6699999999999995E-2</v>
      </c>
      <c r="L2452" s="1">
        <v>0.3377</v>
      </c>
      <c r="M2452" s="1">
        <v>5.0000000000000001E-4</v>
      </c>
      <c r="N2452" s="1">
        <v>0.81289999999999996</v>
      </c>
      <c r="O2452" s="1">
        <v>2.8999999999999998E-3</v>
      </c>
      <c r="P2452" s="1">
        <v>0.6028</v>
      </c>
      <c r="Q2452" s="1">
        <v>0.73370000000000002</v>
      </c>
      <c r="R2452" s="1">
        <v>0.88829999999999998</v>
      </c>
      <c r="S2452" s="1">
        <v>0.47870000000000001</v>
      </c>
    </row>
    <row r="2453" spans="1:19">
      <c r="A2453" s="25" t="s">
        <v>202</v>
      </c>
      <c r="B2453">
        <v>110</v>
      </c>
      <c r="C2453" t="s">
        <v>189</v>
      </c>
      <c r="D2453">
        <v>10431</v>
      </c>
      <c r="E2453" s="1">
        <v>0.18940000000000001</v>
      </c>
      <c r="F2453" s="1">
        <v>1.72E-2</v>
      </c>
      <c r="G2453" s="1">
        <v>0.89080000000000004</v>
      </c>
      <c r="H2453" s="1">
        <v>2.5000000000000001E-3</v>
      </c>
      <c r="I2453" s="1">
        <v>0.497</v>
      </c>
      <c r="J2453" s="1">
        <v>0.97950000000000004</v>
      </c>
      <c r="K2453" s="1">
        <v>0.1535</v>
      </c>
      <c r="L2453" s="1">
        <v>0.23100000000000001</v>
      </c>
      <c r="N2453" s="1">
        <v>0.70450000000000002</v>
      </c>
      <c r="O2453" s="1">
        <v>4.0000000000000001E-3</v>
      </c>
      <c r="P2453" s="1">
        <v>0.24349999999999999</v>
      </c>
      <c r="Q2453" s="1">
        <v>0.6855</v>
      </c>
      <c r="R2453" s="1">
        <v>0.93179999999999996</v>
      </c>
      <c r="S2453" s="1">
        <v>0.47060000000000002</v>
      </c>
    </row>
    <row r="2454" spans="1:19">
      <c r="A2454" s="25" t="s">
        <v>203</v>
      </c>
      <c r="B2454">
        <v>8040</v>
      </c>
      <c r="C2454" t="s">
        <v>189</v>
      </c>
      <c r="D2454">
        <v>10431</v>
      </c>
      <c r="E2454" s="1">
        <v>0.1719</v>
      </c>
      <c r="F2454" s="1">
        <v>2.5999999999999999E-2</v>
      </c>
      <c r="G2454" s="1">
        <v>0.93569999999999998</v>
      </c>
      <c r="H2454" s="1">
        <v>2.9999999999999997E-4</v>
      </c>
      <c r="I2454" s="1">
        <v>0.4304</v>
      </c>
      <c r="J2454" s="1">
        <v>0.99739999999999995</v>
      </c>
      <c r="K2454" s="1">
        <v>0.1125</v>
      </c>
      <c r="L2454" s="1">
        <v>0.35620000000000002</v>
      </c>
      <c r="M2454" s="1">
        <v>8.0000000000000004E-4</v>
      </c>
      <c r="N2454" s="1">
        <v>0.86270000000000002</v>
      </c>
      <c r="O2454" s="1">
        <v>5.9999999999999995E-4</v>
      </c>
      <c r="P2454" s="1">
        <v>0.06</v>
      </c>
      <c r="Q2454" s="1">
        <v>0.70279999999999998</v>
      </c>
      <c r="R2454" s="1">
        <v>0.95879999999999999</v>
      </c>
      <c r="S2454" s="1">
        <v>0.29070000000000001</v>
      </c>
    </row>
    <row r="2455" spans="1:19">
      <c r="A2455" s="25" t="s">
        <v>204</v>
      </c>
      <c r="B2455">
        <v>31</v>
      </c>
      <c r="C2455" t="s">
        <v>189</v>
      </c>
      <c r="D2455">
        <v>10431</v>
      </c>
      <c r="G2455" s="1">
        <v>0.70599999999999996</v>
      </c>
      <c r="I2455" s="1">
        <v>0.30449999999999999</v>
      </c>
      <c r="J2455" s="1">
        <v>0.9425</v>
      </c>
      <c r="K2455" s="1">
        <v>2.3099999999999999E-2</v>
      </c>
      <c r="L2455" s="1">
        <v>0.18820000000000001</v>
      </c>
      <c r="N2455" s="1">
        <v>0.53500000000000003</v>
      </c>
      <c r="O2455" s="1">
        <v>5.57E-2</v>
      </c>
      <c r="P2455" s="1">
        <v>8.6400000000000005E-2</v>
      </c>
      <c r="Q2455" s="1">
        <v>0.60880000000000001</v>
      </c>
      <c r="R2455" s="1">
        <v>0.91339999999999999</v>
      </c>
      <c r="S2455" s="1">
        <v>0.23100000000000001</v>
      </c>
    </row>
    <row r="2456" spans="1:19">
      <c r="A2456" s="25" t="s">
        <v>205</v>
      </c>
      <c r="B2456">
        <v>1483</v>
      </c>
      <c r="C2456" t="s">
        <v>189</v>
      </c>
      <c r="D2456">
        <v>10431</v>
      </c>
      <c r="E2456" s="1">
        <v>0.29609999999999997</v>
      </c>
      <c r="F2456" s="1">
        <v>5.8299999999999998E-2</v>
      </c>
      <c r="G2456" s="1">
        <v>0.95930000000000004</v>
      </c>
      <c r="H2456" s="1">
        <v>1.4E-3</v>
      </c>
      <c r="I2456" s="1">
        <v>0.68220000000000003</v>
      </c>
      <c r="J2456" s="1">
        <v>0.99580000000000002</v>
      </c>
      <c r="K2456" s="1">
        <v>7.2599999999999998E-2</v>
      </c>
      <c r="L2456" s="1">
        <v>0.38800000000000001</v>
      </c>
      <c r="M2456" s="1">
        <v>5.0000000000000001E-4</v>
      </c>
      <c r="N2456" s="1">
        <v>0.87649999999999995</v>
      </c>
      <c r="O2456" s="1">
        <v>1E-4</v>
      </c>
      <c r="P2456" s="1">
        <v>0.17069999999999999</v>
      </c>
      <c r="Q2456" s="1">
        <v>0.8105</v>
      </c>
      <c r="R2456" s="1">
        <v>0.94489999999999996</v>
      </c>
      <c r="S2456" s="1">
        <v>0.50329999999999997</v>
      </c>
    </row>
    <row r="2457" spans="1:19">
      <c r="A2457" s="25" t="s">
        <v>192</v>
      </c>
      <c r="B2457">
        <v>10431</v>
      </c>
      <c r="C2457" t="s">
        <v>192</v>
      </c>
      <c r="D2457">
        <v>10431</v>
      </c>
      <c r="E2457" s="1">
        <v>0.18840000000000001</v>
      </c>
      <c r="F2457" s="1">
        <v>3.1899999999999998E-2</v>
      </c>
      <c r="G2457" s="1">
        <v>0.93769999999999998</v>
      </c>
      <c r="H2457" s="1">
        <v>4.0000000000000002E-4</v>
      </c>
      <c r="I2457" s="1">
        <v>0.47599999999999998</v>
      </c>
      <c r="J2457" s="1">
        <v>0.99680000000000002</v>
      </c>
      <c r="K2457" s="1">
        <v>0.10390000000000001</v>
      </c>
      <c r="L2457" s="1">
        <v>0.35830000000000001</v>
      </c>
      <c r="M2457" s="1">
        <v>6.9999999999999999E-4</v>
      </c>
      <c r="N2457" s="1">
        <v>0.85960000000000003</v>
      </c>
      <c r="O2457" s="1">
        <v>8.0000000000000004E-4</v>
      </c>
      <c r="P2457" s="1">
        <v>0.11409999999999999</v>
      </c>
      <c r="Q2457" s="1">
        <v>0.71950000000000003</v>
      </c>
      <c r="R2457" s="1">
        <v>0.95179999999999998</v>
      </c>
      <c r="S2457" s="1">
        <v>0.33400000000000002</v>
      </c>
    </row>
    <row r="2459" spans="1:19" ht="43.5">
      <c r="A2459" s="25" t="s">
        <v>750</v>
      </c>
    </row>
    <row r="2460" spans="1:19">
      <c r="A2460" s="25" t="s">
        <v>182</v>
      </c>
      <c r="B2460" t="s">
        <v>219</v>
      </c>
      <c r="C2460" t="s">
        <v>181</v>
      </c>
      <c r="D2460" t="s">
        <v>188</v>
      </c>
      <c r="E2460" t="s">
        <v>735</v>
      </c>
      <c r="F2460" t="s">
        <v>736</v>
      </c>
      <c r="G2460" t="s">
        <v>737</v>
      </c>
      <c r="H2460" t="s">
        <v>241</v>
      </c>
      <c r="I2460" t="s">
        <v>738</v>
      </c>
      <c r="J2460" t="s">
        <v>739</v>
      </c>
      <c r="K2460" t="s">
        <v>740</v>
      </c>
      <c r="L2460" t="s">
        <v>741</v>
      </c>
      <c r="M2460" t="s">
        <v>324</v>
      </c>
      <c r="N2460" t="s">
        <v>742</v>
      </c>
      <c r="O2460" t="s">
        <v>243</v>
      </c>
      <c r="P2460" t="s">
        <v>743</v>
      </c>
      <c r="Q2460" t="s">
        <v>744</v>
      </c>
      <c r="R2460" t="s">
        <v>745</v>
      </c>
      <c r="S2460" t="s">
        <v>746</v>
      </c>
    </row>
    <row r="2461" spans="1:19">
      <c r="A2461" s="25" t="s">
        <v>207</v>
      </c>
      <c r="B2461">
        <v>7252</v>
      </c>
      <c r="C2461" t="s">
        <v>189</v>
      </c>
      <c r="D2461">
        <v>10431</v>
      </c>
      <c r="E2461" s="1">
        <v>0.2019</v>
      </c>
      <c r="F2461" s="1">
        <v>3.4799999999999998E-2</v>
      </c>
      <c r="G2461" s="1">
        <v>0.95720000000000005</v>
      </c>
      <c r="H2461" s="1">
        <v>2.9999999999999997E-4</v>
      </c>
      <c r="I2461" s="1">
        <v>0.54369999999999996</v>
      </c>
      <c r="J2461" s="1">
        <v>0.998</v>
      </c>
      <c r="K2461" s="1">
        <v>0.1076</v>
      </c>
      <c r="L2461" s="1">
        <v>0.3881</v>
      </c>
      <c r="M2461" s="1">
        <v>2.0000000000000001E-4</v>
      </c>
      <c r="N2461" s="1">
        <v>0.87890000000000001</v>
      </c>
      <c r="O2461" s="1">
        <v>5.0000000000000001E-4</v>
      </c>
      <c r="P2461" s="1">
        <v>0.1181</v>
      </c>
      <c r="Q2461" s="1">
        <v>0.78</v>
      </c>
      <c r="R2461" s="1">
        <v>0.97209999999999996</v>
      </c>
      <c r="S2461" s="1">
        <v>0.36570000000000003</v>
      </c>
    </row>
    <row r="2462" spans="1:19">
      <c r="A2462" s="25" t="s">
        <v>208</v>
      </c>
      <c r="B2462">
        <v>2244</v>
      </c>
      <c r="C2462" t="s">
        <v>189</v>
      </c>
      <c r="D2462">
        <v>10431</v>
      </c>
      <c r="E2462" s="1">
        <v>0.15229999999999999</v>
      </c>
      <c r="F2462" s="1">
        <v>7.0000000000000001E-3</v>
      </c>
      <c r="G2462" s="1">
        <v>0.86419999999999997</v>
      </c>
      <c r="H2462" s="1">
        <v>8.9999999999999998E-4</v>
      </c>
      <c r="I2462" s="1">
        <v>0.16450000000000001</v>
      </c>
      <c r="J2462" s="1">
        <v>0.99270000000000003</v>
      </c>
      <c r="K2462" s="1">
        <v>6.8400000000000002E-2</v>
      </c>
      <c r="L2462" s="1">
        <v>0.22009999999999999</v>
      </c>
      <c r="M2462" s="1">
        <v>2.5000000000000001E-3</v>
      </c>
      <c r="N2462" s="1">
        <v>0.7702</v>
      </c>
      <c r="O2462" s="1">
        <v>1.8E-3</v>
      </c>
      <c r="P2462" s="1">
        <v>0.12230000000000001</v>
      </c>
      <c r="Q2462" s="1">
        <v>0.47820000000000001</v>
      </c>
      <c r="R2462" s="1">
        <v>0.88060000000000005</v>
      </c>
      <c r="S2462" s="1">
        <v>0.24879999999999999</v>
      </c>
    </row>
    <row r="2463" spans="1:19">
      <c r="A2463" s="25" t="s">
        <v>209</v>
      </c>
      <c r="B2463">
        <v>935</v>
      </c>
      <c r="C2463" t="s">
        <v>189</v>
      </c>
      <c r="D2463">
        <v>10431</v>
      </c>
      <c r="E2463" s="1">
        <v>0.1714</v>
      </c>
      <c r="F2463" s="1">
        <v>7.8200000000000006E-2</v>
      </c>
      <c r="G2463" s="1">
        <v>0.97560000000000002</v>
      </c>
      <c r="I2463" s="1">
        <v>0.76600000000000001</v>
      </c>
      <c r="J2463" s="1">
        <v>0.99760000000000004</v>
      </c>
      <c r="K2463" s="1">
        <v>0.17280000000000001</v>
      </c>
      <c r="L2463" s="1">
        <v>0.48880000000000001</v>
      </c>
      <c r="N2463" s="1">
        <v>0.94479999999999997</v>
      </c>
      <c r="O2463" s="1">
        <v>2.0000000000000001E-4</v>
      </c>
      <c r="P2463" s="1">
        <v>5.4800000000000001E-2</v>
      </c>
      <c r="Q2463" s="1">
        <v>0.87329999999999997</v>
      </c>
      <c r="R2463" s="1">
        <v>0.97499999999999998</v>
      </c>
      <c r="S2463" s="1">
        <v>0.29649999999999999</v>
      </c>
    </row>
    <row r="2464" spans="1:19">
      <c r="A2464" s="25" t="s">
        <v>192</v>
      </c>
      <c r="B2464">
        <v>10431</v>
      </c>
      <c r="C2464" t="s">
        <v>192</v>
      </c>
      <c r="D2464">
        <v>10431</v>
      </c>
      <c r="E2464" s="1">
        <v>0.18840000000000001</v>
      </c>
      <c r="F2464" s="1">
        <v>3.1899999999999998E-2</v>
      </c>
      <c r="G2464" s="1">
        <v>0.93769999999999998</v>
      </c>
      <c r="H2464" s="1">
        <v>4.0000000000000002E-4</v>
      </c>
      <c r="I2464" s="1">
        <v>0.47599999999999998</v>
      </c>
      <c r="J2464" s="1">
        <v>0.99680000000000002</v>
      </c>
      <c r="K2464" s="1">
        <v>0.10390000000000001</v>
      </c>
      <c r="L2464" s="1">
        <v>0.35830000000000001</v>
      </c>
      <c r="M2464" s="1">
        <v>6.9999999999999999E-4</v>
      </c>
      <c r="N2464" s="1">
        <v>0.85960000000000003</v>
      </c>
      <c r="O2464" s="1">
        <v>8.0000000000000004E-4</v>
      </c>
      <c r="P2464" s="1">
        <v>0.11409999999999999</v>
      </c>
      <c r="Q2464" s="1">
        <v>0.71950000000000003</v>
      </c>
      <c r="R2464" s="1">
        <v>0.95179999999999998</v>
      </c>
      <c r="S2464" s="1">
        <v>0.33400000000000002</v>
      </c>
    </row>
    <row r="2466" spans="1:47" ht="43.5">
      <c r="A2466" s="25" t="s">
        <v>751</v>
      </c>
    </row>
    <row r="2467" spans="1:47">
      <c r="A2467" s="25" t="s">
        <v>182</v>
      </c>
      <c r="B2467" t="s">
        <v>219</v>
      </c>
      <c r="C2467" t="s">
        <v>181</v>
      </c>
      <c r="D2467" t="s">
        <v>188</v>
      </c>
      <c r="E2467" t="s">
        <v>735</v>
      </c>
      <c r="F2467" t="s">
        <v>736</v>
      </c>
      <c r="G2467" t="s">
        <v>737</v>
      </c>
      <c r="H2467" t="s">
        <v>241</v>
      </c>
      <c r="I2467" t="s">
        <v>738</v>
      </c>
      <c r="J2467" t="s">
        <v>739</v>
      </c>
      <c r="K2467" t="s">
        <v>740</v>
      </c>
      <c r="L2467" t="s">
        <v>741</v>
      </c>
      <c r="M2467" t="s">
        <v>324</v>
      </c>
      <c r="N2467" t="s">
        <v>742</v>
      </c>
      <c r="O2467" t="s">
        <v>243</v>
      </c>
      <c r="P2467" t="s">
        <v>743</v>
      </c>
      <c r="Q2467" t="s">
        <v>744</v>
      </c>
      <c r="R2467" t="s">
        <v>745</v>
      </c>
      <c r="S2467" t="s">
        <v>746</v>
      </c>
    </row>
    <row r="2468" spans="1:47">
      <c r="A2468" s="25" t="s">
        <v>211</v>
      </c>
      <c r="B2468">
        <v>4971</v>
      </c>
      <c r="C2468" t="s">
        <v>189</v>
      </c>
      <c r="D2468">
        <v>10431</v>
      </c>
      <c r="E2468" s="1">
        <v>0.21640000000000001</v>
      </c>
      <c r="F2468" s="1">
        <v>3.9899999999999998E-2</v>
      </c>
      <c r="G2468" s="1">
        <v>0.9617</v>
      </c>
      <c r="H2468" s="1">
        <v>5.0000000000000001E-4</v>
      </c>
      <c r="I2468" s="1">
        <v>0.57950000000000002</v>
      </c>
      <c r="J2468" s="1">
        <v>0.99790000000000001</v>
      </c>
      <c r="K2468" s="1">
        <v>0.12330000000000001</v>
      </c>
      <c r="L2468" s="1">
        <v>0.41320000000000001</v>
      </c>
      <c r="M2468" s="1">
        <v>1E-4</v>
      </c>
      <c r="N2468" s="1">
        <v>0.88819999999999999</v>
      </c>
      <c r="O2468" s="1">
        <v>5.0000000000000001E-4</v>
      </c>
      <c r="P2468" s="1">
        <v>0.1045</v>
      </c>
      <c r="Q2468" s="1">
        <v>0.81030000000000002</v>
      </c>
      <c r="R2468" s="1">
        <v>0.97740000000000005</v>
      </c>
      <c r="S2468" s="1">
        <v>0.36199999999999999</v>
      </c>
    </row>
    <row r="2469" spans="1:47">
      <c r="A2469" s="25" t="s">
        <v>212</v>
      </c>
      <c r="B2469">
        <v>3375</v>
      </c>
      <c r="C2469" t="s">
        <v>189</v>
      </c>
      <c r="D2469">
        <v>10431</v>
      </c>
      <c r="E2469" s="1">
        <v>0.1346</v>
      </c>
      <c r="F2469" s="1">
        <v>2.47E-2</v>
      </c>
      <c r="G2469" s="1">
        <v>0.91579999999999995</v>
      </c>
      <c r="H2469" s="1">
        <v>5.9999999999999995E-4</v>
      </c>
      <c r="I2469" s="1">
        <v>0.40799999999999997</v>
      </c>
      <c r="J2469" s="1">
        <v>0.99480000000000002</v>
      </c>
      <c r="K2469" s="1">
        <v>8.0100000000000005E-2</v>
      </c>
      <c r="L2469" s="1">
        <v>0.28120000000000001</v>
      </c>
      <c r="M2469" s="1">
        <v>1.8E-3</v>
      </c>
      <c r="N2469" s="1">
        <v>0.84570000000000001</v>
      </c>
      <c r="O2469" s="1">
        <v>1.2999999999999999E-3</v>
      </c>
      <c r="P2469" s="1">
        <v>0.1135</v>
      </c>
      <c r="Q2469" s="1">
        <v>0.5706</v>
      </c>
      <c r="R2469" s="1">
        <v>0.93140000000000001</v>
      </c>
      <c r="S2469" s="1">
        <v>0.29530000000000001</v>
      </c>
    </row>
    <row r="2470" spans="1:47">
      <c r="A2470" s="25" t="s">
        <v>213</v>
      </c>
      <c r="B2470">
        <v>2085</v>
      </c>
      <c r="C2470" t="s">
        <v>189</v>
      </c>
      <c r="D2470">
        <v>10431</v>
      </c>
      <c r="E2470" s="1">
        <v>0.20449999999999999</v>
      </c>
      <c r="F2470" s="1">
        <v>2.52E-2</v>
      </c>
      <c r="G2470" s="1">
        <v>0.9173</v>
      </c>
      <c r="H2470" s="1">
        <v>2.0000000000000001E-4</v>
      </c>
      <c r="I2470" s="1">
        <v>0.35010000000000002</v>
      </c>
      <c r="J2470" s="1">
        <v>0.99739999999999995</v>
      </c>
      <c r="K2470" s="1">
        <v>9.6199999999999994E-2</v>
      </c>
      <c r="L2470" s="1">
        <v>0.34970000000000001</v>
      </c>
      <c r="M2470" s="1">
        <v>4.0000000000000002E-4</v>
      </c>
      <c r="N2470" s="1">
        <v>0.81820000000000004</v>
      </c>
      <c r="O2470" s="1">
        <v>5.9999999999999995E-4</v>
      </c>
      <c r="P2470" s="1">
        <v>0.13550000000000001</v>
      </c>
      <c r="Q2470" s="1">
        <v>0.73609999999999998</v>
      </c>
      <c r="R2470" s="1">
        <v>0.92559999999999998</v>
      </c>
      <c r="S2470" s="1">
        <v>0.32879999999999998</v>
      </c>
    </row>
    <row r="2471" spans="1:47">
      <c r="A2471" s="25" t="s">
        <v>192</v>
      </c>
      <c r="B2471">
        <v>10431</v>
      </c>
      <c r="C2471" t="s">
        <v>192</v>
      </c>
      <c r="D2471">
        <v>10431</v>
      </c>
      <c r="E2471" s="1">
        <v>0.18840000000000001</v>
      </c>
      <c r="F2471" s="1">
        <v>3.1899999999999998E-2</v>
      </c>
      <c r="G2471" s="1">
        <v>0.93769999999999998</v>
      </c>
      <c r="H2471" s="1">
        <v>4.0000000000000002E-4</v>
      </c>
      <c r="I2471" s="1">
        <v>0.47599999999999998</v>
      </c>
      <c r="J2471" s="1">
        <v>0.99680000000000002</v>
      </c>
      <c r="K2471" s="1">
        <v>0.10390000000000001</v>
      </c>
      <c r="L2471" s="1">
        <v>0.35830000000000001</v>
      </c>
      <c r="M2471" s="1">
        <v>6.9999999999999999E-4</v>
      </c>
      <c r="N2471" s="1">
        <v>0.85960000000000003</v>
      </c>
      <c r="O2471" s="1">
        <v>8.0000000000000004E-4</v>
      </c>
      <c r="P2471" s="1">
        <v>0.11409999999999999</v>
      </c>
      <c r="Q2471" s="1">
        <v>0.71950000000000003</v>
      </c>
      <c r="R2471" s="1">
        <v>0.95179999999999998</v>
      </c>
      <c r="S2471" s="1">
        <v>0.33400000000000002</v>
      </c>
    </row>
    <row r="2473" spans="1:47" ht="43.5">
      <c r="A2473" s="25" t="s">
        <v>752</v>
      </c>
    </row>
    <row r="2474" spans="1:47">
      <c r="A2474" s="25" t="s">
        <v>181</v>
      </c>
      <c r="B2474" t="s">
        <v>182</v>
      </c>
      <c r="C2474" t="s">
        <v>753</v>
      </c>
      <c r="D2474" t="s">
        <v>754</v>
      </c>
      <c r="E2474" t="s">
        <v>755</v>
      </c>
      <c r="F2474" t="s">
        <v>756</v>
      </c>
      <c r="G2474" t="s">
        <v>757</v>
      </c>
      <c r="H2474" t="s">
        <v>758</v>
      </c>
      <c r="I2474" t="s">
        <v>759</v>
      </c>
      <c r="J2474" t="s">
        <v>760</v>
      </c>
      <c r="K2474" t="s">
        <v>761</v>
      </c>
      <c r="L2474" t="s">
        <v>762</v>
      </c>
      <c r="M2474" t="s">
        <v>763</v>
      </c>
      <c r="N2474" t="s">
        <v>764</v>
      </c>
      <c r="O2474" t="s">
        <v>765</v>
      </c>
      <c r="P2474" t="s">
        <v>766</v>
      </c>
      <c r="Q2474" t="s">
        <v>767</v>
      </c>
      <c r="R2474" t="s">
        <v>768</v>
      </c>
      <c r="S2474" t="s">
        <v>769</v>
      </c>
      <c r="T2474" t="s">
        <v>770</v>
      </c>
      <c r="U2474" t="s">
        <v>771</v>
      </c>
      <c r="V2474" t="s">
        <v>772</v>
      </c>
      <c r="W2474" t="s">
        <v>773</v>
      </c>
      <c r="X2474" t="s">
        <v>774</v>
      </c>
      <c r="Y2474" t="s">
        <v>775</v>
      </c>
      <c r="Z2474" t="s">
        <v>776</v>
      </c>
      <c r="AA2474" t="s">
        <v>777</v>
      </c>
      <c r="AB2474" t="s">
        <v>778</v>
      </c>
      <c r="AC2474" t="s">
        <v>779</v>
      </c>
      <c r="AD2474" t="s">
        <v>780</v>
      </c>
      <c r="AE2474" t="s">
        <v>781</v>
      </c>
      <c r="AF2474" t="s">
        <v>782</v>
      </c>
      <c r="AG2474" t="s">
        <v>783</v>
      </c>
      <c r="AH2474" t="s">
        <v>784</v>
      </c>
      <c r="AI2474" t="s">
        <v>785</v>
      </c>
      <c r="AJ2474" t="s">
        <v>786</v>
      </c>
      <c r="AK2474" t="s">
        <v>787</v>
      </c>
      <c r="AL2474" t="s">
        <v>788</v>
      </c>
      <c r="AM2474" t="s">
        <v>789</v>
      </c>
      <c r="AN2474" t="s">
        <v>790</v>
      </c>
      <c r="AO2474" t="s">
        <v>791</v>
      </c>
      <c r="AP2474" t="s">
        <v>792</v>
      </c>
      <c r="AQ2474" t="s">
        <v>793</v>
      </c>
      <c r="AR2474" t="s">
        <v>794</v>
      </c>
      <c r="AS2474" t="s">
        <v>795</v>
      </c>
      <c r="AT2474" t="s">
        <v>796</v>
      </c>
      <c r="AU2474" t="s">
        <v>188</v>
      </c>
    </row>
    <row r="2475" spans="1:47">
      <c r="A2475" s="25" t="s">
        <v>189</v>
      </c>
      <c r="B2475" t="s">
        <v>190</v>
      </c>
      <c r="C2475">
        <v>5284.8482082946848</v>
      </c>
      <c r="D2475">
        <v>4000</v>
      </c>
      <c r="E2475">
        <v>100</v>
      </c>
      <c r="F2475">
        <v>45000</v>
      </c>
      <c r="G2475">
        <v>5438.8840025551899</v>
      </c>
      <c r="H2475">
        <v>4000</v>
      </c>
      <c r="I2475">
        <v>100</v>
      </c>
      <c r="J2475">
        <v>20000</v>
      </c>
      <c r="K2475">
        <v>523.58691582908773</v>
      </c>
      <c r="L2475">
        <v>300</v>
      </c>
      <c r="M2475">
        <v>50</v>
      </c>
      <c r="N2475">
        <v>8000</v>
      </c>
      <c r="O2475">
        <v>488.55940693345752</v>
      </c>
      <c r="P2475">
        <v>300</v>
      </c>
      <c r="Q2475">
        <v>50</v>
      </c>
      <c r="R2475">
        <v>5000</v>
      </c>
      <c r="S2475">
        <v>814.83699326812336</v>
      </c>
      <c r="T2475">
        <v>500</v>
      </c>
      <c r="U2475">
        <v>100</v>
      </c>
      <c r="V2475">
        <v>10000</v>
      </c>
      <c r="W2475">
        <v>649.25559816627481</v>
      </c>
      <c r="X2475">
        <v>300</v>
      </c>
      <c r="Y2475">
        <v>100</v>
      </c>
      <c r="Z2475">
        <v>40000</v>
      </c>
      <c r="AA2475">
        <v>1412.3505531779319</v>
      </c>
      <c r="AB2475">
        <v>1100</v>
      </c>
      <c r="AC2475">
        <v>100</v>
      </c>
      <c r="AD2475">
        <v>15000</v>
      </c>
      <c r="AE2475">
        <v>1073.8606200638339</v>
      </c>
      <c r="AF2475">
        <v>800</v>
      </c>
      <c r="AG2475">
        <v>83</v>
      </c>
      <c r="AH2475">
        <v>40000</v>
      </c>
      <c r="AI2475">
        <v>2096.6706079259202</v>
      </c>
      <c r="AJ2475">
        <v>1000</v>
      </c>
      <c r="AK2475">
        <v>50</v>
      </c>
      <c r="AL2475">
        <v>100000</v>
      </c>
      <c r="AM2475">
        <v>566.58747968727414</v>
      </c>
      <c r="AN2475">
        <v>500</v>
      </c>
      <c r="AO2475">
        <v>50</v>
      </c>
      <c r="AP2475">
        <v>7000</v>
      </c>
      <c r="AQ2475">
        <v>2631.134460272981</v>
      </c>
      <c r="AR2475">
        <v>1500</v>
      </c>
      <c r="AS2475">
        <v>100</v>
      </c>
      <c r="AT2475">
        <v>110000</v>
      </c>
      <c r="AU2475">
        <v>9295</v>
      </c>
    </row>
    <row r="2476" spans="1:47">
      <c r="A2476" s="25" t="s">
        <v>189</v>
      </c>
      <c r="B2476" t="s">
        <v>191</v>
      </c>
      <c r="C2476">
        <v>7068.7105317196028</v>
      </c>
      <c r="D2476">
        <v>6000</v>
      </c>
      <c r="E2476">
        <v>100</v>
      </c>
      <c r="F2476">
        <v>40000</v>
      </c>
      <c r="G2476">
        <v>6402.2773953032456</v>
      </c>
      <c r="H2476">
        <v>6000</v>
      </c>
      <c r="I2476">
        <v>100</v>
      </c>
      <c r="J2476">
        <v>28000</v>
      </c>
      <c r="K2476">
        <v>468.84881164238482</v>
      </c>
      <c r="L2476">
        <v>300</v>
      </c>
      <c r="M2476">
        <v>50</v>
      </c>
      <c r="N2476">
        <v>6000</v>
      </c>
      <c r="O2476">
        <v>565.61892014979526</v>
      </c>
      <c r="P2476">
        <v>300</v>
      </c>
      <c r="Q2476">
        <v>50</v>
      </c>
      <c r="R2476">
        <v>10000</v>
      </c>
      <c r="S2476">
        <v>843.05507023515804</v>
      </c>
      <c r="T2476">
        <v>600</v>
      </c>
      <c r="U2476">
        <v>100</v>
      </c>
      <c r="V2476">
        <v>25000</v>
      </c>
      <c r="W2476">
        <v>710.65330660825271</v>
      </c>
      <c r="X2476">
        <v>350</v>
      </c>
      <c r="Y2476">
        <v>100</v>
      </c>
      <c r="Z2476">
        <v>22000</v>
      </c>
      <c r="AA2476">
        <v>1703.4097053579051</v>
      </c>
      <c r="AB2476">
        <v>1500</v>
      </c>
      <c r="AC2476">
        <v>100</v>
      </c>
      <c r="AD2476">
        <v>25000</v>
      </c>
      <c r="AE2476">
        <v>1322.679943884805</v>
      </c>
      <c r="AF2476">
        <v>600</v>
      </c>
      <c r="AG2476">
        <v>100</v>
      </c>
      <c r="AH2476">
        <v>24000</v>
      </c>
      <c r="AI2476">
        <v>2191.7006080638112</v>
      </c>
      <c r="AJ2476">
        <v>1000</v>
      </c>
      <c r="AK2476">
        <v>50</v>
      </c>
      <c r="AL2476">
        <v>70000</v>
      </c>
      <c r="AM2476">
        <v>597.55662434541762</v>
      </c>
      <c r="AN2476">
        <v>550</v>
      </c>
      <c r="AO2476">
        <v>50</v>
      </c>
      <c r="AP2476">
        <v>10000</v>
      </c>
      <c r="AQ2476">
        <v>2732.2793005146218</v>
      </c>
      <c r="AR2476">
        <v>2000</v>
      </c>
      <c r="AS2476">
        <v>100</v>
      </c>
      <c r="AT2476">
        <v>87500</v>
      </c>
      <c r="AU2476">
        <v>9295</v>
      </c>
    </row>
    <row r="2477" spans="1:47">
      <c r="A2477" s="25" t="s">
        <v>192</v>
      </c>
      <c r="B2477" t="s">
        <v>192</v>
      </c>
      <c r="C2477">
        <v>6396.4678988151827</v>
      </c>
      <c r="D2477">
        <v>5000</v>
      </c>
      <c r="E2477">
        <v>100</v>
      </c>
      <c r="F2477">
        <v>45000</v>
      </c>
      <c r="G2477">
        <v>6329.7367348441967</v>
      </c>
      <c r="H2477">
        <v>6000</v>
      </c>
      <c r="I2477">
        <v>100</v>
      </c>
      <c r="J2477">
        <v>40000</v>
      </c>
      <c r="K2477">
        <v>479.16083769569008</v>
      </c>
      <c r="L2477">
        <v>300</v>
      </c>
      <c r="M2477">
        <v>50</v>
      </c>
      <c r="N2477">
        <v>8000</v>
      </c>
      <c r="O2477">
        <v>540.67294026103639</v>
      </c>
      <c r="P2477">
        <v>300</v>
      </c>
      <c r="Q2477">
        <v>50</v>
      </c>
      <c r="R2477">
        <v>10000</v>
      </c>
      <c r="S2477">
        <v>832.40970654938053</v>
      </c>
      <c r="T2477">
        <v>600</v>
      </c>
      <c r="U2477">
        <v>100</v>
      </c>
      <c r="V2477">
        <v>25000</v>
      </c>
      <c r="W2477">
        <v>687.10577804832178</v>
      </c>
      <c r="X2477">
        <v>320</v>
      </c>
      <c r="Y2477">
        <v>100</v>
      </c>
      <c r="Z2477">
        <v>40000</v>
      </c>
      <c r="AA2477">
        <v>1590.303250186088</v>
      </c>
      <c r="AB2477">
        <v>1300</v>
      </c>
      <c r="AC2477">
        <v>100</v>
      </c>
      <c r="AD2477">
        <v>25000</v>
      </c>
      <c r="AE2477">
        <v>1142.062548900893</v>
      </c>
      <c r="AF2477">
        <v>800</v>
      </c>
      <c r="AG2477">
        <v>83</v>
      </c>
      <c r="AH2477">
        <v>40000</v>
      </c>
      <c r="AI2477">
        <v>2156.723093970631</v>
      </c>
      <c r="AJ2477">
        <v>1000</v>
      </c>
      <c r="AK2477">
        <v>50</v>
      </c>
      <c r="AL2477">
        <v>100000</v>
      </c>
      <c r="AM2477">
        <v>586.05020470136856</v>
      </c>
      <c r="AN2477">
        <v>500</v>
      </c>
      <c r="AO2477">
        <v>50</v>
      </c>
      <c r="AP2477">
        <v>10000</v>
      </c>
      <c r="AQ2477">
        <v>2706.4477544972929</v>
      </c>
      <c r="AR2477">
        <v>1680</v>
      </c>
      <c r="AS2477">
        <v>100</v>
      </c>
      <c r="AT2477">
        <v>110000</v>
      </c>
      <c r="AU2477">
        <v>9295</v>
      </c>
    </row>
    <row r="2479" spans="1:47" ht="57.95">
      <c r="A2479" s="25" t="s">
        <v>797</v>
      </c>
    </row>
    <row r="2480" spans="1:47">
      <c r="A2480" s="25" t="s">
        <v>181</v>
      </c>
      <c r="B2480" t="s">
        <v>182</v>
      </c>
      <c r="C2480" t="s">
        <v>753</v>
      </c>
      <c r="D2480" t="s">
        <v>754</v>
      </c>
      <c r="E2480" t="s">
        <v>755</v>
      </c>
      <c r="F2480" t="s">
        <v>756</v>
      </c>
      <c r="G2480" t="s">
        <v>757</v>
      </c>
      <c r="H2480" t="s">
        <v>758</v>
      </c>
      <c r="I2480" t="s">
        <v>759</v>
      </c>
      <c r="J2480" t="s">
        <v>760</v>
      </c>
      <c r="K2480" t="s">
        <v>761</v>
      </c>
      <c r="L2480" t="s">
        <v>762</v>
      </c>
      <c r="M2480" t="s">
        <v>763</v>
      </c>
      <c r="N2480" t="s">
        <v>764</v>
      </c>
      <c r="O2480" t="s">
        <v>765</v>
      </c>
      <c r="P2480" t="s">
        <v>766</v>
      </c>
      <c r="Q2480" t="s">
        <v>767</v>
      </c>
      <c r="R2480" t="s">
        <v>768</v>
      </c>
      <c r="S2480" t="s">
        <v>769</v>
      </c>
      <c r="T2480" t="s">
        <v>770</v>
      </c>
      <c r="U2480" t="s">
        <v>771</v>
      </c>
      <c r="V2480" t="s">
        <v>772</v>
      </c>
      <c r="W2480" t="s">
        <v>773</v>
      </c>
      <c r="X2480" t="s">
        <v>774</v>
      </c>
      <c r="Y2480" t="s">
        <v>775</v>
      </c>
      <c r="Z2480" t="s">
        <v>776</v>
      </c>
      <c r="AA2480" t="s">
        <v>777</v>
      </c>
      <c r="AB2480" t="s">
        <v>778</v>
      </c>
      <c r="AC2480" t="s">
        <v>779</v>
      </c>
      <c r="AD2480" t="s">
        <v>780</v>
      </c>
      <c r="AE2480" t="s">
        <v>781</v>
      </c>
      <c r="AF2480" t="s">
        <v>782</v>
      </c>
      <c r="AG2480" t="s">
        <v>783</v>
      </c>
      <c r="AH2480" t="s">
        <v>784</v>
      </c>
      <c r="AI2480" t="s">
        <v>785</v>
      </c>
      <c r="AJ2480" t="s">
        <v>786</v>
      </c>
      <c r="AK2480" t="s">
        <v>787</v>
      </c>
      <c r="AL2480" t="s">
        <v>788</v>
      </c>
      <c r="AM2480" t="s">
        <v>789</v>
      </c>
      <c r="AN2480" t="s">
        <v>790</v>
      </c>
      <c r="AO2480" t="s">
        <v>791</v>
      </c>
      <c r="AP2480" t="s">
        <v>792</v>
      </c>
      <c r="AQ2480" t="s">
        <v>793</v>
      </c>
      <c r="AR2480" t="s">
        <v>794</v>
      </c>
      <c r="AS2480" t="s">
        <v>795</v>
      </c>
      <c r="AT2480" t="s">
        <v>796</v>
      </c>
      <c r="AU2480" t="s">
        <v>188</v>
      </c>
    </row>
    <row r="2481" spans="1:47">
      <c r="A2481" s="25" t="s">
        <v>189</v>
      </c>
      <c r="B2481" t="s">
        <v>194</v>
      </c>
      <c r="C2481">
        <v>6429.3092597234217</v>
      </c>
      <c r="D2481">
        <v>5000</v>
      </c>
      <c r="E2481">
        <v>200</v>
      </c>
      <c r="F2481">
        <v>40000</v>
      </c>
      <c r="G2481">
        <v>7061.7007917468009</v>
      </c>
      <c r="H2481">
        <v>7000</v>
      </c>
      <c r="I2481">
        <v>100</v>
      </c>
      <c r="J2481">
        <v>28000</v>
      </c>
      <c r="K2481">
        <v>500.53606238246749</v>
      </c>
      <c r="L2481">
        <v>300</v>
      </c>
      <c r="M2481">
        <v>50</v>
      </c>
      <c r="N2481">
        <v>8000</v>
      </c>
      <c r="O2481">
        <v>563.68089887435815</v>
      </c>
      <c r="P2481">
        <v>300</v>
      </c>
      <c r="Q2481">
        <v>50</v>
      </c>
      <c r="R2481">
        <v>10000</v>
      </c>
      <c r="S2481">
        <v>836.71140925190048</v>
      </c>
      <c r="T2481">
        <v>600</v>
      </c>
      <c r="U2481">
        <v>100</v>
      </c>
      <c r="V2481">
        <v>15000</v>
      </c>
      <c r="W2481">
        <v>714.32854612395977</v>
      </c>
      <c r="X2481">
        <v>350</v>
      </c>
      <c r="Y2481">
        <v>100</v>
      </c>
      <c r="Z2481">
        <v>22000</v>
      </c>
      <c r="AA2481">
        <v>1589.769544132251</v>
      </c>
      <c r="AB2481">
        <v>1300</v>
      </c>
      <c r="AC2481">
        <v>100</v>
      </c>
      <c r="AD2481">
        <v>25000</v>
      </c>
      <c r="AE2481">
        <v>1111.4068905790371</v>
      </c>
      <c r="AF2481">
        <v>800</v>
      </c>
      <c r="AG2481">
        <v>83</v>
      </c>
      <c r="AH2481">
        <v>24000</v>
      </c>
      <c r="AI2481">
        <v>2127.347219215012</v>
      </c>
      <c r="AJ2481">
        <v>1000</v>
      </c>
      <c r="AK2481">
        <v>50</v>
      </c>
      <c r="AL2481">
        <v>60000</v>
      </c>
      <c r="AM2481">
        <v>580.56600868935595</v>
      </c>
      <c r="AN2481">
        <v>500</v>
      </c>
      <c r="AO2481">
        <v>50</v>
      </c>
      <c r="AP2481">
        <v>10000</v>
      </c>
      <c r="AQ2481">
        <v>2810.2974150204982</v>
      </c>
      <c r="AR2481">
        <v>1700</v>
      </c>
      <c r="AS2481">
        <v>100</v>
      </c>
      <c r="AT2481">
        <v>110000</v>
      </c>
      <c r="AU2481">
        <v>9295</v>
      </c>
    </row>
    <row r="2482" spans="1:47">
      <c r="A2482" s="25" t="s">
        <v>189</v>
      </c>
      <c r="B2482" t="s">
        <v>195</v>
      </c>
      <c r="C2482">
        <v>6471.375491681677</v>
      </c>
      <c r="D2482">
        <v>5000</v>
      </c>
      <c r="E2482">
        <v>100</v>
      </c>
      <c r="F2482">
        <v>45000</v>
      </c>
      <c r="G2482">
        <v>5393.8926458829128</v>
      </c>
      <c r="H2482">
        <v>5000</v>
      </c>
      <c r="I2482">
        <v>200</v>
      </c>
      <c r="J2482">
        <v>15000</v>
      </c>
      <c r="K2482">
        <v>479.1316135479002</v>
      </c>
      <c r="L2482">
        <v>300</v>
      </c>
      <c r="M2482">
        <v>50</v>
      </c>
      <c r="N2482">
        <v>7000</v>
      </c>
      <c r="O2482">
        <v>490.17616355676768</v>
      </c>
      <c r="P2482">
        <v>300</v>
      </c>
      <c r="Q2482">
        <v>50</v>
      </c>
      <c r="R2482">
        <v>5000</v>
      </c>
      <c r="S2482">
        <v>808.90482764385808</v>
      </c>
      <c r="T2482">
        <v>500</v>
      </c>
      <c r="U2482">
        <v>100</v>
      </c>
      <c r="V2482">
        <v>8000</v>
      </c>
      <c r="W2482">
        <v>581.52198972162</v>
      </c>
      <c r="X2482">
        <v>300</v>
      </c>
      <c r="Y2482">
        <v>100</v>
      </c>
      <c r="Z2482">
        <v>25000</v>
      </c>
      <c r="AA2482">
        <v>1560.63604805503</v>
      </c>
      <c r="AB2482">
        <v>1300</v>
      </c>
      <c r="AC2482">
        <v>100</v>
      </c>
      <c r="AD2482">
        <v>18000</v>
      </c>
      <c r="AE2482">
        <v>1276.5362813812269</v>
      </c>
      <c r="AF2482">
        <v>650</v>
      </c>
      <c r="AG2482">
        <v>100</v>
      </c>
      <c r="AH2482">
        <v>40000</v>
      </c>
      <c r="AI2482">
        <v>2189.855116417923</v>
      </c>
      <c r="AJ2482">
        <v>1100</v>
      </c>
      <c r="AK2482">
        <v>50</v>
      </c>
      <c r="AL2482">
        <v>70000</v>
      </c>
      <c r="AM2482">
        <v>597.8443627852306</v>
      </c>
      <c r="AN2482">
        <v>530</v>
      </c>
      <c r="AO2482">
        <v>50</v>
      </c>
      <c r="AP2482">
        <v>10000</v>
      </c>
      <c r="AQ2482">
        <v>2960.2276522129159</v>
      </c>
      <c r="AR2482">
        <v>2000</v>
      </c>
      <c r="AS2482">
        <v>100</v>
      </c>
      <c r="AT2482">
        <v>44500</v>
      </c>
      <c r="AU2482">
        <v>9295</v>
      </c>
    </row>
    <row r="2483" spans="1:47">
      <c r="A2483" s="25" t="s">
        <v>189</v>
      </c>
      <c r="B2483" t="s">
        <v>196</v>
      </c>
      <c r="C2483">
        <v>5977.0114605085319</v>
      </c>
      <c r="D2483">
        <v>5000</v>
      </c>
      <c r="E2483">
        <v>100</v>
      </c>
      <c r="F2483">
        <v>30000</v>
      </c>
      <c r="G2483">
        <v>4272.6466196366719</v>
      </c>
      <c r="H2483">
        <v>4000</v>
      </c>
      <c r="I2483">
        <v>300</v>
      </c>
      <c r="J2483">
        <v>15000</v>
      </c>
      <c r="K2483">
        <v>386.66505546128059</v>
      </c>
      <c r="L2483">
        <v>300</v>
      </c>
      <c r="M2483">
        <v>50</v>
      </c>
      <c r="N2483">
        <v>5000</v>
      </c>
      <c r="O2483">
        <v>498.23528761859762</v>
      </c>
      <c r="P2483">
        <v>300</v>
      </c>
      <c r="Q2483">
        <v>50</v>
      </c>
      <c r="R2483">
        <v>10000</v>
      </c>
      <c r="S2483">
        <v>848.68486710088757</v>
      </c>
      <c r="T2483">
        <v>600</v>
      </c>
      <c r="U2483">
        <v>100</v>
      </c>
      <c r="V2483">
        <v>25000</v>
      </c>
      <c r="W2483">
        <v>673.01772474134077</v>
      </c>
      <c r="X2483">
        <v>300</v>
      </c>
      <c r="Y2483">
        <v>100</v>
      </c>
      <c r="Z2483">
        <v>40000</v>
      </c>
      <c r="AA2483">
        <v>1653.6494632975971</v>
      </c>
      <c r="AB2483">
        <v>1500</v>
      </c>
      <c r="AC2483">
        <v>100</v>
      </c>
      <c r="AD2483">
        <v>15000</v>
      </c>
      <c r="AE2483">
        <v>1209.6487017380321</v>
      </c>
      <c r="AF2483">
        <v>800</v>
      </c>
      <c r="AG2483">
        <v>100</v>
      </c>
      <c r="AH2483">
        <v>15500</v>
      </c>
      <c r="AI2483">
        <v>2342.605291162969</v>
      </c>
      <c r="AJ2483">
        <v>1200</v>
      </c>
      <c r="AK2483">
        <v>50</v>
      </c>
      <c r="AL2483">
        <v>100000</v>
      </c>
      <c r="AM2483">
        <v>602.89225878773391</v>
      </c>
      <c r="AN2483">
        <v>550</v>
      </c>
      <c r="AO2483">
        <v>50</v>
      </c>
      <c r="AP2483">
        <v>7000</v>
      </c>
      <c r="AQ2483">
        <v>1753.7557543024941</v>
      </c>
      <c r="AR2483">
        <v>1000</v>
      </c>
      <c r="AS2483">
        <v>100</v>
      </c>
      <c r="AT2483">
        <v>20000</v>
      </c>
      <c r="AU2483">
        <v>9295</v>
      </c>
    </row>
    <row r="2484" spans="1:47">
      <c r="A2484" s="25" t="s">
        <v>192</v>
      </c>
      <c r="B2484" t="s">
        <v>192</v>
      </c>
      <c r="C2484">
        <v>6396.4678988151827</v>
      </c>
      <c r="D2484">
        <v>5000</v>
      </c>
      <c r="E2484">
        <v>100</v>
      </c>
      <c r="F2484">
        <v>45000</v>
      </c>
      <c r="G2484">
        <v>6329.7367348441967</v>
      </c>
      <c r="H2484">
        <v>6000</v>
      </c>
      <c r="I2484">
        <v>100</v>
      </c>
      <c r="J2484">
        <v>40000</v>
      </c>
      <c r="K2484">
        <v>479.16083769569008</v>
      </c>
      <c r="L2484">
        <v>300</v>
      </c>
      <c r="M2484">
        <v>50</v>
      </c>
      <c r="N2484">
        <v>8000</v>
      </c>
      <c r="O2484">
        <v>540.67294026103639</v>
      </c>
      <c r="P2484">
        <v>300</v>
      </c>
      <c r="Q2484">
        <v>50</v>
      </c>
      <c r="R2484">
        <v>10000</v>
      </c>
      <c r="S2484">
        <v>832.40970654938053</v>
      </c>
      <c r="T2484">
        <v>600</v>
      </c>
      <c r="U2484">
        <v>100</v>
      </c>
      <c r="V2484">
        <v>25000</v>
      </c>
      <c r="W2484">
        <v>687.10577804832178</v>
      </c>
      <c r="X2484">
        <v>320</v>
      </c>
      <c r="Y2484">
        <v>100</v>
      </c>
      <c r="Z2484">
        <v>40000</v>
      </c>
      <c r="AA2484">
        <v>1590.303250186088</v>
      </c>
      <c r="AB2484">
        <v>1300</v>
      </c>
      <c r="AC2484">
        <v>100</v>
      </c>
      <c r="AD2484">
        <v>25000</v>
      </c>
      <c r="AE2484">
        <v>1142.062548900893</v>
      </c>
      <c r="AF2484">
        <v>800</v>
      </c>
      <c r="AG2484">
        <v>83</v>
      </c>
      <c r="AH2484">
        <v>40000</v>
      </c>
      <c r="AI2484">
        <v>2156.723093970631</v>
      </c>
      <c r="AJ2484">
        <v>1000</v>
      </c>
      <c r="AK2484">
        <v>50</v>
      </c>
      <c r="AL2484">
        <v>100000</v>
      </c>
      <c r="AM2484">
        <v>586.05020470136856</v>
      </c>
      <c r="AN2484">
        <v>500</v>
      </c>
      <c r="AO2484">
        <v>50</v>
      </c>
      <c r="AP2484">
        <v>10000</v>
      </c>
      <c r="AQ2484">
        <v>2706.4477544972929</v>
      </c>
      <c r="AR2484">
        <v>1680</v>
      </c>
      <c r="AS2484">
        <v>100</v>
      </c>
      <c r="AT2484">
        <v>110000</v>
      </c>
      <c r="AU2484">
        <v>9295</v>
      </c>
    </row>
    <row r="2486" spans="1:47" ht="43.5">
      <c r="A2486" s="25" t="s">
        <v>798</v>
      </c>
    </row>
    <row r="2487" spans="1:47">
      <c r="A2487" s="25" t="s">
        <v>181</v>
      </c>
      <c r="B2487" t="s">
        <v>182</v>
      </c>
      <c r="C2487" t="s">
        <v>753</v>
      </c>
      <c r="D2487" t="s">
        <v>754</v>
      </c>
      <c r="E2487" t="s">
        <v>755</v>
      </c>
      <c r="F2487" t="s">
        <v>756</v>
      </c>
      <c r="G2487" t="s">
        <v>757</v>
      </c>
      <c r="H2487" t="s">
        <v>758</v>
      </c>
      <c r="I2487" t="s">
        <v>759</v>
      </c>
      <c r="J2487" t="s">
        <v>760</v>
      </c>
      <c r="K2487" t="s">
        <v>761</v>
      </c>
      <c r="L2487" t="s">
        <v>762</v>
      </c>
      <c r="M2487" t="s">
        <v>763</v>
      </c>
      <c r="N2487" t="s">
        <v>764</v>
      </c>
      <c r="O2487" t="s">
        <v>765</v>
      </c>
      <c r="P2487" t="s">
        <v>766</v>
      </c>
      <c r="Q2487" t="s">
        <v>767</v>
      </c>
      <c r="R2487" t="s">
        <v>768</v>
      </c>
      <c r="S2487" t="s">
        <v>769</v>
      </c>
      <c r="T2487" t="s">
        <v>770</v>
      </c>
      <c r="U2487" t="s">
        <v>771</v>
      </c>
      <c r="V2487" t="s">
        <v>772</v>
      </c>
      <c r="W2487" t="s">
        <v>773</v>
      </c>
      <c r="X2487" t="s">
        <v>774</v>
      </c>
      <c r="Y2487" t="s">
        <v>775</v>
      </c>
      <c r="Z2487" t="s">
        <v>776</v>
      </c>
      <c r="AA2487" t="s">
        <v>777</v>
      </c>
      <c r="AB2487" t="s">
        <v>778</v>
      </c>
      <c r="AC2487" t="s">
        <v>779</v>
      </c>
      <c r="AD2487" t="s">
        <v>780</v>
      </c>
      <c r="AE2487" t="s">
        <v>781</v>
      </c>
      <c r="AF2487" t="s">
        <v>782</v>
      </c>
      <c r="AG2487" t="s">
        <v>783</v>
      </c>
      <c r="AH2487" t="s">
        <v>784</v>
      </c>
      <c r="AI2487" t="s">
        <v>785</v>
      </c>
      <c r="AJ2487" t="s">
        <v>786</v>
      </c>
      <c r="AK2487" t="s">
        <v>787</v>
      </c>
      <c r="AL2487" t="s">
        <v>788</v>
      </c>
      <c r="AM2487" t="s">
        <v>789</v>
      </c>
      <c r="AN2487" t="s">
        <v>790</v>
      </c>
      <c r="AO2487" t="s">
        <v>791</v>
      </c>
      <c r="AP2487" t="s">
        <v>792</v>
      </c>
      <c r="AQ2487" t="s">
        <v>793</v>
      </c>
      <c r="AR2487" t="s">
        <v>794</v>
      </c>
      <c r="AS2487" t="s">
        <v>795</v>
      </c>
      <c r="AT2487" t="s">
        <v>796</v>
      </c>
      <c r="AU2487" t="s">
        <v>188</v>
      </c>
    </row>
    <row r="2488" spans="1:47">
      <c r="A2488" s="25" t="s">
        <v>189</v>
      </c>
      <c r="B2488" t="s">
        <v>198</v>
      </c>
      <c r="C2488">
        <v>5187.2440041711834</v>
      </c>
      <c r="D2488">
        <v>4000</v>
      </c>
      <c r="E2488">
        <v>100</v>
      </c>
      <c r="F2488">
        <v>40000</v>
      </c>
      <c r="G2488">
        <v>5628.966070092366</v>
      </c>
      <c r="H2488">
        <v>5000</v>
      </c>
      <c r="I2488">
        <v>100</v>
      </c>
      <c r="J2488">
        <v>18000</v>
      </c>
      <c r="K2488">
        <v>596.22146067811047</v>
      </c>
      <c r="L2488">
        <v>300</v>
      </c>
      <c r="M2488">
        <v>50</v>
      </c>
      <c r="N2488">
        <v>5000</v>
      </c>
      <c r="O2488">
        <v>557.22085452747558</v>
      </c>
      <c r="P2488">
        <v>300</v>
      </c>
      <c r="Q2488">
        <v>50</v>
      </c>
      <c r="R2488">
        <v>10000</v>
      </c>
      <c r="S2488">
        <v>757.67376490115146</v>
      </c>
      <c r="T2488">
        <v>500</v>
      </c>
      <c r="U2488">
        <v>100</v>
      </c>
      <c r="V2488">
        <v>10000</v>
      </c>
      <c r="W2488">
        <v>627.28966432197387</v>
      </c>
      <c r="X2488">
        <v>300</v>
      </c>
      <c r="Y2488">
        <v>100</v>
      </c>
      <c r="Z2488">
        <v>10000</v>
      </c>
      <c r="AA2488">
        <v>1511.974202638017</v>
      </c>
      <c r="AB2488">
        <v>1200</v>
      </c>
      <c r="AC2488">
        <v>100</v>
      </c>
      <c r="AD2488">
        <v>25000</v>
      </c>
      <c r="AE2488">
        <v>1133.924884408184</v>
      </c>
      <c r="AF2488">
        <v>800</v>
      </c>
      <c r="AG2488">
        <v>83</v>
      </c>
      <c r="AH2488">
        <v>40000</v>
      </c>
      <c r="AI2488">
        <v>1732.2492342365069</v>
      </c>
      <c r="AJ2488">
        <v>1000</v>
      </c>
      <c r="AK2488">
        <v>50</v>
      </c>
      <c r="AL2488">
        <v>100000</v>
      </c>
      <c r="AM2488">
        <v>512.01231224757919</v>
      </c>
      <c r="AN2488">
        <v>400</v>
      </c>
      <c r="AO2488">
        <v>50</v>
      </c>
      <c r="AP2488">
        <v>7000</v>
      </c>
      <c r="AQ2488">
        <v>2373.2338976456949</v>
      </c>
      <c r="AR2488">
        <v>1500</v>
      </c>
      <c r="AS2488">
        <v>100</v>
      </c>
      <c r="AT2488">
        <v>87500</v>
      </c>
      <c r="AU2488">
        <v>9295</v>
      </c>
    </row>
    <row r="2489" spans="1:47">
      <c r="A2489" s="25" t="s">
        <v>189</v>
      </c>
      <c r="B2489" t="s">
        <v>199</v>
      </c>
      <c r="C2489">
        <v>6656.7538799119284</v>
      </c>
      <c r="D2489">
        <v>5000</v>
      </c>
      <c r="E2489">
        <v>200</v>
      </c>
      <c r="F2489">
        <v>45000</v>
      </c>
      <c r="G2489">
        <v>6400.6923006403504</v>
      </c>
      <c r="H2489">
        <v>6000</v>
      </c>
      <c r="I2489">
        <v>100</v>
      </c>
      <c r="J2489">
        <v>40000</v>
      </c>
      <c r="K2489">
        <v>462.32379354355282</v>
      </c>
      <c r="L2489">
        <v>300</v>
      </c>
      <c r="M2489">
        <v>50</v>
      </c>
      <c r="N2489">
        <v>8000</v>
      </c>
      <c r="O2489">
        <v>538.38437079735093</v>
      </c>
      <c r="P2489">
        <v>300</v>
      </c>
      <c r="Q2489">
        <v>50</v>
      </c>
      <c r="R2489">
        <v>10000</v>
      </c>
      <c r="S2489">
        <v>848.18107986960558</v>
      </c>
      <c r="T2489">
        <v>600</v>
      </c>
      <c r="U2489">
        <v>100</v>
      </c>
      <c r="V2489">
        <v>25000</v>
      </c>
      <c r="W2489">
        <v>696.90165754810232</v>
      </c>
      <c r="X2489">
        <v>320</v>
      </c>
      <c r="Y2489">
        <v>100</v>
      </c>
      <c r="Z2489">
        <v>40000</v>
      </c>
      <c r="AA2489">
        <v>1607.8849741108791</v>
      </c>
      <c r="AB2489">
        <v>1400</v>
      </c>
      <c r="AC2489">
        <v>100</v>
      </c>
      <c r="AD2489">
        <v>18000</v>
      </c>
      <c r="AE2489">
        <v>1144.096045537498</v>
      </c>
      <c r="AF2489">
        <v>750</v>
      </c>
      <c r="AG2489">
        <v>100</v>
      </c>
      <c r="AH2489">
        <v>24000</v>
      </c>
      <c r="AI2489">
        <v>2227.856590512642</v>
      </c>
      <c r="AJ2489">
        <v>1200</v>
      </c>
      <c r="AK2489">
        <v>50</v>
      </c>
      <c r="AL2489">
        <v>70000</v>
      </c>
      <c r="AM2489">
        <v>601.29658317823987</v>
      </c>
      <c r="AN2489">
        <v>550</v>
      </c>
      <c r="AO2489">
        <v>50</v>
      </c>
      <c r="AP2489">
        <v>10000</v>
      </c>
      <c r="AQ2489">
        <v>2766.7137010917349</v>
      </c>
      <c r="AR2489">
        <v>1800</v>
      </c>
      <c r="AS2489">
        <v>100</v>
      </c>
      <c r="AT2489">
        <v>110000</v>
      </c>
      <c r="AU2489">
        <v>9295</v>
      </c>
    </row>
    <row r="2490" spans="1:47">
      <c r="A2490" s="25" t="s">
        <v>192</v>
      </c>
      <c r="B2490" t="s">
        <v>192</v>
      </c>
      <c r="C2490">
        <v>6396.4678988151827</v>
      </c>
      <c r="D2490">
        <v>5000</v>
      </c>
      <c r="E2490">
        <v>100</v>
      </c>
      <c r="F2490">
        <v>45000</v>
      </c>
      <c r="G2490">
        <v>6329.7367348441967</v>
      </c>
      <c r="H2490">
        <v>6000</v>
      </c>
      <c r="I2490">
        <v>100</v>
      </c>
      <c r="J2490">
        <v>40000</v>
      </c>
      <c r="K2490">
        <v>479.16083769569008</v>
      </c>
      <c r="L2490">
        <v>300</v>
      </c>
      <c r="M2490">
        <v>50</v>
      </c>
      <c r="N2490">
        <v>8000</v>
      </c>
      <c r="O2490">
        <v>540.67294026103639</v>
      </c>
      <c r="P2490">
        <v>300</v>
      </c>
      <c r="Q2490">
        <v>50</v>
      </c>
      <c r="R2490">
        <v>10000</v>
      </c>
      <c r="S2490">
        <v>832.40970654938053</v>
      </c>
      <c r="T2490">
        <v>600</v>
      </c>
      <c r="U2490">
        <v>100</v>
      </c>
      <c r="V2490">
        <v>25000</v>
      </c>
      <c r="W2490">
        <v>687.10577804832178</v>
      </c>
      <c r="X2490">
        <v>320</v>
      </c>
      <c r="Y2490">
        <v>100</v>
      </c>
      <c r="Z2490">
        <v>40000</v>
      </c>
      <c r="AA2490">
        <v>1590.303250186088</v>
      </c>
      <c r="AB2490">
        <v>1300</v>
      </c>
      <c r="AC2490">
        <v>100</v>
      </c>
      <c r="AD2490">
        <v>25000</v>
      </c>
      <c r="AE2490">
        <v>1142.062548900893</v>
      </c>
      <c r="AF2490">
        <v>800</v>
      </c>
      <c r="AG2490">
        <v>83</v>
      </c>
      <c r="AH2490">
        <v>40000</v>
      </c>
      <c r="AI2490">
        <v>2156.723093970631</v>
      </c>
      <c r="AJ2490">
        <v>1000</v>
      </c>
      <c r="AK2490">
        <v>50</v>
      </c>
      <c r="AL2490">
        <v>100000</v>
      </c>
      <c r="AM2490">
        <v>586.05020470136856</v>
      </c>
      <c r="AN2490">
        <v>500</v>
      </c>
      <c r="AO2490">
        <v>50</v>
      </c>
      <c r="AP2490">
        <v>10000</v>
      </c>
      <c r="AQ2490">
        <v>2706.4477544972929</v>
      </c>
      <c r="AR2490">
        <v>1680</v>
      </c>
      <c r="AS2490">
        <v>100</v>
      </c>
      <c r="AT2490">
        <v>110000</v>
      </c>
      <c r="AU2490">
        <v>9295</v>
      </c>
    </row>
    <row r="2492" spans="1:47" ht="43.5">
      <c r="A2492" s="25" t="s">
        <v>799</v>
      </c>
    </row>
    <row r="2493" spans="1:47">
      <c r="A2493" s="25" t="s">
        <v>181</v>
      </c>
      <c r="B2493" t="s">
        <v>182</v>
      </c>
      <c r="C2493" t="s">
        <v>753</v>
      </c>
      <c r="D2493" t="s">
        <v>754</v>
      </c>
      <c r="E2493" t="s">
        <v>755</v>
      </c>
      <c r="F2493" t="s">
        <v>756</v>
      </c>
      <c r="G2493" t="s">
        <v>757</v>
      </c>
      <c r="H2493" t="s">
        <v>758</v>
      </c>
      <c r="I2493" t="s">
        <v>759</v>
      </c>
      <c r="J2493" t="s">
        <v>760</v>
      </c>
      <c r="K2493" t="s">
        <v>761</v>
      </c>
      <c r="L2493" t="s">
        <v>762</v>
      </c>
      <c r="M2493" t="s">
        <v>763</v>
      </c>
      <c r="N2493" t="s">
        <v>764</v>
      </c>
      <c r="O2493" t="s">
        <v>765</v>
      </c>
      <c r="P2493" t="s">
        <v>766</v>
      </c>
      <c r="Q2493" t="s">
        <v>767</v>
      </c>
      <c r="R2493" t="s">
        <v>768</v>
      </c>
      <c r="S2493" t="s">
        <v>769</v>
      </c>
      <c r="T2493" t="s">
        <v>770</v>
      </c>
      <c r="U2493" t="s">
        <v>771</v>
      </c>
      <c r="V2493" t="s">
        <v>772</v>
      </c>
      <c r="W2493" t="s">
        <v>773</v>
      </c>
      <c r="X2493" t="s">
        <v>774</v>
      </c>
      <c r="Y2493" t="s">
        <v>775</v>
      </c>
      <c r="Z2493" t="s">
        <v>776</v>
      </c>
      <c r="AA2493" t="s">
        <v>777</v>
      </c>
      <c r="AB2493" t="s">
        <v>778</v>
      </c>
      <c r="AC2493" t="s">
        <v>779</v>
      </c>
      <c r="AD2493" t="s">
        <v>780</v>
      </c>
      <c r="AE2493" t="s">
        <v>781</v>
      </c>
      <c r="AF2493" t="s">
        <v>782</v>
      </c>
      <c r="AG2493" t="s">
        <v>783</v>
      </c>
      <c r="AH2493" t="s">
        <v>784</v>
      </c>
      <c r="AI2493" t="s">
        <v>785</v>
      </c>
      <c r="AJ2493" t="s">
        <v>786</v>
      </c>
      <c r="AK2493" t="s">
        <v>787</v>
      </c>
      <c r="AL2493" t="s">
        <v>788</v>
      </c>
      <c r="AM2493" t="s">
        <v>789</v>
      </c>
      <c r="AN2493" t="s">
        <v>790</v>
      </c>
      <c r="AO2493" t="s">
        <v>791</v>
      </c>
      <c r="AP2493" t="s">
        <v>792</v>
      </c>
      <c r="AQ2493" t="s">
        <v>793</v>
      </c>
      <c r="AR2493" t="s">
        <v>794</v>
      </c>
      <c r="AS2493" t="s">
        <v>795</v>
      </c>
      <c r="AT2493" t="s">
        <v>796</v>
      </c>
      <c r="AU2493" t="s">
        <v>188</v>
      </c>
    </row>
    <row r="2494" spans="1:47">
      <c r="A2494" s="25" t="s">
        <v>189</v>
      </c>
      <c r="B2494" t="s">
        <v>201</v>
      </c>
      <c r="C2494">
        <v>7873.1733895495399</v>
      </c>
      <c r="D2494">
        <v>6000</v>
      </c>
      <c r="E2494">
        <v>400</v>
      </c>
      <c r="F2494">
        <v>40000</v>
      </c>
      <c r="G2494">
        <v>6156.0000167028638</v>
      </c>
      <c r="H2494">
        <v>5500</v>
      </c>
      <c r="I2494">
        <v>300</v>
      </c>
      <c r="J2494">
        <v>15000</v>
      </c>
      <c r="K2494">
        <v>431.51064690353928</v>
      </c>
      <c r="L2494">
        <v>300</v>
      </c>
      <c r="M2494">
        <v>50</v>
      </c>
      <c r="N2494">
        <v>5000</v>
      </c>
      <c r="O2494">
        <v>616.56720494225726</v>
      </c>
      <c r="P2494">
        <v>400</v>
      </c>
      <c r="Q2494">
        <v>50</v>
      </c>
      <c r="R2494">
        <v>5000</v>
      </c>
      <c r="S2494">
        <v>840.43313049781602</v>
      </c>
      <c r="T2494">
        <v>600</v>
      </c>
      <c r="U2494">
        <v>100</v>
      </c>
      <c r="V2494">
        <v>5500</v>
      </c>
      <c r="W2494">
        <v>673.60343330762146</v>
      </c>
      <c r="X2494">
        <v>400</v>
      </c>
      <c r="Y2494">
        <v>100</v>
      </c>
      <c r="Z2494">
        <v>15000</v>
      </c>
      <c r="AA2494">
        <v>1627.7180605655981</v>
      </c>
      <c r="AB2494">
        <v>1500</v>
      </c>
      <c r="AC2494">
        <v>130</v>
      </c>
      <c r="AD2494">
        <v>10000</v>
      </c>
      <c r="AE2494">
        <v>744.37534239023535</v>
      </c>
      <c r="AF2494">
        <v>500</v>
      </c>
      <c r="AG2494">
        <v>100</v>
      </c>
      <c r="AH2494">
        <v>5000</v>
      </c>
      <c r="AI2494">
        <v>2273.7384912365769</v>
      </c>
      <c r="AJ2494">
        <v>1000</v>
      </c>
      <c r="AK2494">
        <v>56</v>
      </c>
      <c r="AL2494">
        <v>37500</v>
      </c>
      <c r="AM2494">
        <v>658.63532215328155</v>
      </c>
      <c r="AN2494">
        <v>600</v>
      </c>
      <c r="AO2494">
        <v>50</v>
      </c>
      <c r="AP2494">
        <v>4600</v>
      </c>
      <c r="AQ2494">
        <v>2188.8094710053729</v>
      </c>
      <c r="AR2494">
        <v>1500</v>
      </c>
      <c r="AS2494">
        <v>200</v>
      </c>
      <c r="AT2494">
        <v>20000</v>
      </c>
      <c r="AU2494">
        <v>9295</v>
      </c>
    </row>
    <row r="2495" spans="1:47">
      <c r="A2495" s="25" t="s">
        <v>189</v>
      </c>
      <c r="B2495" t="s">
        <v>202</v>
      </c>
      <c r="C2495">
        <v>6468.6525925753094</v>
      </c>
      <c r="D2495">
        <v>6000</v>
      </c>
      <c r="E2495">
        <v>1000</v>
      </c>
      <c r="F2495">
        <v>25000</v>
      </c>
      <c r="G2495">
        <v>4854.791567973055</v>
      </c>
      <c r="H2495">
        <v>4500</v>
      </c>
      <c r="I2495">
        <v>1000</v>
      </c>
      <c r="J2495">
        <v>14000</v>
      </c>
      <c r="K2495">
        <v>504.45873210035597</v>
      </c>
      <c r="L2495">
        <v>400</v>
      </c>
      <c r="M2495">
        <v>100</v>
      </c>
      <c r="N2495">
        <v>2000</v>
      </c>
      <c r="O2495">
        <v>425.56363842962168</v>
      </c>
      <c r="P2495">
        <v>500</v>
      </c>
      <c r="Q2495">
        <v>100</v>
      </c>
      <c r="R2495">
        <v>2000</v>
      </c>
      <c r="S2495">
        <v>772.38067139222801</v>
      </c>
      <c r="T2495">
        <v>800</v>
      </c>
      <c r="U2495">
        <v>100</v>
      </c>
      <c r="V2495">
        <v>5000</v>
      </c>
      <c r="W2495">
        <v>1996.99258535948</v>
      </c>
      <c r="X2495">
        <v>1000</v>
      </c>
      <c r="Y2495">
        <v>180</v>
      </c>
      <c r="Z2495">
        <v>10000</v>
      </c>
      <c r="AA2495">
        <v>2044.8663601169719</v>
      </c>
      <c r="AB2495">
        <v>1500</v>
      </c>
      <c r="AC2495">
        <v>120</v>
      </c>
      <c r="AD2495">
        <v>10000</v>
      </c>
      <c r="AE2495">
        <v>1429.8548178985809</v>
      </c>
      <c r="AF2495">
        <v>1000</v>
      </c>
      <c r="AG2495">
        <v>100</v>
      </c>
      <c r="AH2495">
        <v>5000</v>
      </c>
      <c r="AI2495">
        <v>1837.5110280246311</v>
      </c>
      <c r="AJ2495">
        <v>1500</v>
      </c>
      <c r="AK2495">
        <v>100</v>
      </c>
      <c r="AL2495">
        <v>20000</v>
      </c>
      <c r="AM2495">
        <v>633.81928077112696</v>
      </c>
      <c r="AN2495">
        <v>650</v>
      </c>
      <c r="AO2495">
        <v>100</v>
      </c>
      <c r="AP2495">
        <v>2500</v>
      </c>
      <c r="AQ2495">
        <v>1223.5983608979971</v>
      </c>
      <c r="AR2495">
        <v>1000</v>
      </c>
      <c r="AS2495">
        <v>400</v>
      </c>
      <c r="AT2495">
        <v>8000</v>
      </c>
      <c r="AU2495">
        <v>9295</v>
      </c>
    </row>
    <row r="2496" spans="1:47">
      <c r="A2496" s="25" t="s">
        <v>189</v>
      </c>
      <c r="B2496" t="s">
        <v>203</v>
      </c>
      <c r="C2496">
        <v>5798.7028056946701</v>
      </c>
      <c r="D2496">
        <v>5000</v>
      </c>
      <c r="E2496">
        <v>100</v>
      </c>
      <c r="F2496">
        <v>40000</v>
      </c>
      <c r="G2496">
        <v>6352.9051620144119</v>
      </c>
      <c r="H2496">
        <v>6000</v>
      </c>
      <c r="I2496">
        <v>100</v>
      </c>
      <c r="J2496">
        <v>28000</v>
      </c>
      <c r="K2496">
        <v>460.72558610218942</v>
      </c>
      <c r="L2496">
        <v>300</v>
      </c>
      <c r="M2496">
        <v>50</v>
      </c>
      <c r="N2496">
        <v>8000</v>
      </c>
      <c r="O2496">
        <v>502.88684686089431</v>
      </c>
      <c r="P2496">
        <v>300</v>
      </c>
      <c r="Q2496">
        <v>50</v>
      </c>
      <c r="R2496">
        <v>10000</v>
      </c>
      <c r="S2496">
        <v>797.34599754185899</v>
      </c>
      <c r="T2496">
        <v>500</v>
      </c>
      <c r="U2496">
        <v>100</v>
      </c>
      <c r="V2496">
        <v>15000</v>
      </c>
      <c r="W2496">
        <v>635.97790611384289</v>
      </c>
      <c r="X2496">
        <v>300</v>
      </c>
      <c r="Y2496">
        <v>100</v>
      </c>
      <c r="Z2496">
        <v>40000</v>
      </c>
      <c r="AA2496">
        <v>1514.6677593919619</v>
      </c>
      <c r="AB2496">
        <v>1290</v>
      </c>
      <c r="AC2496">
        <v>100</v>
      </c>
      <c r="AD2496">
        <v>25000</v>
      </c>
      <c r="AE2496">
        <v>1155.1545108437331</v>
      </c>
      <c r="AF2496">
        <v>800</v>
      </c>
      <c r="AG2496">
        <v>83</v>
      </c>
      <c r="AH2496">
        <v>40000</v>
      </c>
      <c r="AI2496">
        <v>1990.184141225862</v>
      </c>
      <c r="AJ2496">
        <v>1000</v>
      </c>
      <c r="AK2496">
        <v>50</v>
      </c>
      <c r="AL2496">
        <v>70000</v>
      </c>
      <c r="AM2496">
        <v>555.90381696626218</v>
      </c>
      <c r="AN2496">
        <v>500</v>
      </c>
      <c r="AO2496">
        <v>50</v>
      </c>
      <c r="AP2496">
        <v>10000</v>
      </c>
      <c r="AQ2496">
        <v>2483.7670387902781</v>
      </c>
      <c r="AR2496">
        <v>1500</v>
      </c>
      <c r="AS2496">
        <v>100</v>
      </c>
      <c r="AT2496">
        <v>110000</v>
      </c>
      <c r="AU2496">
        <v>9295</v>
      </c>
    </row>
    <row r="2497" spans="1:47">
      <c r="A2497" s="25" t="s">
        <v>189</v>
      </c>
      <c r="B2497" t="s">
        <v>204</v>
      </c>
      <c r="C2497">
        <v>5117.6042569851461</v>
      </c>
      <c r="D2497">
        <v>5000</v>
      </c>
      <c r="E2497">
        <v>2000</v>
      </c>
      <c r="F2497">
        <v>25000</v>
      </c>
      <c r="G2497">
        <v>6382.0617402398257</v>
      </c>
      <c r="H2497">
        <v>8000</v>
      </c>
      <c r="I2497">
        <v>1000</v>
      </c>
      <c r="J2497">
        <v>8000</v>
      </c>
      <c r="K2497">
        <v>441.6720860190876</v>
      </c>
      <c r="L2497">
        <v>650</v>
      </c>
      <c r="M2497">
        <v>200</v>
      </c>
      <c r="N2497">
        <v>1000</v>
      </c>
      <c r="O2497">
        <v>477.89971322525372</v>
      </c>
      <c r="P2497">
        <v>300</v>
      </c>
      <c r="Q2497">
        <v>100</v>
      </c>
      <c r="R2497">
        <v>1000</v>
      </c>
      <c r="S2497">
        <v>641.2598986502669</v>
      </c>
      <c r="T2497">
        <v>500</v>
      </c>
      <c r="U2497">
        <v>300</v>
      </c>
      <c r="V2497">
        <v>1200</v>
      </c>
      <c r="W2497">
        <v>725.20669140949622</v>
      </c>
      <c r="X2497">
        <v>300</v>
      </c>
      <c r="Y2497">
        <v>100</v>
      </c>
      <c r="Z2497">
        <v>5000</v>
      </c>
      <c r="AA2497">
        <v>1293.1239158250719</v>
      </c>
      <c r="AB2497">
        <v>1300</v>
      </c>
      <c r="AC2497">
        <v>500</v>
      </c>
      <c r="AD2497">
        <v>2800</v>
      </c>
      <c r="AE2497">
        <v>1000</v>
      </c>
      <c r="AF2497">
        <v>1000</v>
      </c>
      <c r="AG2497">
        <v>1000</v>
      </c>
      <c r="AH2497">
        <v>1000</v>
      </c>
      <c r="AI2497">
        <v>2231.1988298746269</v>
      </c>
      <c r="AJ2497">
        <v>3000</v>
      </c>
      <c r="AK2497">
        <v>200</v>
      </c>
      <c r="AL2497">
        <v>6000</v>
      </c>
      <c r="AM2497">
        <v>587.26895444295974</v>
      </c>
      <c r="AN2497">
        <v>600</v>
      </c>
      <c r="AO2497">
        <v>250</v>
      </c>
      <c r="AP2497">
        <v>1200</v>
      </c>
      <c r="AU2497">
        <v>9295</v>
      </c>
    </row>
    <row r="2498" spans="1:47">
      <c r="A2498" s="25" t="s">
        <v>189</v>
      </c>
      <c r="B2498" t="s">
        <v>205</v>
      </c>
      <c r="C2498">
        <v>9062.2520818051435</v>
      </c>
      <c r="D2498">
        <v>8000</v>
      </c>
      <c r="E2498">
        <v>200</v>
      </c>
      <c r="F2498">
        <v>45000</v>
      </c>
      <c r="G2498">
        <v>6677.8559872622754</v>
      </c>
      <c r="H2498">
        <v>6000</v>
      </c>
      <c r="I2498">
        <v>300</v>
      </c>
      <c r="J2498">
        <v>40000</v>
      </c>
      <c r="K2498">
        <v>565.93804954344</v>
      </c>
      <c r="L2498">
        <v>400</v>
      </c>
      <c r="M2498">
        <v>60</v>
      </c>
      <c r="N2498">
        <v>5000</v>
      </c>
      <c r="O2498">
        <v>643.85353984135634</v>
      </c>
      <c r="P2498">
        <v>400</v>
      </c>
      <c r="Q2498">
        <v>50</v>
      </c>
      <c r="R2498">
        <v>10000</v>
      </c>
      <c r="S2498">
        <v>1030.165648044554</v>
      </c>
      <c r="T2498">
        <v>780</v>
      </c>
      <c r="U2498">
        <v>100</v>
      </c>
      <c r="V2498">
        <v>25000</v>
      </c>
      <c r="W2498">
        <v>947.20403828841597</v>
      </c>
      <c r="X2498">
        <v>500</v>
      </c>
      <c r="Y2498">
        <v>100</v>
      </c>
      <c r="Z2498">
        <v>13800</v>
      </c>
      <c r="AA2498">
        <v>2005.912183032681</v>
      </c>
      <c r="AB2498">
        <v>1600</v>
      </c>
      <c r="AC2498">
        <v>100</v>
      </c>
      <c r="AD2498">
        <v>12000</v>
      </c>
      <c r="AE2498">
        <v>1178.124344889723</v>
      </c>
      <c r="AF2498">
        <v>600</v>
      </c>
      <c r="AG2498">
        <v>100</v>
      </c>
      <c r="AH2498">
        <v>18000</v>
      </c>
      <c r="AI2498">
        <v>2928.882347936014</v>
      </c>
      <c r="AJ2498">
        <v>2000</v>
      </c>
      <c r="AK2498">
        <v>50</v>
      </c>
      <c r="AL2498">
        <v>100000</v>
      </c>
      <c r="AM2498">
        <v>715.39438699145614</v>
      </c>
      <c r="AN2498">
        <v>650</v>
      </c>
      <c r="AO2498">
        <v>90</v>
      </c>
      <c r="AP2498">
        <v>7000</v>
      </c>
      <c r="AQ2498">
        <v>3621.1918853666889</v>
      </c>
      <c r="AR2498">
        <v>2000</v>
      </c>
      <c r="AS2498">
        <v>100</v>
      </c>
      <c r="AT2498">
        <v>87500</v>
      </c>
      <c r="AU2498">
        <v>9295</v>
      </c>
    </row>
    <row r="2499" spans="1:47">
      <c r="A2499" s="25" t="s">
        <v>192</v>
      </c>
      <c r="B2499" t="s">
        <v>192</v>
      </c>
      <c r="C2499">
        <v>6396.4678988151827</v>
      </c>
      <c r="D2499">
        <v>5000</v>
      </c>
      <c r="E2499">
        <v>100</v>
      </c>
      <c r="F2499">
        <v>45000</v>
      </c>
      <c r="G2499">
        <v>6329.7367348441967</v>
      </c>
      <c r="H2499">
        <v>6000</v>
      </c>
      <c r="I2499">
        <v>100</v>
      </c>
      <c r="J2499">
        <v>40000</v>
      </c>
      <c r="K2499">
        <v>479.16083769569008</v>
      </c>
      <c r="L2499">
        <v>300</v>
      </c>
      <c r="M2499">
        <v>50</v>
      </c>
      <c r="N2499">
        <v>8000</v>
      </c>
      <c r="O2499">
        <v>540.67294026103639</v>
      </c>
      <c r="P2499">
        <v>300</v>
      </c>
      <c r="Q2499">
        <v>50</v>
      </c>
      <c r="R2499">
        <v>10000</v>
      </c>
      <c r="S2499">
        <v>832.40970654938053</v>
      </c>
      <c r="T2499">
        <v>600</v>
      </c>
      <c r="U2499">
        <v>100</v>
      </c>
      <c r="V2499">
        <v>25000</v>
      </c>
      <c r="W2499">
        <v>687.10577804832178</v>
      </c>
      <c r="X2499">
        <v>320</v>
      </c>
      <c r="Y2499">
        <v>100</v>
      </c>
      <c r="Z2499">
        <v>40000</v>
      </c>
      <c r="AA2499">
        <v>1590.303250186088</v>
      </c>
      <c r="AB2499">
        <v>1300</v>
      </c>
      <c r="AC2499">
        <v>100</v>
      </c>
      <c r="AD2499">
        <v>25000</v>
      </c>
      <c r="AE2499">
        <v>1142.062548900893</v>
      </c>
      <c r="AF2499">
        <v>800</v>
      </c>
      <c r="AG2499">
        <v>83</v>
      </c>
      <c r="AH2499">
        <v>40000</v>
      </c>
      <c r="AI2499">
        <v>2156.723093970631</v>
      </c>
      <c r="AJ2499">
        <v>1000</v>
      </c>
      <c r="AK2499">
        <v>50</v>
      </c>
      <c r="AL2499">
        <v>100000</v>
      </c>
      <c r="AM2499">
        <v>586.05020470136856</v>
      </c>
      <c r="AN2499">
        <v>500</v>
      </c>
      <c r="AO2499">
        <v>50</v>
      </c>
      <c r="AP2499">
        <v>10000</v>
      </c>
      <c r="AQ2499">
        <v>2706.4477544972929</v>
      </c>
      <c r="AR2499">
        <v>1680</v>
      </c>
      <c r="AS2499">
        <v>100</v>
      </c>
      <c r="AT2499">
        <v>110000</v>
      </c>
      <c r="AU2499">
        <v>9295</v>
      </c>
    </row>
    <row r="2501" spans="1:47" ht="43.5">
      <c r="A2501" s="25" t="s">
        <v>800</v>
      </c>
    </row>
    <row r="2502" spans="1:47">
      <c r="A2502" s="25" t="s">
        <v>181</v>
      </c>
      <c r="B2502" t="s">
        <v>182</v>
      </c>
      <c r="C2502" t="s">
        <v>753</v>
      </c>
      <c r="D2502" t="s">
        <v>754</v>
      </c>
      <c r="E2502" t="s">
        <v>755</v>
      </c>
      <c r="F2502" t="s">
        <v>756</v>
      </c>
      <c r="G2502" t="s">
        <v>757</v>
      </c>
      <c r="H2502" t="s">
        <v>758</v>
      </c>
      <c r="I2502" t="s">
        <v>759</v>
      </c>
      <c r="J2502" t="s">
        <v>760</v>
      </c>
      <c r="K2502" t="s">
        <v>761</v>
      </c>
      <c r="L2502" t="s">
        <v>762</v>
      </c>
      <c r="M2502" t="s">
        <v>763</v>
      </c>
      <c r="N2502" t="s">
        <v>764</v>
      </c>
      <c r="O2502" t="s">
        <v>765</v>
      </c>
      <c r="P2502" t="s">
        <v>766</v>
      </c>
      <c r="Q2502" t="s">
        <v>767</v>
      </c>
      <c r="R2502" t="s">
        <v>768</v>
      </c>
      <c r="S2502" t="s">
        <v>769</v>
      </c>
      <c r="T2502" t="s">
        <v>770</v>
      </c>
      <c r="U2502" t="s">
        <v>771</v>
      </c>
      <c r="V2502" t="s">
        <v>772</v>
      </c>
      <c r="W2502" t="s">
        <v>773</v>
      </c>
      <c r="X2502" t="s">
        <v>774</v>
      </c>
      <c r="Y2502" t="s">
        <v>775</v>
      </c>
      <c r="Z2502" t="s">
        <v>776</v>
      </c>
      <c r="AA2502" t="s">
        <v>777</v>
      </c>
      <c r="AB2502" t="s">
        <v>778</v>
      </c>
      <c r="AC2502" t="s">
        <v>779</v>
      </c>
      <c r="AD2502" t="s">
        <v>780</v>
      </c>
      <c r="AE2502" t="s">
        <v>781</v>
      </c>
      <c r="AF2502" t="s">
        <v>782</v>
      </c>
      <c r="AG2502" t="s">
        <v>783</v>
      </c>
      <c r="AH2502" t="s">
        <v>784</v>
      </c>
      <c r="AI2502" t="s">
        <v>785</v>
      </c>
      <c r="AJ2502" t="s">
        <v>786</v>
      </c>
      <c r="AK2502" t="s">
        <v>787</v>
      </c>
      <c r="AL2502" t="s">
        <v>788</v>
      </c>
      <c r="AM2502" t="s">
        <v>789</v>
      </c>
      <c r="AN2502" t="s">
        <v>790</v>
      </c>
      <c r="AO2502" t="s">
        <v>791</v>
      </c>
      <c r="AP2502" t="s">
        <v>792</v>
      </c>
      <c r="AQ2502" t="s">
        <v>793</v>
      </c>
      <c r="AR2502" t="s">
        <v>794</v>
      </c>
      <c r="AS2502" t="s">
        <v>795</v>
      </c>
      <c r="AT2502" t="s">
        <v>796</v>
      </c>
      <c r="AU2502" t="s">
        <v>188</v>
      </c>
    </row>
    <row r="2503" spans="1:47">
      <c r="A2503" s="25" t="s">
        <v>189</v>
      </c>
      <c r="B2503" t="s">
        <v>207</v>
      </c>
      <c r="C2503">
        <v>6986.4289264920908</v>
      </c>
      <c r="D2503">
        <v>6000</v>
      </c>
      <c r="E2503">
        <v>100</v>
      </c>
      <c r="F2503">
        <v>40000</v>
      </c>
      <c r="G2503">
        <v>7006.1272448913751</v>
      </c>
      <c r="H2503">
        <v>6000</v>
      </c>
      <c r="I2503">
        <v>150</v>
      </c>
      <c r="J2503">
        <v>40000</v>
      </c>
      <c r="K2503">
        <v>482.48644892044717</v>
      </c>
      <c r="L2503">
        <v>300</v>
      </c>
      <c r="M2503">
        <v>50</v>
      </c>
      <c r="N2503">
        <v>8000</v>
      </c>
      <c r="O2503">
        <v>547.49138242546883</v>
      </c>
      <c r="P2503">
        <v>300</v>
      </c>
      <c r="Q2503">
        <v>50</v>
      </c>
      <c r="R2503">
        <v>10000</v>
      </c>
      <c r="S2503">
        <v>864.82415933760456</v>
      </c>
      <c r="T2503">
        <v>600</v>
      </c>
      <c r="U2503">
        <v>100</v>
      </c>
      <c r="V2503">
        <v>25000</v>
      </c>
      <c r="W2503">
        <v>695.10699565906657</v>
      </c>
      <c r="X2503">
        <v>360</v>
      </c>
      <c r="Y2503">
        <v>100</v>
      </c>
      <c r="Z2503">
        <v>40000</v>
      </c>
      <c r="AA2503">
        <v>1674.1406388607029</v>
      </c>
      <c r="AB2503">
        <v>1500</v>
      </c>
      <c r="AC2503">
        <v>100</v>
      </c>
      <c r="AD2503">
        <v>25000</v>
      </c>
      <c r="AE2503">
        <v>1111.7551942798129</v>
      </c>
      <c r="AF2503">
        <v>800</v>
      </c>
      <c r="AG2503">
        <v>100</v>
      </c>
      <c r="AH2503">
        <v>24000</v>
      </c>
      <c r="AI2503">
        <v>2270.2003280389281</v>
      </c>
      <c r="AJ2503">
        <v>1500</v>
      </c>
      <c r="AK2503">
        <v>50</v>
      </c>
      <c r="AL2503">
        <v>100000</v>
      </c>
      <c r="AM2503">
        <v>630.35211057101549</v>
      </c>
      <c r="AN2503">
        <v>600</v>
      </c>
      <c r="AO2503">
        <v>90</v>
      </c>
      <c r="AP2503">
        <v>10000</v>
      </c>
      <c r="AQ2503">
        <v>2754.5179752145509</v>
      </c>
      <c r="AR2503">
        <v>1800</v>
      </c>
      <c r="AS2503">
        <v>100</v>
      </c>
      <c r="AT2503">
        <v>87500</v>
      </c>
      <c r="AU2503">
        <v>9295</v>
      </c>
    </row>
    <row r="2504" spans="1:47">
      <c r="A2504" s="25" t="s">
        <v>189</v>
      </c>
      <c r="B2504" t="s">
        <v>208</v>
      </c>
      <c r="C2504">
        <v>3150.7011362028502</v>
      </c>
      <c r="D2504">
        <v>2500</v>
      </c>
      <c r="E2504">
        <v>100</v>
      </c>
      <c r="F2504">
        <v>25000</v>
      </c>
      <c r="G2504">
        <v>4275.8549331410804</v>
      </c>
      <c r="H2504">
        <v>3500</v>
      </c>
      <c r="I2504">
        <v>100</v>
      </c>
      <c r="J2504">
        <v>28000</v>
      </c>
      <c r="K2504">
        <v>356.66796843774353</v>
      </c>
      <c r="L2504">
        <v>200</v>
      </c>
      <c r="M2504">
        <v>50</v>
      </c>
      <c r="N2504">
        <v>6000</v>
      </c>
      <c r="O2504">
        <v>306.80073331122497</v>
      </c>
      <c r="P2504">
        <v>200</v>
      </c>
      <c r="Q2504">
        <v>50</v>
      </c>
      <c r="R2504">
        <v>5000</v>
      </c>
      <c r="S2504">
        <v>480.77526426486571</v>
      </c>
      <c r="T2504">
        <v>300</v>
      </c>
      <c r="U2504">
        <v>100</v>
      </c>
      <c r="V2504">
        <v>5000</v>
      </c>
      <c r="W2504">
        <v>529.49569624025298</v>
      </c>
      <c r="X2504">
        <v>200</v>
      </c>
      <c r="Y2504">
        <v>100</v>
      </c>
      <c r="Z2504">
        <v>22000</v>
      </c>
      <c r="AA2504">
        <v>1058.770543023184</v>
      </c>
      <c r="AB2504">
        <v>950</v>
      </c>
      <c r="AC2504">
        <v>100</v>
      </c>
      <c r="AD2504">
        <v>13248</v>
      </c>
      <c r="AE2504">
        <v>915.59734888054606</v>
      </c>
      <c r="AF2504">
        <v>600</v>
      </c>
      <c r="AG2504">
        <v>83</v>
      </c>
      <c r="AH2504">
        <v>24900</v>
      </c>
      <c r="AI2504">
        <v>1176.462530278101</v>
      </c>
      <c r="AJ2504">
        <v>400</v>
      </c>
      <c r="AK2504">
        <v>50</v>
      </c>
      <c r="AL2504">
        <v>60000</v>
      </c>
      <c r="AM2504">
        <v>272.22767907247243</v>
      </c>
      <c r="AN2504">
        <v>200</v>
      </c>
      <c r="AO2504">
        <v>50</v>
      </c>
      <c r="AP2504">
        <v>6000</v>
      </c>
      <c r="AQ2504">
        <v>2341.3348111595142</v>
      </c>
      <c r="AR2504">
        <v>1200</v>
      </c>
      <c r="AS2504">
        <v>100</v>
      </c>
      <c r="AT2504">
        <v>110000</v>
      </c>
      <c r="AU2504">
        <v>9295</v>
      </c>
    </row>
    <row r="2505" spans="1:47">
      <c r="A2505" s="25" t="s">
        <v>189</v>
      </c>
      <c r="B2505" t="s">
        <v>209</v>
      </c>
      <c r="C2505">
        <v>10466.82534087535</v>
      </c>
      <c r="D2505">
        <v>10000</v>
      </c>
      <c r="E2505">
        <v>500</v>
      </c>
      <c r="F2505">
        <v>45000</v>
      </c>
      <c r="G2505">
        <v>6503.8058060212134</v>
      </c>
      <c r="H2505">
        <v>5000</v>
      </c>
      <c r="I2505">
        <v>500</v>
      </c>
      <c r="J2505">
        <v>20000</v>
      </c>
      <c r="K2505">
        <v>750.90809566725295</v>
      </c>
      <c r="L2505">
        <v>500</v>
      </c>
      <c r="M2505">
        <v>60</v>
      </c>
      <c r="N2505">
        <v>7000</v>
      </c>
      <c r="O2505">
        <v>655.54489651354891</v>
      </c>
      <c r="P2505">
        <v>400</v>
      </c>
      <c r="Q2505">
        <v>50</v>
      </c>
      <c r="R2505">
        <v>5000</v>
      </c>
      <c r="S2505">
        <v>1410.712411607886</v>
      </c>
      <c r="T2505">
        <v>1000</v>
      </c>
      <c r="U2505">
        <v>150</v>
      </c>
      <c r="V2505">
        <v>10000</v>
      </c>
      <c r="W2505">
        <v>837.3213738304114</v>
      </c>
      <c r="X2505">
        <v>450</v>
      </c>
      <c r="Y2505">
        <v>100</v>
      </c>
      <c r="Z2505">
        <v>20000</v>
      </c>
      <c r="AA2505">
        <v>2246.7773770428562</v>
      </c>
      <c r="AB2505">
        <v>2000</v>
      </c>
      <c r="AC2505">
        <v>300</v>
      </c>
      <c r="AD2505">
        <v>15000</v>
      </c>
      <c r="AE2505">
        <v>1551.023970026484</v>
      </c>
      <c r="AF2505">
        <v>1000</v>
      </c>
      <c r="AG2505">
        <v>200</v>
      </c>
      <c r="AH2505">
        <v>40000</v>
      </c>
      <c r="AI2505">
        <v>2875.0705982631912</v>
      </c>
      <c r="AJ2505">
        <v>2000</v>
      </c>
      <c r="AK2505">
        <v>100</v>
      </c>
      <c r="AL2505">
        <v>37500</v>
      </c>
      <c r="AM2505">
        <v>1013.149746885814</v>
      </c>
      <c r="AN2505">
        <v>1000</v>
      </c>
      <c r="AO2505">
        <v>250</v>
      </c>
      <c r="AP2505">
        <v>5000</v>
      </c>
      <c r="AQ2505">
        <v>3123.5848295454348</v>
      </c>
      <c r="AR2505">
        <v>1800</v>
      </c>
      <c r="AS2505">
        <v>200</v>
      </c>
      <c r="AT2505">
        <v>80000</v>
      </c>
      <c r="AU2505">
        <v>9295</v>
      </c>
    </row>
    <row r="2506" spans="1:47">
      <c r="A2506" s="25" t="s">
        <v>192</v>
      </c>
      <c r="B2506" t="s">
        <v>192</v>
      </c>
      <c r="C2506">
        <v>6396.4678988151827</v>
      </c>
      <c r="D2506">
        <v>5000</v>
      </c>
      <c r="E2506">
        <v>100</v>
      </c>
      <c r="F2506">
        <v>45000</v>
      </c>
      <c r="G2506">
        <v>6329.7367348441967</v>
      </c>
      <c r="H2506">
        <v>6000</v>
      </c>
      <c r="I2506">
        <v>100</v>
      </c>
      <c r="J2506">
        <v>40000</v>
      </c>
      <c r="K2506">
        <v>479.16083769569008</v>
      </c>
      <c r="L2506">
        <v>300</v>
      </c>
      <c r="M2506">
        <v>50</v>
      </c>
      <c r="N2506">
        <v>8000</v>
      </c>
      <c r="O2506">
        <v>540.67294026103639</v>
      </c>
      <c r="P2506">
        <v>300</v>
      </c>
      <c r="Q2506">
        <v>50</v>
      </c>
      <c r="R2506">
        <v>10000</v>
      </c>
      <c r="S2506">
        <v>832.40970654938053</v>
      </c>
      <c r="T2506">
        <v>600</v>
      </c>
      <c r="U2506">
        <v>100</v>
      </c>
      <c r="V2506">
        <v>25000</v>
      </c>
      <c r="W2506">
        <v>687.10577804832178</v>
      </c>
      <c r="X2506">
        <v>320</v>
      </c>
      <c r="Y2506">
        <v>100</v>
      </c>
      <c r="Z2506">
        <v>40000</v>
      </c>
      <c r="AA2506">
        <v>1590.303250186088</v>
      </c>
      <c r="AB2506">
        <v>1300</v>
      </c>
      <c r="AC2506">
        <v>100</v>
      </c>
      <c r="AD2506">
        <v>25000</v>
      </c>
      <c r="AE2506">
        <v>1142.062548900893</v>
      </c>
      <c r="AF2506">
        <v>800</v>
      </c>
      <c r="AG2506">
        <v>83</v>
      </c>
      <c r="AH2506">
        <v>40000</v>
      </c>
      <c r="AI2506">
        <v>2156.723093970631</v>
      </c>
      <c r="AJ2506">
        <v>1000</v>
      </c>
      <c r="AK2506">
        <v>50</v>
      </c>
      <c r="AL2506">
        <v>100000</v>
      </c>
      <c r="AM2506">
        <v>586.05020470136856</v>
      </c>
      <c r="AN2506">
        <v>500</v>
      </c>
      <c r="AO2506">
        <v>50</v>
      </c>
      <c r="AP2506">
        <v>10000</v>
      </c>
      <c r="AQ2506">
        <v>2706.4477544972929</v>
      </c>
      <c r="AR2506">
        <v>1680</v>
      </c>
      <c r="AS2506">
        <v>100</v>
      </c>
      <c r="AT2506">
        <v>110000</v>
      </c>
      <c r="AU2506">
        <v>9295</v>
      </c>
    </row>
    <row r="2508" spans="1:47" ht="43.5">
      <c r="A2508" s="25" t="s">
        <v>801</v>
      </c>
    </row>
    <row r="2509" spans="1:47">
      <c r="A2509" s="25" t="s">
        <v>181</v>
      </c>
      <c r="B2509" t="s">
        <v>182</v>
      </c>
      <c r="C2509" t="s">
        <v>753</v>
      </c>
      <c r="D2509" t="s">
        <v>754</v>
      </c>
      <c r="E2509" t="s">
        <v>755</v>
      </c>
      <c r="F2509" t="s">
        <v>756</v>
      </c>
      <c r="G2509" t="s">
        <v>757</v>
      </c>
      <c r="H2509" t="s">
        <v>758</v>
      </c>
      <c r="I2509" t="s">
        <v>759</v>
      </c>
      <c r="J2509" t="s">
        <v>760</v>
      </c>
      <c r="K2509" t="s">
        <v>761</v>
      </c>
      <c r="L2509" t="s">
        <v>762</v>
      </c>
      <c r="M2509" t="s">
        <v>763</v>
      </c>
      <c r="N2509" t="s">
        <v>764</v>
      </c>
      <c r="O2509" t="s">
        <v>765</v>
      </c>
      <c r="P2509" t="s">
        <v>766</v>
      </c>
      <c r="Q2509" t="s">
        <v>767</v>
      </c>
      <c r="R2509" t="s">
        <v>768</v>
      </c>
      <c r="S2509" t="s">
        <v>769</v>
      </c>
      <c r="T2509" t="s">
        <v>770</v>
      </c>
      <c r="U2509" t="s">
        <v>771</v>
      </c>
      <c r="V2509" t="s">
        <v>772</v>
      </c>
      <c r="W2509" t="s">
        <v>773</v>
      </c>
      <c r="X2509" t="s">
        <v>774</v>
      </c>
      <c r="Y2509" t="s">
        <v>775</v>
      </c>
      <c r="Z2509" t="s">
        <v>776</v>
      </c>
      <c r="AA2509" t="s">
        <v>777</v>
      </c>
      <c r="AB2509" t="s">
        <v>778</v>
      </c>
      <c r="AC2509" t="s">
        <v>779</v>
      </c>
      <c r="AD2509" t="s">
        <v>780</v>
      </c>
      <c r="AE2509" t="s">
        <v>781</v>
      </c>
      <c r="AF2509" t="s">
        <v>782</v>
      </c>
      <c r="AG2509" t="s">
        <v>783</v>
      </c>
      <c r="AH2509" t="s">
        <v>784</v>
      </c>
      <c r="AI2509" t="s">
        <v>785</v>
      </c>
      <c r="AJ2509" t="s">
        <v>786</v>
      </c>
      <c r="AK2509" t="s">
        <v>787</v>
      </c>
      <c r="AL2509" t="s">
        <v>788</v>
      </c>
      <c r="AM2509" t="s">
        <v>789</v>
      </c>
      <c r="AN2509" t="s">
        <v>790</v>
      </c>
      <c r="AO2509" t="s">
        <v>791</v>
      </c>
      <c r="AP2509" t="s">
        <v>792</v>
      </c>
      <c r="AQ2509" t="s">
        <v>793</v>
      </c>
      <c r="AR2509" t="s">
        <v>794</v>
      </c>
      <c r="AS2509" t="s">
        <v>795</v>
      </c>
      <c r="AT2509" t="s">
        <v>796</v>
      </c>
      <c r="AU2509" t="s">
        <v>188</v>
      </c>
    </row>
    <row r="2510" spans="1:47">
      <c r="A2510" s="25" t="s">
        <v>189</v>
      </c>
      <c r="B2510" t="s">
        <v>211</v>
      </c>
      <c r="C2510">
        <v>7520.9171857118699</v>
      </c>
      <c r="D2510">
        <v>6000</v>
      </c>
      <c r="E2510">
        <v>300</v>
      </c>
      <c r="F2510">
        <v>45000</v>
      </c>
      <c r="G2510">
        <v>7111.2177862455183</v>
      </c>
      <c r="H2510">
        <v>6000</v>
      </c>
      <c r="I2510">
        <v>150</v>
      </c>
      <c r="J2510">
        <v>40000</v>
      </c>
      <c r="K2510">
        <v>511.68254633458469</v>
      </c>
      <c r="L2510">
        <v>350</v>
      </c>
      <c r="M2510">
        <v>50</v>
      </c>
      <c r="N2510">
        <v>8000</v>
      </c>
      <c r="O2510">
        <v>572.93251619914247</v>
      </c>
      <c r="P2510">
        <v>300</v>
      </c>
      <c r="Q2510">
        <v>50</v>
      </c>
      <c r="R2510">
        <v>10000</v>
      </c>
      <c r="S2510">
        <v>930.36012931333653</v>
      </c>
      <c r="T2510">
        <v>700</v>
      </c>
      <c r="U2510">
        <v>100</v>
      </c>
      <c r="V2510">
        <v>25000</v>
      </c>
      <c r="W2510">
        <v>763.45178904172383</v>
      </c>
      <c r="X2510">
        <v>400</v>
      </c>
      <c r="Y2510">
        <v>100</v>
      </c>
      <c r="Z2510">
        <v>25000</v>
      </c>
      <c r="AA2510">
        <v>1750.8870225815131</v>
      </c>
      <c r="AB2510">
        <v>1500</v>
      </c>
      <c r="AC2510">
        <v>100</v>
      </c>
      <c r="AD2510">
        <v>25000</v>
      </c>
      <c r="AE2510">
        <v>1205.620357083073</v>
      </c>
      <c r="AF2510">
        <v>900</v>
      </c>
      <c r="AG2510">
        <v>100</v>
      </c>
      <c r="AH2510">
        <v>18000</v>
      </c>
      <c r="AI2510">
        <v>2533.3836970435309</v>
      </c>
      <c r="AJ2510">
        <v>2000</v>
      </c>
      <c r="AK2510">
        <v>50</v>
      </c>
      <c r="AL2510">
        <v>100000</v>
      </c>
      <c r="AM2510">
        <v>688.499607209332</v>
      </c>
      <c r="AN2510">
        <v>630</v>
      </c>
      <c r="AO2510">
        <v>90</v>
      </c>
      <c r="AP2510">
        <v>7000</v>
      </c>
      <c r="AQ2510">
        <v>2869.5722876051391</v>
      </c>
      <c r="AR2510">
        <v>2000</v>
      </c>
      <c r="AS2510">
        <v>100</v>
      </c>
      <c r="AT2510">
        <v>87500</v>
      </c>
      <c r="AU2510">
        <v>9295</v>
      </c>
    </row>
    <row r="2511" spans="1:47">
      <c r="A2511" s="25" t="s">
        <v>189</v>
      </c>
      <c r="B2511" t="s">
        <v>212</v>
      </c>
      <c r="C2511">
        <v>4616.9205371143162</v>
      </c>
      <c r="D2511">
        <v>3500</v>
      </c>
      <c r="E2511">
        <v>100</v>
      </c>
      <c r="F2511">
        <v>40000</v>
      </c>
      <c r="G2511">
        <v>5122.1129911705266</v>
      </c>
      <c r="H2511">
        <v>5000</v>
      </c>
      <c r="I2511">
        <v>100</v>
      </c>
      <c r="J2511">
        <v>28000</v>
      </c>
      <c r="K2511">
        <v>402.67823349008557</v>
      </c>
      <c r="L2511">
        <v>250</v>
      </c>
      <c r="M2511">
        <v>50</v>
      </c>
      <c r="N2511">
        <v>7000</v>
      </c>
      <c r="O2511">
        <v>438.02419155315022</v>
      </c>
      <c r="P2511">
        <v>300</v>
      </c>
      <c r="Q2511">
        <v>50</v>
      </c>
      <c r="R2511">
        <v>5000</v>
      </c>
      <c r="S2511">
        <v>694.51476008928626</v>
      </c>
      <c r="T2511">
        <v>500</v>
      </c>
      <c r="U2511">
        <v>100</v>
      </c>
      <c r="V2511">
        <v>10000</v>
      </c>
      <c r="W2511">
        <v>546.76650809674777</v>
      </c>
      <c r="X2511">
        <v>300</v>
      </c>
      <c r="Y2511">
        <v>100</v>
      </c>
      <c r="Z2511">
        <v>40000</v>
      </c>
      <c r="AA2511">
        <v>1380.8352366080301</v>
      </c>
      <c r="AB2511">
        <v>1100</v>
      </c>
      <c r="AC2511">
        <v>100</v>
      </c>
      <c r="AD2511">
        <v>15000</v>
      </c>
      <c r="AE2511">
        <v>888.75158491193679</v>
      </c>
      <c r="AF2511">
        <v>500</v>
      </c>
      <c r="AG2511">
        <v>83</v>
      </c>
      <c r="AH2511">
        <v>20000</v>
      </c>
      <c r="AI2511">
        <v>1158.1046621727601</v>
      </c>
      <c r="AJ2511">
        <v>500</v>
      </c>
      <c r="AK2511">
        <v>50</v>
      </c>
      <c r="AL2511">
        <v>60000</v>
      </c>
      <c r="AM2511">
        <v>445.45325964616001</v>
      </c>
      <c r="AN2511">
        <v>350</v>
      </c>
      <c r="AO2511">
        <v>50</v>
      </c>
      <c r="AP2511">
        <v>10000</v>
      </c>
      <c r="AQ2511">
        <v>2048.3527688025229</v>
      </c>
      <c r="AR2511">
        <v>1000</v>
      </c>
      <c r="AS2511">
        <v>100</v>
      </c>
      <c r="AT2511">
        <v>110000</v>
      </c>
      <c r="AU2511">
        <v>9295</v>
      </c>
    </row>
    <row r="2512" spans="1:47">
      <c r="A2512" s="25" t="s">
        <v>189</v>
      </c>
      <c r="B2512" t="s">
        <v>213</v>
      </c>
      <c r="C2512">
        <v>6485.2609150536409</v>
      </c>
      <c r="D2512">
        <v>5000</v>
      </c>
      <c r="E2512">
        <v>200</v>
      </c>
      <c r="F2512">
        <v>40000</v>
      </c>
      <c r="G2512">
        <v>6492.0621810957746</v>
      </c>
      <c r="H2512">
        <v>6000</v>
      </c>
      <c r="I2512">
        <v>100</v>
      </c>
      <c r="J2512">
        <v>19000</v>
      </c>
      <c r="K2512">
        <v>500.66222784567822</v>
      </c>
      <c r="L2512">
        <v>300</v>
      </c>
      <c r="M2512">
        <v>50</v>
      </c>
      <c r="N2512">
        <v>6000</v>
      </c>
      <c r="O2512">
        <v>620.00877431657239</v>
      </c>
      <c r="P2512">
        <v>400</v>
      </c>
      <c r="Q2512">
        <v>50</v>
      </c>
      <c r="R2512">
        <v>5000</v>
      </c>
      <c r="S2512">
        <v>811.43842525588991</v>
      </c>
      <c r="T2512">
        <v>500</v>
      </c>
      <c r="U2512">
        <v>100</v>
      </c>
      <c r="V2512">
        <v>5000</v>
      </c>
      <c r="W2512">
        <v>655.68807319525331</v>
      </c>
      <c r="X2512">
        <v>350</v>
      </c>
      <c r="Y2512">
        <v>100</v>
      </c>
      <c r="Z2512">
        <v>20000</v>
      </c>
      <c r="AA2512">
        <v>1526.2408128933209</v>
      </c>
      <c r="AB2512">
        <v>1300</v>
      </c>
      <c r="AC2512">
        <v>100</v>
      </c>
      <c r="AD2512">
        <v>10000</v>
      </c>
      <c r="AE2512">
        <v>1261.554159450337</v>
      </c>
      <c r="AF2512">
        <v>600</v>
      </c>
      <c r="AG2512">
        <v>100</v>
      </c>
      <c r="AH2512">
        <v>40000</v>
      </c>
      <c r="AI2512">
        <v>2379.54290404518</v>
      </c>
      <c r="AJ2512">
        <v>1500</v>
      </c>
      <c r="AK2512">
        <v>50</v>
      </c>
      <c r="AL2512">
        <v>32000</v>
      </c>
      <c r="AM2512">
        <v>555.98660946169014</v>
      </c>
      <c r="AN2512">
        <v>500</v>
      </c>
      <c r="AO2512">
        <v>50</v>
      </c>
      <c r="AP2512">
        <v>10000</v>
      </c>
      <c r="AQ2512">
        <v>2930.1019974511119</v>
      </c>
      <c r="AR2512">
        <v>2000</v>
      </c>
      <c r="AS2512">
        <v>100</v>
      </c>
      <c r="AT2512">
        <v>50000</v>
      </c>
      <c r="AU2512">
        <v>9295</v>
      </c>
    </row>
    <row r="2513" spans="1:47">
      <c r="A2513" s="25" t="s">
        <v>192</v>
      </c>
      <c r="B2513" t="s">
        <v>192</v>
      </c>
      <c r="C2513">
        <v>6396.4678988151827</v>
      </c>
      <c r="D2513">
        <v>5000</v>
      </c>
      <c r="E2513">
        <v>100</v>
      </c>
      <c r="F2513">
        <v>45000</v>
      </c>
      <c r="G2513">
        <v>6329.7367348441967</v>
      </c>
      <c r="H2513">
        <v>6000</v>
      </c>
      <c r="I2513">
        <v>100</v>
      </c>
      <c r="J2513">
        <v>40000</v>
      </c>
      <c r="K2513">
        <v>479.16083769569008</v>
      </c>
      <c r="L2513">
        <v>300</v>
      </c>
      <c r="M2513">
        <v>50</v>
      </c>
      <c r="N2513">
        <v>8000</v>
      </c>
      <c r="O2513">
        <v>540.67294026103639</v>
      </c>
      <c r="P2513">
        <v>300</v>
      </c>
      <c r="Q2513">
        <v>50</v>
      </c>
      <c r="R2513">
        <v>10000</v>
      </c>
      <c r="S2513">
        <v>832.40970654938053</v>
      </c>
      <c r="T2513">
        <v>600</v>
      </c>
      <c r="U2513">
        <v>100</v>
      </c>
      <c r="V2513">
        <v>25000</v>
      </c>
      <c r="W2513">
        <v>687.10577804832178</v>
      </c>
      <c r="X2513">
        <v>320</v>
      </c>
      <c r="Y2513">
        <v>100</v>
      </c>
      <c r="Z2513">
        <v>40000</v>
      </c>
      <c r="AA2513">
        <v>1590.303250186088</v>
      </c>
      <c r="AB2513">
        <v>1300</v>
      </c>
      <c r="AC2513">
        <v>100</v>
      </c>
      <c r="AD2513">
        <v>25000</v>
      </c>
      <c r="AE2513">
        <v>1142.062548900893</v>
      </c>
      <c r="AF2513">
        <v>800</v>
      </c>
      <c r="AG2513">
        <v>83</v>
      </c>
      <c r="AH2513">
        <v>40000</v>
      </c>
      <c r="AI2513">
        <v>2156.723093970631</v>
      </c>
      <c r="AJ2513">
        <v>1000</v>
      </c>
      <c r="AK2513">
        <v>50</v>
      </c>
      <c r="AL2513">
        <v>100000</v>
      </c>
      <c r="AM2513">
        <v>586.05020470136856</v>
      </c>
      <c r="AN2513">
        <v>500</v>
      </c>
      <c r="AO2513">
        <v>50</v>
      </c>
      <c r="AP2513">
        <v>10000</v>
      </c>
      <c r="AQ2513">
        <v>2706.4477544972929</v>
      </c>
      <c r="AR2513">
        <v>1680</v>
      </c>
      <c r="AS2513">
        <v>100</v>
      </c>
      <c r="AT2513">
        <v>110000</v>
      </c>
      <c r="AU2513">
        <v>9295</v>
      </c>
    </row>
    <row r="2515" spans="1:47" ht="43.5">
      <c r="A2515" s="25" t="s">
        <v>802</v>
      </c>
    </row>
    <row r="2516" spans="1:47">
      <c r="A2516" s="25" t="s">
        <v>181</v>
      </c>
      <c r="B2516" t="s">
        <v>182</v>
      </c>
      <c r="C2516" t="s">
        <v>183</v>
      </c>
      <c r="D2516" t="s">
        <v>184</v>
      </c>
      <c r="E2516" t="s">
        <v>185</v>
      </c>
      <c r="F2516" t="s">
        <v>186</v>
      </c>
      <c r="G2516" t="s">
        <v>187</v>
      </c>
      <c r="H2516" t="s">
        <v>188</v>
      </c>
    </row>
    <row r="2517" spans="1:47">
      <c r="A2517" s="25" t="s">
        <v>189</v>
      </c>
      <c r="B2517" t="s">
        <v>190</v>
      </c>
      <c r="C2517">
        <v>3126.631544469908</v>
      </c>
      <c r="D2517">
        <v>2500</v>
      </c>
      <c r="E2517">
        <v>0</v>
      </c>
      <c r="F2517">
        <v>65000</v>
      </c>
      <c r="G2517">
        <v>4451</v>
      </c>
      <c r="H2517">
        <v>9469</v>
      </c>
    </row>
    <row r="2518" spans="1:47">
      <c r="A2518" s="25" t="s">
        <v>189</v>
      </c>
      <c r="B2518" t="s">
        <v>191</v>
      </c>
      <c r="C2518">
        <v>2367.6721200695351</v>
      </c>
      <c r="D2518">
        <v>2000</v>
      </c>
      <c r="E2518">
        <v>0</v>
      </c>
      <c r="F2518">
        <v>60000</v>
      </c>
      <c r="G2518">
        <v>4974</v>
      </c>
      <c r="H2518">
        <v>9469</v>
      </c>
    </row>
    <row r="2519" spans="1:47">
      <c r="A2519" s="25" t="s">
        <v>192</v>
      </c>
      <c r="B2519" t="s">
        <v>192</v>
      </c>
      <c r="C2519">
        <v>2658.7870116666859</v>
      </c>
      <c r="D2519">
        <v>2000</v>
      </c>
      <c r="E2519">
        <v>0</v>
      </c>
      <c r="F2519">
        <v>65000</v>
      </c>
      <c r="G2519">
        <v>9469</v>
      </c>
      <c r="H2519">
        <v>9469</v>
      </c>
    </row>
    <row r="2521" spans="1:47" ht="57.95">
      <c r="A2521" s="25" t="s">
        <v>803</v>
      </c>
    </row>
    <row r="2522" spans="1:47">
      <c r="A2522" s="25" t="s">
        <v>181</v>
      </c>
      <c r="B2522" t="s">
        <v>182</v>
      </c>
      <c r="C2522" t="s">
        <v>183</v>
      </c>
      <c r="D2522" t="s">
        <v>184</v>
      </c>
      <c r="E2522" t="s">
        <v>185</v>
      </c>
      <c r="F2522" t="s">
        <v>186</v>
      </c>
      <c r="G2522" t="s">
        <v>187</v>
      </c>
      <c r="H2522" t="s">
        <v>188</v>
      </c>
    </row>
    <row r="2523" spans="1:47">
      <c r="A2523" s="25" t="s">
        <v>189</v>
      </c>
      <c r="B2523" t="s">
        <v>194</v>
      </c>
      <c r="C2523">
        <v>2688.7619399175042</v>
      </c>
      <c r="D2523">
        <v>2000</v>
      </c>
      <c r="E2523">
        <v>0</v>
      </c>
      <c r="F2523">
        <v>65000</v>
      </c>
      <c r="G2523">
        <v>5428</v>
      </c>
      <c r="H2523">
        <v>9469</v>
      </c>
    </row>
    <row r="2524" spans="1:47">
      <c r="A2524" s="25" t="s">
        <v>189</v>
      </c>
      <c r="B2524" t="s">
        <v>195</v>
      </c>
      <c r="C2524">
        <v>2293.8085306741168</v>
      </c>
      <c r="D2524">
        <v>2000</v>
      </c>
      <c r="E2524">
        <v>0</v>
      </c>
      <c r="F2524">
        <v>50000</v>
      </c>
      <c r="G2524">
        <v>2464</v>
      </c>
      <c r="H2524">
        <v>9469</v>
      </c>
    </row>
    <row r="2525" spans="1:47">
      <c r="A2525" s="25" t="s">
        <v>189</v>
      </c>
      <c r="B2525" t="s">
        <v>196</v>
      </c>
      <c r="C2525">
        <v>3143.7553558149029</v>
      </c>
      <c r="D2525">
        <v>2000</v>
      </c>
      <c r="E2525">
        <v>0</v>
      </c>
      <c r="F2525">
        <v>50000</v>
      </c>
      <c r="G2525">
        <v>1533</v>
      </c>
      <c r="H2525">
        <v>9469</v>
      </c>
    </row>
    <row r="2526" spans="1:47">
      <c r="A2526" s="25" t="s">
        <v>192</v>
      </c>
      <c r="B2526" t="s">
        <v>192</v>
      </c>
      <c r="C2526">
        <v>2658.7870116666859</v>
      </c>
      <c r="D2526">
        <v>2000</v>
      </c>
      <c r="E2526">
        <v>0</v>
      </c>
      <c r="F2526">
        <v>65000</v>
      </c>
      <c r="G2526">
        <v>9469</v>
      </c>
      <c r="H2526">
        <v>9469</v>
      </c>
    </row>
    <row r="2528" spans="1:47" ht="43.5">
      <c r="A2528" s="25" t="s">
        <v>804</v>
      </c>
    </row>
    <row r="2529" spans="1:8">
      <c r="A2529" s="25" t="s">
        <v>181</v>
      </c>
      <c r="B2529" t="s">
        <v>182</v>
      </c>
      <c r="C2529" t="s">
        <v>183</v>
      </c>
      <c r="D2529" t="s">
        <v>184</v>
      </c>
      <c r="E2529" t="s">
        <v>185</v>
      </c>
      <c r="F2529" t="s">
        <v>186</v>
      </c>
      <c r="G2529" t="s">
        <v>187</v>
      </c>
      <c r="H2529" t="s">
        <v>188</v>
      </c>
    </row>
    <row r="2530" spans="1:8">
      <c r="A2530" s="25" t="s">
        <v>189</v>
      </c>
      <c r="B2530" t="s">
        <v>198</v>
      </c>
      <c r="C2530">
        <v>2791.6230378083069</v>
      </c>
      <c r="D2530">
        <v>2200</v>
      </c>
      <c r="E2530">
        <v>0</v>
      </c>
      <c r="F2530">
        <v>42000</v>
      </c>
      <c r="G2530">
        <v>2074</v>
      </c>
      <c r="H2530">
        <v>9469</v>
      </c>
    </row>
    <row r="2531" spans="1:8">
      <c r="A2531" s="25" t="s">
        <v>189</v>
      </c>
      <c r="B2531" t="s">
        <v>199</v>
      </c>
      <c r="C2531">
        <v>2628.4498113206532</v>
      </c>
      <c r="D2531">
        <v>2000</v>
      </c>
      <c r="E2531">
        <v>0</v>
      </c>
      <c r="F2531">
        <v>65000</v>
      </c>
      <c r="G2531">
        <v>7395</v>
      </c>
      <c r="H2531">
        <v>9469</v>
      </c>
    </row>
    <row r="2532" spans="1:8">
      <c r="A2532" s="25" t="s">
        <v>192</v>
      </c>
      <c r="B2532" t="s">
        <v>192</v>
      </c>
      <c r="C2532">
        <v>2658.7870116666859</v>
      </c>
      <c r="D2532">
        <v>2000</v>
      </c>
      <c r="E2532">
        <v>0</v>
      </c>
      <c r="F2532">
        <v>65000</v>
      </c>
      <c r="G2532">
        <v>9469</v>
      </c>
      <c r="H2532">
        <v>9469</v>
      </c>
    </row>
    <row r="2534" spans="1:8" ht="43.5">
      <c r="A2534" s="25" t="s">
        <v>805</v>
      </c>
    </row>
    <row r="2535" spans="1:8">
      <c r="A2535" s="25" t="s">
        <v>181</v>
      </c>
      <c r="B2535" t="s">
        <v>182</v>
      </c>
      <c r="C2535" t="s">
        <v>183</v>
      </c>
      <c r="D2535" t="s">
        <v>184</v>
      </c>
      <c r="E2535" t="s">
        <v>185</v>
      </c>
      <c r="F2535" t="s">
        <v>186</v>
      </c>
      <c r="G2535" t="s">
        <v>187</v>
      </c>
      <c r="H2535" t="s">
        <v>188</v>
      </c>
    </row>
    <row r="2536" spans="1:8">
      <c r="A2536" s="25" t="s">
        <v>189</v>
      </c>
      <c r="B2536" t="s">
        <v>201</v>
      </c>
      <c r="C2536">
        <v>2207.8394612350421</v>
      </c>
      <c r="D2536">
        <v>1750</v>
      </c>
      <c r="E2536">
        <v>0</v>
      </c>
      <c r="F2536">
        <v>42000</v>
      </c>
      <c r="G2536">
        <v>678</v>
      </c>
      <c r="H2536">
        <v>9469</v>
      </c>
    </row>
    <row r="2537" spans="1:8">
      <c r="A2537" s="25" t="s">
        <v>189</v>
      </c>
      <c r="B2537" t="s">
        <v>202</v>
      </c>
      <c r="C2537">
        <v>2723.7079917925698</v>
      </c>
      <c r="D2537">
        <v>2500</v>
      </c>
      <c r="E2537">
        <v>0</v>
      </c>
      <c r="F2537">
        <v>15000</v>
      </c>
      <c r="G2537">
        <v>97</v>
      </c>
      <c r="H2537">
        <v>9469</v>
      </c>
    </row>
    <row r="2538" spans="1:8">
      <c r="A2538" s="25" t="s">
        <v>189</v>
      </c>
      <c r="B2538" t="s">
        <v>203</v>
      </c>
      <c r="C2538">
        <v>2704.4351696186568</v>
      </c>
      <c r="D2538">
        <v>2000</v>
      </c>
      <c r="E2538">
        <v>0</v>
      </c>
      <c r="F2538">
        <v>65000</v>
      </c>
      <c r="G2538">
        <v>7315</v>
      </c>
      <c r="H2538">
        <v>9469</v>
      </c>
    </row>
    <row r="2539" spans="1:8">
      <c r="A2539" s="25" t="s">
        <v>189</v>
      </c>
      <c r="B2539" t="s">
        <v>204</v>
      </c>
      <c r="C2539">
        <v>3158.5384466791611</v>
      </c>
      <c r="D2539">
        <v>2600</v>
      </c>
      <c r="E2539">
        <v>300</v>
      </c>
      <c r="F2539">
        <v>18000</v>
      </c>
      <c r="G2539">
        <v>21</v>
      </c>
      <c r="H2539">
        <v>9469</v>
      </c>
    </row>
    <row r="2540" spans="1:8">
      <c r="A2540" s="25" t="s">
        <v>189</v>
      </c>
      <c r="B2540" t="s">
        <v>205</v>
      </c>
      <c r="C2540">
        <v>2609.70979092582</v>
      </c>
      <c r="D2540">
        <v>2000</v>
      </c>
      <c r="E2540">
        <v>0</v>
      </c>
      <c r="F2540">
        <v>40000</v>
      </c>
      <c r="G2540">
        <v>1358</v>
      </c>
      <c r="H2540">
        <v>9469</v>
      </c>
    </row>
    <row r="2541" spans="1:8">
      <c r="A2541" s="25" t="s">
        <v>192</v>
      </c>
      <c r="B2541" t="s">
        <v>192</v>
      </c>
      <c r="C2541">
        <v>2658.7870116666859</v>
      </c>
      <c r="D2541">
        <v>2000</v>
      </c>
      <c r="E2541">
        <v>0</v>
      </c>
      <c r="F2541">
        <v>65000</v>
      </c>
      <c r="G2541">
        <v>9469</v>
      </c>
      <c r="H2541">
        <v>9469</v>
      </c>
    </row>
    <row r="2543" spans="1:8" ht="43.5">
      <c r="A2543" s="25" t="s">
        <v>806</v>
      </c>
    </row>
    <row r="2544" spans="1:8">
      <c r="A2544" s="25" t="s">
        <v>181</v>
      </c>
      <c r="B2544" t="s">
        <v>182</v>
      </c>
      <c r="C2544" t="s">
        <v>183</v>
      </c>
      <c r="D2544" t="s">
        <v>184</v>
      </c>
      <c r="E2544" t="s">
        <v>185</v>
      </c>
      <c r="F2544" t="s">
        <v>186</v>
      </c>
      <c r="G2544" t="s">
        <v>187</v>
      </c>
      <c r="H2544" t="s">
        <v>188</v>
      </c>
    </row>
    <row r="2545" spans="1:13">
      <c r="A2545" s="25" t="s">
        <v>189</v>
      </c>
      <c r="B2545" t="s">
        <v>207</v>
      </c>
      <c r="C2545">
        <v>2698.9168656367251</v>
      </c>
      <c r="D2545">
        <v>2000</v>
      </c>
      <c r="E2545">
        <v>0</v>
      </c>
      <c r="F2545">
        <v>62000</v>
      </c>
      <c r="G2545">
        <v>6623</v>
      </c>
      <c r="H2545">
        <v>9469</v>
      </c>
    </row>
    <row r="2546" spans="1:13">
      <c r="A2546" s="25" t="s">
        <v>189</v>
      </c>
      <c r="B2546" t="s">
        <v>208</v>
      </c>
      <c r="C2546">
        <v>1997.3868682723071</v>
      </c>
      <c r="D2546">
        <v>1600</v>
      </c>
      <c r="E2546">
        <v>0</v>
      </c>
      <c r="F2546">
        <v>50000</v>
      </c>
      <c r="G2546">
        <v>1984</v>
      </c>
      <c r="H2546">
        <v>9469</v>
      </c>
    </row>
    <row r="2547" spans="1:13">
      <c r="A2547" s="25" t="s">
        <v>189</v>
      </c>
      <c r="B2547" t="s">
        <v>209</v>
      </c>
      <c r="C2547">
        <v>4148.4612816357258</v>
      </c>
      <c r="D2547">
        <v>3000</v>
      </c>
      <c r="E2547">
        <v>0</v>
      </c>
      <c r="F2547">
        <v>65000</v>
      </c>
      <c r="G2547">
        <v>862</v>
      </c>
      <c r="H2547">
        <v>9469</v>
      </c>
    </row>
    <row r="2548" spans="1:13">
      <c r="A2548" s="25" t="s">
        <v>192</v>
      </c>
      <c r="B2548" t="s">
        <v>192</v>
      </c>
      <c r="C2548">
        <v>2658.7870116666859</v>
      </c>
      <c r="D2548">
        <v>2000</v>
      </c>
      <c r="E2548">
        <v>0</v>
      </c>
      <c r="F2548">
        <v>65000</v>
      </c>
      <c r="G2548">
        <v>9469</v>
      </c>
      <c r="H2548">
        <v>9469</v>
      </c>
    </row>
    <row r="2550" spans="1:13" ht="43.5">
      <c r="A2550" s="25" t="s">
        <v>807</v>
      </c>
    </row>
    <row r="2551" spans="1:13">
      <c r="A2551" s="25" t="s">
        <v>181</v>
      </c>
      <c r="B2551" t="s">
        <v>182</v>
      </c>
      <c r="C2551" t="s">
        <v>183</v>
      </c>
      <c r="D2551" t="s">
        <v>184</v>
      </c>
      <c r="E2551" t="s">
        <v>185</v>
      </c>
      <c r="F2551" t="s">
        <v>186</v>
      </c>
      <c r="G2551" t="s">
        <v>187</v>
      </c>
      <c r="H2551" t="s">
        <v>188</v>
      </c>
    </row>
    <row r="2552" spans="1:13">
      <c r="A2552" s="25" t="s">
        <v>189</v>
      </c>
      <c r="B2552" t="s">
        <v>211</v>
      </c>
      <c r="C2552">
        <v>2911.508775464888</v>
      </c>
      <c r="D2552">
        <v>2300</v>
      </c>
      <c r="E2552">
        <v>0</v>
      </c>
      <c r="F2552">
        <v>65000</v>
      </c>
      <c r="G2552">
        <v>4577</v>
      </c>
      <c r="H2552">
        <v>9469</v>
      </c>
    </row>
    <row r="2553" spans="1:13">
      <c r="A2553" s="25" t="s">
        <v>189</v>
      </c>
      <c r="B2553" t="s">
        <v>212</v>
      </c>
      <c r="C2553">
        <v>2436.8077979376162</v>
      </c>
      <c r="D2553">
        <v>2000</v>
      </c>
      <c r="E2553">
        <v>0</v>
      </c>
      <c r="F2553">
        <v>58000</v>
      </c>
      <c r="G2553">
        <v>3052</v>
      </c>
      <c r="H2553">
        <v>9469</v>
      </c>
    </row>
    <row r="2554" spans="1:13">
      <c r="A2554" s="25" t="s">
        <v>189</v>
      </c>
      <c r="B2554" t="s">
        <v>213</v>
      </c>
      <c r="C2554">
        <v>2417.0809344278032</v>
      </c>
      <c r="D2554">
        <v>2000</v>
      </c>
      <c r="E2554">
        <v>0</v>
      </c>
      <c r="F2554">
        <v>50000</v>
      </c>
      <c r="G2554">
        <v>1840</v>
      </c>
      <c r="H2554">
        <v>9469</v>
      </c>
    </row>
    <row r="2555" spans="1:13">
      <c r="A2555" s="25" t="s">
        <v>192</v>
      </c>
      <c r="B2555" t="s">
        <v>192</v>
      </c>
      <c r="C2555">
        <v>2658.7870116666859</v>
      </c>
      <c r="D2555">
        <v>2000</v>
      </c>
      <c r="E2555">
        <v>0</v>
      </c>
      <c r="F2555">
        <v>65000</v>
      </c>
      <c r="G2555">
        <v>9469</v>
      </c>
      <c r="H2555">
        <v>9469</v>
      </c>
    </row>
    <row r="2557" spans="1:13" ht="43.5">
      <c r="A2557" s="25" t="s">
        <v>808</v>
      </c>
    </row>
    <row r="2558" spans="1:13">
      <c r="A2558" s="25" t="s">
        <v>182</v>
      </c>
      <c r="B2558" t="s">
        <v>219</v>
      </c>
      <c r="C2558" t="s">
        <v>181</v>
      </c>
      <c r="D2558" t="s">
        <v>188</v>
      </c>
      <c r="E2558" t="s">
        <v>809</v>
      </c>
      <c r="F2558" t="s">
        <v>810</v>
      </c>
      <c r="G2558" t="s">
        <v>579</v>
      </c>
      <c r="H2558" t="s">
        <v>811</v>
      </c>
      <c r="I2558" t="s">
        <v>812</v>
      </c>
      <c r="J2558" t="s">
        <v>813</v>
      </c>
      <c r="K2558" t="s">
        <v>324</v>
      </c>
      <c r="L2558" t="s">
        <v>243</v>
      </c>
      <c r="M2558" t="s">
        <v>814</v>
      </c>
    </row>
    <row r="2559" spans="1:13">
      <c r="A2559" s="25" t="s">
        <v>190</v>
      </c>
      <c r="B2559">
        <v>4876</v>
      </c>
      <c r="C2559" t="s">
        <v>189</v>
      </c>
      <c r="D2559">
        <v>10381</v>
      </c>
      <c r="E2559" s="1">
        <v>7.2700000000000001E-2</v>
      </c>
      <c r="F2559" s="1">
        <v>5.57E-2</v>
      </c>
      <c r="G2559" s="1">
        <v>1.35E-2</v>
      </c>
      <c r="H2559" s="1">
        <v>0.21149999999999999</v>
      </c>
      <c r="I2559" s="1">
        <v>0.83389999999999997</v>
      </c>
      <c r="J2559" s="1">
        <v>0.47920000000000001</v>
      </c>
      <c r="K2559" s="1">
        <v>5.8799999999999998E-2</v>
      </c>
      <c r="L2559" s="1">
        <v>3.0000000000000001E-3</v>
      </c>
      <c r="M2559" s="1">
        <v>0.26090000000000002</v>
      </c>
    </row>
    <row r="2560" spans="1:13">
      <c r="A2560" s="25" t="s">
        <v>191</v>
      </c>
      <c r="B2560">
        <v>5449</v>
      </c>
      <c r="C2560" t="s">
        <v>189</v>
      </c>
      <c r="D2560">
        <v>10381</v>
      </c>
      <c r="E2560" s="1">
        <v>0.125</v>
      </c>
      <c r="F2560" s="1">
        <v>7.6799999999999993E-2</v>
      </c>
      <c r="G2560" s="1">
        <v>6.6E-3</v>
      </c>
      <c r="H2560" s="1">
        <v>0.26590000000000003</v>
      </c>
      <c r="I2560" s="1">
        <v>0.81340000000000001</v>
      </c>
      <c r="J2560" s="1">
        <v>0.56689999999999996</v>
      </c>
      <c r="K2560" s="1">
        <v>4.9099999999999998E-2</v>
      </c>
      <c r="L2560" s="1">
        <v>4.5999999999999999E-3</v>
      </c>
      <c r="M2560" s="1">
        <v>0.2102</v>
      </c>
    </row>
    <row r="2561" spans="1:13">
      <c r="A2561" s="25" t="s">
        <v>192</v>
      </c>
      <c r="B2561">
        <v>10381</v>
      </c>
      <c r="C2561" t="s">
        <v>192</v>
      </c>
      <c r="D2561">
        <v>10381</v>
      </c>
      <c r="E2561" s="1">
        <v>0.10489999999999999</v>
      </c>
      <c r="F2561" s="1">
        <v>6.8699999999999997E-2</v>
      </c>
      <c r="G2561" s="1">
        <v>9.2999999999999992E-3</v>
      </c>
      <c r="H2561" s="1">
        <v>0.24510000000000001</v>
      </c>
      <c r="I2561" s="1">
        <v>0.82099999999999995</v>
      </c>
      <c r="J2561" s="1">
        <v>0.53320000000000001</v>
      </c>
      <c r="K2561" s="1">
        <v>5.2900000000000003E-2</v>
      </c>
      <c r="L2561" s="1">
        <v>4.0000000000000001E-3</v>
      </c>
      <c r="M2561" s="1">
        <v>0.22950000000000001</v>
      </c>
    </row>
    <row r="2563" spans="1:13" ht="57.95">
      <c r="A2563" s="25" t="s">
        <v>815</v>
      </c>
    </row>
    <row r="2564" spans="1:13">
      <c r="A2564" s="25" t="s">
        <v>182</v>
      </c>
      <c r="B2564" t="s">
        <v>219</v>
      </c>
      <c r="C2564" t="s">
        <v>181</v>
      </c>
      <c r="D2564" t="s">
        <v>188</v>
      </c>
      <c r="E2564" t="s">
        <v>809</v>
      </c>
      <c r="F2564" t="s">
        <v>810</v>
      </c>
      <c r="G2564" t="s">
        <v>579</v>
      </c>
      <c r="H2564" t="s">
        <v>811</v>
      </c>
      <c r="I2564" t="s">
        <v>812</v>
      </c>
      <c r="J2564" t="s">
        <v>813</v>
      </c>
      <c r="K2564" t="s">
        <v>324</v>
      </c>
      <c r="L2564" t="s">
        <v>243</v>
      </c>
      <c r="M2564" t="s">
        <v>814</v>
      </c>
    </row>
    <row r="2565" spans="1:13" ht="29.1">
      <c r="A2565" s="25" t="s">
        <v>194</v>
      </c>
      <c r="B2565">
        <v>5934</v>
      </c>
      <c r="C2565" t="s">
        <v>189</v>
      </c>
      <c r="D2565">
        <v>10381</v>
      </c>
      <c r="E2565" s="1">
        <v>0.10539999999999999</v>
      </c>
      <c r="F2565" s="1">
        <v>5.6800000000000003E-2</v>
      </c>
      <c r="G2565" s="1">
        <v>1.01E-2</v>
      </c>
      <c r="H2565" s="1">
        <v>0.24709999999999999</v>
      </c>
      <c r="I2565" s="1">
        <v>0.82130000000000003</v>
      </c>
      <c r="J2565" s="1">
        <v>0.53890000000000005</v>
      </c>
      <c r="K2565" s="1">
        <v>5.1999999999999998E-2</v>
      </c>
      <c r="L2565" s="1">
        <v>4.3E-3</v>
      </c>
      <c r="M2565" s="1">
        <v>0.2351</v>
      </c>
    </row>
    <row r="2566" spans="1:13" ht="29.1">
      <c r="A2566" s="25" t="s">
        <v>195</v>
      </c>
      <c r="B2566">
        <v>2689</v>
      </c>
      <c r="C2566" t="s">
        <v>189</v>
      </c>
      <c r="D2566">
        <v>10381</v>
      </c>
      <c r="E2566" s="1">
        <v>9.8000000000000004E-2</v>
      </c>
      <c r="F2566" s="1">
        <v>7.9799999999999996E-2</v>
      </c>
      <c r="G2566" s="1">
        <v>7.4999999999999997E-3</v>
      </c>
      <c r="H2566" s="1">
        <v>0.2407</v>
      </c>
      <c r="I2566" s="1">
        <v>0.80979999999999996</v>
      </c>
      <c r="J2566" s="1">
        <v>0.53029999999999999</v>
      </c>
      <c r="K2566" s="1">
        <v>6.0299999999999999E-2</v>
      </c>
      <c r="L2566" s="1">
        <v>3.3999999999999998E-3</v>
      </c>
      <c r="M2566" s="1">
        <v>0.21729999999999999</v>
      </c>
    </row>
    <row r="2567" spans="1:13" ht="29.1">
      <c r="A2567" s="25" t="s">
        <v>196</v>
      </c>
      <c r="B2567">
        <v>1702</v>
      </c>
      <c r="C2567" t="s">
        <v>189</v>
      </c>
      <c r="D2567">
        <v>10381</v>
      </c>
      <c r="E2567" s="1">
        <v>0.1167</v>
      </c>
      <c r="F2567" s="1">
        <v>0.13719999999999999</v>
      </c>
      <c r="G2567" s="1">
        <v>5.7999999999999996E-3</v>
      </c>
      <c r="H2567" s="1">
        <v>0.2387</v>
      </c>
      <c r="I2567" s="1">
        <v>0.84440000000000004</v>
      </c>
      <c r="J2567" s="1">
        <v>0.49859999999999999</v>
      </c>
      <c r="K2567" s="1">
        <v>4.3099999999999999E-2</v>
      </c>
      <c r="L2567" s="1">
        <v>2.8E-3</v>
      </c>
      <c r="M2567" s="1">
        <v>0.2122</v>
      </c>
    </row>
    <row r="2568" spans="1:13">
      <c r="A2568" s="25" t="s">
        <v>192</v>
      </c>
      <c r="B2568">
        <v>10381</v>
      </c>
      <c r="C2568" t="s">
        <v>192</v>
      </c>
      <c r="D2568">
        <v>10381</v>
      </c>
      <c r="E2568" s="1">
        <v>0.10489999999999999</v>
      </c>
      <c r="F2568" s="1">
        <v>6.8699999999999997E-2</v>
      </c>
      <c r="G2568" s="1">
        <v>9.2999999999999992E-3</v>
      </c>
      <c r="H2568" s="1">
        <v>0.24510000000000001</v>
      </c>
      <c r="I2568" s="1">
        <v>0.82099999999999995</v>
      </c>
      <c r="J2568" s="1">
        <v>0.53320000000000001</v>
      </c>
      <c r="K2568" s="1">
        <v>5.2900000000000003E-2</v>
      </c>
      <c r="L2568" s="1">
        <v>4.0000000000000001E-3</v>
      </c>
      <c r="M2568" s="1">
        <v>0.22950000000000001</v>
      </c>
    </row>
    <row r="2570" spans="1:13" ht="43.5">
      <c r="A2570" s="25" t="s">
        <v>816</v>
      </c>
    </row>
    <row r="2571" spans="1:13">
      <c r="A2571" s="25" t="s">
        <v>182</v>
      </c>
      <c r="B2571" t="s">
        <v>219</v>
      </c>
      <c r="C2571" t="s">
        <v>181</v>
      </c>
      <c r="D2571" t="s">
        <v>188</v>
      </c>
      <c r="E2571" t="s">
        <v>809</v>
      </c>
      <c r="F2571" t="s">
        <v>810</v>
      </c>
      <c r="G2571" t="s">
        <v>579</v>
      </c>
      <c r="H2571" t="s">
        <v>811</v>
      </c>
      <c r="I2571" t="s">
        <v>812</v>
      </c>
      <c r="J2571" t="s">
        <v>813</v>
      </c>
      <c r="K2571" t="s">
        <v>324</v>
      </c>
      <c r="L2571" t="s">
        <v>243</v>
      </c>
      <c r="M2571" t="s">
        <v>814</v>
      </c>
    </row>
    <row r="2572" spans="1:13">
      <c r="A2572" s="25" t="s">
        <v>198</v>
      </c>
      <c r="B2572">
        <v>2251</v>
      </c>
      <c r="C2572" t="s">
        <v>189</v>
      </c>
      <c r="D2572">
        <v>10381</v>
      </c>
      <c r="E2572" s="1">
        <v>7.2599999999999998E-2</v>
      </c>
      <c r="F2572" s="1">
        <v>7.7799999999999994E-2</v>
      </c>
      <c r="G2572" s="1">
        <v>7.3000000000000001E-3</v>
      </c>
      <c r="H2572" s="1">
        <v>0.1391</v>
      </c>
      <c r="I2572" s="1">
        <v>0.90539999999999998</v>
      </c>
      <c r="J2572" s="1">
        <v>0.36840000000000001</v>
      </c>
      <c r="K2572" s="1">
        <v>4.9500000000000002E-2</v>
      </c>
      <c r="L2572" s="1">
        <v>6.9999999999999999E-4</v>
      </c>
      <c r="M2572" s="1">
        <v>0.20830000000000001</v>
      </c>
    </row>
    <row r="2573" spans="1:13">
      <c r="A2573" s="25" t="s">
        <v>199</v>
      </c>
      <c r="B2573">
        <v>8130</v>
      </c>
      <c r="C2573" t="s">
        <v>189</v>
      </c>
      <c r="D2573">
        <v>10381</v>
      </c>
      <c r="E2573" s="1">
        <v>0.11219999999999999</v>
      </c>
      <c r="F2573" s="1">
        <v>6.6699999999999995E-2</v>
      </c>
      <c r="G2573" s="1">
        <v>9.7000000000000003E-3</v>
      </c>
      <c r="H2573" s="1">
        <v>0.26889999999999997</v>
      </c>
      <c r="I2573" s="1">
        <v>0.80210000000000004</v>
      </c>
      <c r="J2573" s="1">
        <v>0.57020000000000004</v>
      </c>
      <c r="K2573" s="1">
        <v>5.3600000000000002E-2</v>
      </c>
      <c r="L2573" s="1">
        <v>4.7000000000000002E-3</v>
      </c>
      <c r="M2573" s="1">
        <v>0.23419999999999999</v>
      </c>
    </row>
    <row r="2574" spans="1:13">
      <c r="A2574" s="25" t="s">
        <v>192</v>
      </c>
      <c r="B2574">
        <v>10381</v>
      </c>
      <c r="C2574" t="s">
        <v>192</v>
      </c>
      <c r="D2574">
        <v>10381</v>
      </c>
      <c r="E2574" s="1">
        <v>0.10489999999999999</v>
      </c>
      <c r="F2574" s="1">
        <v>6.8699999999999997E-2</v>
      </c>
      <c r="G2574" s="1">
        <v>9.2999999999999992E-3</v>
      </c>
      <c r="H2574" s="1">
        <v>0.24510000000000001</v>
      </c>
      <c r="I2574" s="1">
        <v>0.82099999999999995</v>
      </c>
      <c r="J2574" s="1">
        <v>0.53320000000000001</v>
      </c>
      <c r="K2574" s="1">
        <v>5.2900000000000003E-2</v>
      </c>
      <c r="L2574" s="1">
        <v>4.0000000000000001E-3</v>
      </c>
      <c r="M2574" s="1">
        <v>0.22950000000000001</v>
      </c>
    </row>
    <row r="2576" spans="1:13" ht="43.5">
      <c r="A2576" s="25" t="s">
        <v>817</v>
      </c>
    </row>
    <row r="2577" spans="1:13">
      <c r="A2577" s="25" t="s">
        <v>182</v>
      </c>
      <c r="B2577" t="s">
        <v>219</v>
      </c>
      <c r="C2577" t="s">
        <v>181</v>
      </c>
      <c r="D2577" t="s">
        <v>188</v>
      </c>
      <c r="E2577" t="s">
        <v>809</v>
      </c>
      <c r="F2577" t="s">
        <v>810</v>
      </c>
      <c r="G2577" t="s">
        <v>579</v>
      </c>
      <c r="H2577" t="s">
        <v>811</v>
      </c>
      <c r="I2577" t="s">
        <v>812</v>
      </c>
      <c r="J2577" t="s">
        <v>813</v>
      </c>
      <c r="K2577" t="s">
        <v>324</v>
      </c>
      <c r="L2577" t="s">
        <v>243</v>
      </c>
      <c r="M2577" t="s">
        <v>814</v>
      </c>
    </row>
    <row r="2578" spans="1:13">
      <c r="A2578" s="25" t="s">
        <v>201</v>
      </c>
      <c r="B2578">
        <v>763</v>
      </c>
      <c r="C2578" t="s">
        <v>189</v>
      </c>
      <c r="D2578">
        <v>10381</v>
      </c>
      <c r="E2578" s="1">
        <v>0.1167</v>
      </c>
      <c r="F2578" s="1">
        <v>0.13550000000000001</v>
      </c>
      <c r="G2578" s="1">
        <v>5.5999999999999999E-3</v>
      </c>
      <c r="H2578" s="1">
        <v>0.36280000000000001</v>
      </c>
      <c r="I2578" s="1">
        <v>0.77910000000000001</v>
      </c>
      <c r="J2578" s="1">
        <v>0.58979999999999999</v>
      </c>
      <c r="K2578" s="1">
        <v>7.2300000000000003E-2</v>
      </c>
      <c r="L2578" s="1">
        <v>3.0000000000000001E-3</v>
      </c>
      <c r="M2578" s="1">
        <v>0.1535</v>
      </c>
    </row>
    <row r="2579" spans="1:13">
      <c r="A2579" s="25" t="s">
        <v>202</v>
      </c>
      <c r="B2579">
        <v>108</v>
      </c>
      <c r="C2579" t="s">
        <v>189</v>
      </c>
      <c r="D2579">
        <v>10381</v>
      </c>
      <c r="E2579" s="1">
        <v>0.15490000000000001</v>
      </c>
      <c r="F2579" s="1">
        <v>0.16470000000000001</v>
      </c>
      <c r="G2579" s="1">
        <v>1.5599999999999999E-2</v>
      </c>
      <c r="H2579" s="1">
        <v>0.23710000000000001</v>
      </c>
      <c r="I2579" s="1">
        <v>0.84989999999999999</v>
      </c>
      <c r="J2579" s="1">
        <v>0.40689999999999998</v>
      </c>
      <c r="K2579" s="1">
        <v>3.9E-2</v>
      </c>
      <c r="M2579" s="1">
        <v>0.28320000000000001</v>
      </c>
    </row>
    <row r="2580" spans="1:13">
      <c r="A2580" s="25" t="s">
        <v>203</v>
      </c>
      <c r="B2580">
        <v>8005</v>
      </c>
      <c r="C2580" t="s">
        <v>189</v>
      </c>
      <c r="D2580">
        <v>10381</v>
      </c>
      <c r="E2580" s="1">
        <v>9.2399999999999996E-2</v>
      </c>
      <c r="F2580" s="1">
        <v>5.6599999999999998E-2</v>
      </c>
      <c r="G2580" s="1">
        <v>1.03E-2</v>
      </c>
      <c r="H2580" s="1">
        <v>0.21029999999999999</v>
      </c>
      <c r="I2580" s="1">
        <v>0.82930000000000004</v>
      </c>
      <c r="J2580" s="1">
        <v>0.49919999999999998</v>
      </c>
      <c r="K2580" s="1">
        <v>5.5300000000000002E-2</v>
      </c>
      <c r="L2580" s="1">
        <v>4.4999999999999997E-3</v>
      </c>
      <c r="M2580" s="1">
        <v>0.2273</v>
      </c>
    </row>
    <row r="2581" spans="1:13">
      <c r="A2581" s="25" t="s">
        <v>204</v>
      </c>
      <c r="B2581">
        <v>29</v>
      </c>
      <c r="C2581" t="s">
        <v>189</v>
      </c>
      <c r="D2581">
        <v>10381</v>
      </c>
      <c r="F2581" s="1">
        <v>3.6799999999999999E-2</v>
      </c>
      <c r="G2581" s="1">
        <v>8.48E-2</v>
      </c>
      <c r="H2581" s="1">
        <v>3.0300000000000001E-2</v>
      </c>
      <c r="I2581" s="1">
        <v>0.44</v>
      </c>
      <c r="J2581" s="1">
        <v>0.21429999999999999</v>
      </c>
      <c r="K2581" s="1">
        <v>0.33800000000000002</v>
      </c>
      <c r="L2581" s="1">
        <v>8.8099999999999998E-2</v>
      </c>
      <c r="M2581" s="1">
        <v>7.46E-2</v>
      </c>
    </row>
    <row r="2582" spans="1:13">
      <c r="A2582" s="25" t="s">
        <v>205</v>
      </c>
      <c r="B2582">
        <v>1476</v>
      </c>
      <c r="C2582" t="s">
        <v>189</v>
      </c>
      <c r="D2582">
        <v>10381</v>
      </c>
      <c r="E2582" s="1">
        <v>0.1699</v>
      </c>
      <c r="F2582" s="1">
        <v>0.1012</v>
      </c>
      <c r="G2582" s="1">
        <v>4.0000000000000001E-3</v>
      </c>
      <c r="H2582" s="1">
        <v>0.38779999999999998</v>
      </c>
      <c r="I2582" s="1">
        <v>0.7984</v>
      </c>
      <c r="J2582" s="1">
        <v>0.70950000000000002</v>
      </c>
      <c r="K2582" s="1">
        <v>2.6100000000000002E-2</v>
      </c>
      <c r="L2582" s="1">
        <v>5.0000000000000001E-4</v>
      </c>
      <c r="M2582" s="1">
        <v>0.2802</v>
      </c>
    </row>
    <row r="2583" spans="1:13">
      <c r="A2583" s="25" t="s">
        <v>192</v>
      </c>
      <c r="B2583">
        <v>10381</v>
      </c>
      <c r="C2583" t="s">
        <v>192</v>
      </c>
      <c r="D2583">
        <v>10381</v>
      </c>
      <c r="E2583" s="1">
        <v>0.10489999999999999</v>
      </c>
      <c r="F2583" s="1">
        <v>6.8699999999999997E-2</v>
      </c>
      <c r="G2583" s="1">
        <v>9.2999999999999992E-3</v>
      </c>
      <c r="H2583" s="1">
        <v>0.24510000000000001</v>
      </c>
      <c r="I2583" s="1">
        <v>0.82099999999999995</v>
      </c>
      <c r="J2583" s="1">
        <v>0.53320000000000001</v>
      </c>
      <c r="K2583" s="1">
        <v>5.2900000000000003E-2</v>
      </c>
      <c r="L2583" s="1">
        <v>4.0000000000000001E-3</v>
      </c>
      <c r="M2583" s="1">
        <v>0.22950000000000001</v>
      </c>
    </row>
    <row r="2585" spans="1:13" ht="43.5">
      <c r="A2585" s="25" t="s">
        <v>818</v>
      </c>
    </row>
    <row r="2586" spans="1:13">
      <c r="A2586" s="25" t="s">
        <v>182</v>
      </c>
      <c r="B2586" t="s">
        <v>219</v>
      </c>
      <c r="C2586" t="s">
        <v>181</v>
      </c>
      <c r="D2586" t="s">
        <v>188</v>
      </c>
      <c r="E2586" t="s">
        <v>809</v>
      </c>
      <c r="F2586" t="s">
        <v>810</v>
      </c>
      <c r="G2586" t="s">
        <v>579</v>
      </c>
      <c r="H2586" t="s">
        <v>811</v>
      </c>
      <c r="I2586" t="s">
        <v>812</v>
      </c>
      <c r="J2586" t="s">
        <v>813</v>
      </c>
      <c r="K2586" t="s">
        <v>324</v>
      </c>
      <c r="L2586" t="s">
        <v>243</v>
      </c>
      <c r="M2586" t="s">
        <v>814</v>
      </c>
    </row>
    <row r="2587" spans="1:13">
      <c r="A2587" s="25" t="s">
        <v>207</v>
      </c>
      <c r="B2587">
        <v>7228</v>
      </c>
      <c r="C2587" t="s">
        <v>189</v>
      </c>
      <c r="D2587">
        <v>10381</v>
      </c>
      <c r="E2587" s="1">
        <v>0.10299999999999999</v>
      </c>
      <c r="F2587" s="1">
        <v>7.0400000000000004E-2</v>
      </c>
      <c r="G2587" s="1">
        <v>9.4000000000000004E-3</v>
      </c>
      <c r="H2587" s="1">
        <v>0.26500000000000001</v>
      </c>
      <c r="I2587" s="1">
        <v>0.82969999999999999</v>
      </c>
      <c r="J2587" s="1">
        <v>0.57989999999999997</v>
      </c>
      <c r="K2587" s="1">
        <v>4.4600000000000001E-2</v>
      </c>
      <c r="L2587" s="1">
        <v>3.5999999999999999E-3</v>
      </c>
      <c r="M2587" s="1">
        <v>0.25180000000000002</v>
      </c>
    </row>
    <row r="2588" spans="1:13">
      <c r="A2588" s="25" t="s">
        <v>208</v>
      </c>
      <c r="B2588">
        <v>2219</v>
      </c>
      <c r="C2588" t="s">
        <v>189</v>
      </c>
      <c r="D2588">
        <v>10381</v>
      </c>
      <c r="E2588" s="1">
        <v>0.11890000000000001</v>
      </c>
      <c r="F2588" s="1">
        <v>5.1799999999999999E-2</v>
      </c>
      <c r="G2588" s="1">
        <v>9.5999999999999992E-3</v>
      </c>
      <c r="H2588" s="1">
        <v>6.25E-2</v>
      </c>
      <c r="I2588" s="1">
        <v>0.7671</v>
      </c>
      <c r="J2588" s="1">
        <v>0.33169999999999999</v>
      </c>
      <c r="K2588" s="1">
        <v>9.0999999999999998E-2</v>
      </c>
      <c r="L2588" s="1">
        <v>5.5999999999999999E-3</v>
      </c>
      <c r="M2588" s="1">
        <v>0.12989999999999999</v>
      </c>
    </row>
    <row r="2589" spans="1:13">
      <c r="A2589" s="25" t="s">
        <v>209</v>
      </c>
      <c r="B2589">
        <v>934</v>
      </c>
      <c r="C2589" t="s">
        <v>189</v>
      </c>
      <c r="D2589">
        <v>10381</v>
      </c>
      <c r="E2589" s="1">
        <v>8.2400000000000001E-2</v>
      </c>
      <c r="F2589" s="1">
        <v>0.1022</v>
      </c>
      <c r="G2589" s="1">
        <v>7.6E-3</v>
      </c>
      <c r="H2589" s="1">
        <v>0.58740000000000003</v>
      </c>
      <c r="I2589" s="1">
        <v>0.89739999999999998</v>
      </c>
      <c r="J2589" s="1">
        <v>0.69220000000000004</v>
      </c>
      <c r="K2589" s="1">
        <v>1.7899999999999999E-2</v>
      </c>
      <c r="L2589" s="1">
        <v>2.3E-3</v>
      </c>
      <c r="M2589" s="1">
        <v>0.31440000000000001</v>
      </c>
    </row>
    <row r="2590" spans="1:13">
      <c r="A2590" s="25" t="s">
        <v>192</v>
      </c>
      <c r="B2590">
        <v>10381</v>
      </c>
      <c r="C2590" t="s">
        <v>192</v>
      </c>
      <c r="D2590">
        <v>10381</v>
      </c>
      <c r="E2590" s="1">
        <v>0.10489999999999999</v>
      </c>
      <c r="F2590" s="1">
        <v>6.8699999999999997E-2</v>
      </c>
      <c r="G2590" s="1">
        <v>9.2999999999999992E-3</v>
      </c>
      <c r="H2590" s="1">
        <v>0.24510000000000001</v>
      </c>
      <c r="I2590" s="1">
        <v>0.82099999999999995</v>
      </c>
      <c r="J2590" s="1">
        <v>0.53320000000000001</v>
      </c>
      <c r="K2590" s="1">
        <v>5.2900000000000003E-2</v>
      </c>
      <c r="L2590" s="1">
        <v>4.0000000000000001E-3</v>
      </c>
      <c r="M2590" s="1">
        <v>0.22950000000000001</v>
      </c>
    </row>
    <row r="2592" spans="1:13" ht="43.5">
      <c r="A2592" s="25" t="s">
        <v>819</v>
      </c>
    </row>
    <row r="2593" spans="1:27">
      <c r="A2593" s="25" t="s">
        <v>182</v>
      </c>
      <c r="B2593" t="s">
        <v>219</v>
      </c>
      <c r="C2593" t="s">
        <v>181</v>
      </c>
      <c r="D2593" t="s">
        <v>188</v>
      </c>
      <c r="E2593" t="s">
        <v>809</v>
      </c>
      <c r="F2593" t="s">
        <v>810</v>
      </c>
      <c r="G2593" t="s">
        <v>579</v>
      </c>
      <c r="H2593" t="s">
        <v>811</v>
      </c>
      <c r="I2593" t="s">
        <v>812</v>
      </c>
      <c r="J2593" t="s">
        <v>813</v>
      </c>
      <c r="K2593" t="s">
        <v>324</v>
      </c>
      <c r="L2593" t="s">
        <v>243</v>
      </c>
      <c r="M2593" t="s">
        <v>814</v>
      </c>
    </row>
    <row r="2594" spans="1:27">
      <c r="A2594" s="25" t="s">
        <v>211</v>
      </c>
      <c r="B2594">
        <v>4955</v>
      </c>
      <c r="C2594" t="s">
        <v>189</v>
      </c>
      <c r="D2594">
        <v>10381</v>
      </c>
      <c r="E2594" s="1">
        <v>0.112</v>
      </c>
      <c r="F2594" s="1">
        <v>7.1800000000000003E-2</v>
      </c>
      <c r="G2594" s="1">
        <v>4.7000000000000002E-3</v>
      </c>
      <c r="H2594" s="1">
        <v>0.28489999999999999</v>
      </c>
      <c r="I2594" s="1">
        <v>0.84389999999999998</v>
      </c>
      <c r="J2594" s="1">
        <v>0.62190000000000001</v>
      </c>
      <c r="K2594" s="1">
        <v>4.3200000000000002E-2</v>
      </c>
      <c r="L2594" s="1">
        <v>2.2000000000000001E-3</v>
      </c>
      <c r="M2594" s="1">
        <v>0.27489999999999998</v>
      </c>
    </row>
    <row r="2595" spans="1:27">
      <c r="A2595" s="25" t="s">
        <v>212</v>
      </c>
      <c r="B2595">
        <v>3353</v>
      </c>
      <c r="C2595" t="s">
        <v>189</v>
      </c>
      <c r="D2595">
        <v>10381</v>
      </c>
      <c r="E2595" s="1">
        <v>7.8399999999999997E-2</v>
      </c>
      <c r="F2595" s="1">
        <v>5.91E-2</v>
      </c>
      <c r="G2595" s="1">
        <v>1.0200000000000001E-2</v>
      </c>
      <c r="H2595" s="1">
        <v>0.19359999999999999</v>
      </c>
      <c r="I2595" s="1">
        <v>0.83350000000000002</v>
      </c>
      <c r="J2595" s="1">
        <v>0.41620000000000001</v>
      </c>
      <c r="K2595" s="1">
        <v>5.4199999999999998E-2</v>
      </c>
      <c r="L2595" s="1">
        <v>4.5999999999999999E-3</v>
      </c>
      <c r="M2595" s="1">
        <v>0.1578</v>
      </c>
    </row>
    <row r="2596" spans="1:27">
      <c r="A2596" s="25" t="s">
        <v>213</v>
      </c>
      <c r="B2596">
        <v>2073</v>
      </c>
      <c r="C2596" t="s">
        <v>189</v>
      </c>
      <c r="D2596">
        <v>10381</v>
      </c>
      <c r="E2596" s="1">
        <v>0.1273</v>
      </c>
      <c r="F2596" s="1">
        <v>7.5899999999999995E-2</v>
      </c>
      <c r="G2596" s="1">
        <v>1.77E-2</v>
      </c>
      <c r="H2596" s="1">
        <v>0.23250000000000001</v>
      </c>
      <c r="I2596" s="1">
        <v>0.75419999999999998</v>
      </c>
      <c r="J2596" s="1">
        <v>0.50870000000000004</v>
      </c>
      <c r="K2596" s="1">
        <v>7.1499999999999994E-2</v>
      </c>
      <c r="L2596" s="1">
        <v>6.8999999999999999E-3</v>
      </c>
      <c r="M2596" s="1">
        <v>0.2336</v>
      </c>
    </row>
    <row r="2597" spans="1:27">
      <c r="A2597" s="25" t="s">
        <v>192</v>
      </c>
      <c r="B2597">
        <v>10381</v>
      </c>
      <c r="C2597" t="s">
        <v>192</v>
      </c>
      <c r="D2597">
        <v>10381</v>
      </c>
      <c r="E2597" s="1">
        <v>0.10489999999999999</v>
      </c>
      <c r="F2597" s="1">
        <v>6.8699999999999997E-2</v>
      </c>
      <c r="G2597" s="1">
        <v>9.2999999999999992E-3</v>
      </c>
      <c r="H2597" s="1">
        <v>0.24510000000000001</v>
      </c>
      <c r="I2597" s="1">
        <v>0.82099999999999995</v>
      </c>
      <c r="J2597" s="1">
        <v>0.53320000000000001</v>
      </c>
      <c r="K2597" s="1">
        <v>5.2900000000000003E-2</v>
      </c>
      <c r="L2597" s="1">
        <v>4.0000000000000001E-3</v>
      </c>
      <c r="M2597" s="1">
        <v>0.22950000000000001</v>
      </c>
    </row>
    <row r="2599" spans="1:27" ht="43.5">
      <c r="A2599" s="25" t="s">
        <v>820</v>
      </c>
    </row>
    <row r="2600" spans="1:27">
      <c r="A2600" s="25" t="s">
        <v>181</v>
      </c>
      <c r="B2600" t="s">
        <v>182</v>
      </c>
      <c r="C2600" t="s">
        <v>821</v>
      </c>
      <c r="D2600" t="s">
        <v>822</v>
      </c>
      <c r="E2600" t="s">
        <v>823</v>
      </c>
      <c r="F2600" t="s">
        <v>824</v>
      </c>
      <c r="G2600" t="s">
        <v>825</v>
      </c>
      <c r="H2600" t="s">
        <v>826</v>
      </c>
      <c r="I2600" t="s">
        <v>827</v>
      </c>
      <c r="J2600" t="s">
        <v>828</v>
      </c>
      <c r="K2600" t="s">
        <v>829</v>
      </c>
      <c r="L2600" t="s">
        <v>830</v>
      </c>
      <c r="M2600" t="s">
        <v>831</v>
      </c>
      <c r="N2600" t="s">
        <v>832</v>
      </c>
      <c r="O2600" t="s">
        <v>833</v>
      </c>
      <c r="P2600" t="s">
        <v>834</v>
      </c>
      <c r="Q2600" t="s">
        <v>835</v>
      </c>
      <c r="R2600" t="s">
        <v>836</v>
      </c>
      <c r="S2600" t="s">
        <v>837</v>
      </c>
      <c r="T2600" t="s">
        <v>838</v>
      </c>
      <c r="U2600" t="s">
        <v>839</v>
      </c>
      <c r="V2600" t="s">
        <v>840</v>
      </c>
      <c r="W2600" t="s">
        <v>841</v>
      </c>
      <c r="X2600" t="s">
        <v>842</v>
      </c>
      <c r="Y2600" t="s">
        <v>843</v>
      </c>
      <c r="Z2600" t="s">
        <v>844</v>
      </c>
      <c r="AA2600" t="s">
        <v>188</v>
      </c>
    </row>
    <row r="2601" spans="1:27">
      <c r="A2601" s="25" t="s">
        <v>189</v>
      </c>
      <c r="B2601" t="s">
        <v>190</v>
      </c>
      <c r="C2601">
        <v>17569.69044990767</v>
      </c>
      <c r="D2601">
        <v>5700</v>
      </c>
      <c r="E2601">
        <v>140</v>
      </c>
      <c r="F2601">
        <v>800000</v>
      </c>
      <c r="G2601">
        <v>7368.4601041135502</v>
      </c>
      <c r="H2601">
        <v>5000</v>
      </c>
      <c r="I2601">
        <v>100</v>
      </c>
      <c r="J2601">
        <v>200000</v>
      </c>
      <c r="K2601">
        <v>10152.78960909761</v>
      </c>
      <c r="L2601">
        <v>5000</v>
      </c>
      <c r="M2601">
        <v>100</v>
      </c>
      <c r="N2601">
        <v>1745823</v>
      </c>
      <c r="O2601">
        <v>6139.0285923391129</v>
      </c>
      <c r="P2601">
        <v>3000</v>
      </c>
      <c r="Q2601">
        <v>100</v>
      </c>
      <c r="R2601">
        <v>360000</v>
      </c>
      <c r="S2601">
        <v>15978.51163129108</v>
      </c>
      <c r="T2601">
        <v>7000</v>
      </c>
      <c r="U2601">
        <v>150</v>
      </c>
      <c r="V2601">
        <v>600000</v>
      </c>
      <c r="W2601">
        <v>12739.108317010579</v>
      </c>
      <c r="X2601">
        <v>4000</v>
      </c>
      <c r="Y2601">
        <v>100</v>
      </c>
      <c r="Z2601">
        <v>400000</v>
      </c>
      <c r="AA2601">
        <v>2111</v>
      </c>
    </row>
    <row r="2602" spans="1:27">
      <c r="A2602" s="25" t="s">
        <v>189</v>
      </c>
      <c r="B2602" t="s">
        <v>191</v>
      </c>
      <c r="C2602">
        <v>13056.129681148541</v>
      </c>
      <c r="D2602">
        <v>5000</v>
      </c>
      <c r="E2602">
        <v>100</v>
      </c>
      <c r="F2602">
        <v>579000</v>
      </c>
      <c r="G2602">
        <v>8952.7497252100402</v>
      </c>
      <c r="H2602">
        <v>6000</v>
      </c>
      <c r="I2602">
        <v>100</v>
      </c>
      <c r="J2602">
        <v>200000</v>
      </c>
      <c r="K2602">
        <v>9980.1147379844679</v>
      </c>
      <c r="L2602">
        <v>5000</v>
      </c>
      <c r="M2602">
        <v>100</v>
      </c>
      <c r="N2602">
        <v>1000000</v>
      </c>
      <c r="O2602">
        <v>8695.7889752319843</v>
      </c>
      <c r="P2602">
        <v>5000</v>
      </c>
      <c r="Q2602">
        <v>100</v>
      </c>
      <c r="R2602">
        <v>140000</v>
      </c>
      <c r="S2602">
        <v>18197.150170309451</v>
      </c>
      <c r="T2602">
        <v>8000</v>
      </c>
      <c r="U2602">
        <v>250</v>
      </c>
      <c r="V2602">
        <v>240000</v>
      </c>
      <c r="W2602">
        <v>17264.12638165009</v>
      </c>
      <c r="X2602">
        <v>6000</v>
      </c>
      <c r="Y2602">
        <v>100</v>
      </c>
      <c r="Z2602">
        <v>500000</v>
      </c>
      <c r="AA2602">
        <v>2111</v>
      </c>
    </row>
    <row r="2603" spans="1:27">
      <c r="A2603" s="25" t="s">
        <v>192</v>
      </c>
      <c r="B2603" t="s">
        <v>192</v>
      </c>
      <c r="C2603">
        <v>14977.213772484271</v>
      </c>
      <c r="D2603">
        <v>5000</v>
      </c>
      <c r="E2603">
        <v>100</v>
      </c>
      <c r="F2603">
        <v>800000</v>
      </c>
      <c r="G2603">
        <v>8433.0688713998625</v>
      </c>
      <c r="H2603">
        <v>5000</v>
      </c>
      <c r="I2603">
        <v>100</v>
      </c>
      <c r="J2603">
        <v>200000</v>
      </c>
      <c r="K2603">
        <v>10048.07139545405</v>
      </c>
      <c r="L2603">
        <v>5000</v>
      </c>
      <c r="M2603">
        <v>100</v>
      </c>
      <c r="N2603">
        <v>1745823</v>
      </c>
      <c r="O2603">
        <v>7887.5459820665474</v>
      </c>
      <c r="P2603">
        <v>4300</v>
      </c>
      <c r="Q2603">
        <v>100</v>
      </c>
      <c r="R2603">
        <v>360000</v>
      </c>
      <c r="S2603">
        <v>17531.106768147602</v>
      </c>
      <c r="T2603">
        <v>8000</v>
      </c>
      <c r="U2603">
        <v>150</v>
      </c>
      <c r="V2603">
        <v>600000</v>
      </c>
      <c r="W2603">
        <v>16114.82479757617</v>
      </c>
      <c r="X2603">
        <v>6000</v>
      </c>
      <c r="Y2603">
        <v>100</v>
      </c>
      <c r="Z2603">
        <v>500000</v>
      </c>
      <c r="AA2603">
        <v>2111</v>
      </c>
    </row>
    <row r="2605" spans="1:27" ht="57.95">
      <c r="A2605" s="25" t="s">
        <v>845</v>
      </c>
    </row>
    <row r="2606" spans="1:27">
      <c r="A2606" s="25" t="s">
        <v>181</v>
      </c>
      <c r="B2606" t="s">
        <v>182</v>
      </c>
      <c r="C2606" t="s">
        <v>821</v>
      </c>
      <c r="D2606" t="s">
        <v>822</v>
      </c>
      <c r="E2606" t="s">
        <v>823</v>
      </c>
      <c r="F2606" t="s">
        <v>824</v>
      </c>
      <c r="G2606" t="s">
        <v>825</v>
      </c>
      <c r="H2606" t="s">
        <v>826</v>
      </c>
      <c r="I2606" t="s">
        <v>827</v>
      </c>
      <c r="J2606" t="s">
        <v>828</v>
      </c>
      <c r="K2606" t="s">
        <v>829</v>
      </c>
      <c r="L2606" t="s">
        <v>830</v>
      </c>
      <c r="M2606" t="s">
        <v>831</v>
      </c>
      <c r="N2606" t="s">
        <v>832</v>
      </c>
      <c r="O2606" t="s">
        <v>833</v>
      </c>
      <c r="P2606" t="s">
        <v>834</v>
      </c>
      <c r="Q2606" t="s">
        <v>835</v>
      </c>
      <c r="R2606" t="s">
        <v>836</v>
      </c>
      <c r="S2606" t="s">
        <v>837</v>
      </c>
      <c r="T2606" t="s">
        <v>838</v>
      </c>
      <c r="U2606" t="s">
        <v>839</v>
      </c>
      <c r="V2606" t="s">
        <v>840</v>
      </c>
      <c r="W2606" t="s">
        <v>841</v>
      </c>
      <c r="X2606" t="s">
        <v>842</v>
      </c>
      <c r="Y2606" t="s">
        <v>843</v>
      </c>
      <c r="Z2606" t="s">
        <v>844</v>
      </c>
      <c r="AA2606" t="s">
        <v>188</v>
      </c>
    </row>
    <row r="2607" spans="1:27">
      <c r="A2607" s="25" t="s">
        <v>189</v>
      </c>
      <c r="B2607" t="s">
        <v>194</v>
      </c>
      <c r="C2607">
        <v>16471.000186681322</v>
      </c>
      <c r="D2607">
        <v>5000</v>
      </c>
      <c r="E2607">
        <v>150</v>
      </c>
      <c r="F2607">
        <v>800000</v>
      </c>
      <c r="G2607">
        <v>8423.5669628992782</v>
      </c>
      <c r="H2607">
        <v>6000</v>
      </c>
      <c r="I2607">
        <v>100</v>
      </c>
      <c r="J2607">
        <v>200000</v>
      </c>
      <c r="K2607">
        <v>10058.663681808641</v>
      </c>
      <c r="L2607">
        <v>5000</v>
      </c>
      <c r="M2607">
        <v>100</v>
      </c>
      <c r="N2607">
        <v>1745823</v>
      </c>
      <c r="O2607">
        <v>7752.6514035903228</v>
      </c>
      <c r="P2607">
        <v>4300</v>
      </c>
      <c r="Q2607">
        <v>100</v>
      </c>
      <c r="R2607">
        <v>360000</v>
      </c>
      <c r="S2607">
        <v>22407.97366383742</v>
      </c>
      <c r="T2607">
        <v>9000</v>
      </c>
      <c r="U2607">
        <v>150</v>
      </c>
      <c r="V2607">
        <v>600000</v>
      </c>
      <c r="W2607">
        <v>15471.808223294231</v>
      </c>
      <c r="X2607">
        <v>6000</v>
      </c>
      <c r="Y2607">
        <v>100</v>
      </c>
      <c r="Z2607">
        <v>400000</v>
      </c>
      <c r="AA2607">
        <v>2111</v>
      </c>
    </row>
    <row r="2608" spans="1:27">
      <c r="A2608" s="25" t="s">
        <v>189</v>
      </c>
      <c r="B2608" t="s">
        <v>195</v>
      </c>
      <c r="C2608">
        <v>11462.35088867844</v>
      </c>
      <c r="D2608">
        <v>5000</v>
      </c>
      <c r="E2608">
        <v>150</v>
      </c>
      <c r="F2608">
        <v>400000</v>
      </c>
      <c r="G2608">
        <v>8378.2996379546985</v>
      </c>
      <c r="H2608">
        <v>5000</v>
      </c>
      <c r="I2608">
        <v>120</v>
      </c>
      <c r="J2608">
        <v>120000</v>
      </c>
      <c r="K2608">
        <v>9894.4357744781464</v>
      </c>
      <c r="L2608">
        <v>5000</v>
      </c>
      <c r="M2608">
        <v>200</v>
      </c>
      <c r="N2608">
        <v>1000000</v>
      </c>
      <c r="O2608">
        <v>6758.0424403264142</v>
      </c>
      <c r="P2608">
        <v>3500</v>
      </c>
      <c r="Q2608">
        <v>100</v>
      </c>
      <c r="R2608">
        <v>50000</v>
      </c>
      <c r="S2608">
        <v>8664.5141866916128</v>
      </c>
      <c r="T2608">
        <v>5565</v>
      </c>
      <c r="U2608">
        <v>300</v>
      </c>
      <c r="V2608">
        <v>78000</v>
      </c>
      <c r="W2608">
        <v>22795.105493898551</v>
      </c>
      <c r="X2608">
        <v>3700</v>
      </c>
      <c r="Y2608">
        <v>120</v>
      </c>
      <c r="Z2608">
        <v>500000</v>
      </c>
      <c r="AA2608">
        <v>2111</v>
      </c>
    </row>
    <row r="2609" spans="1:27">
      <c r="A2609" s="25" t="s">
        <v>189</v>
      </c>
      <c r="B2609" t="s">
        <v>196</v>
      </c>
      <c r="C2609">
        <v>9883.9931074853521</v>
      </c>
      <c r="D2609">
        <v>5000</v>
      </c>
      <c r="E2609">
        <v>100</v>
      </c>
      <c r="F2609">
        <v>200000</v>
      </c>
      <c r="G2609">
        <v>8619.9731328805374</v>
      </c>
      <c r="H2609">
        <v>5000</v>
      </c>
      <c r="I2609">
        <v>200</v>
      </c>
      <c r="J2609">
        <v>200000</v>
      </c>
      <c r="K2609">
        <v>10256.520593941559</v>
      </c>
      <c r="L2609">
        <v>5000</v>
      </c>
      <c r="M2609">
        <v>100</v>
      </c>
      <c r="N2609">
        <v>350000</v>
      </c>
      <c r="O2609">
        <v>11129.56986369148</v>
      </c>
      <c r="P2609">
        <v>5000</v>
      </c>
      <c r="Q2609">
        <v>100</v>
      </c>
      <c r="R2609">
        <v>140000</v>
      </c>
      <c r="S2609">
        <v>12910.284025090399</v>
      </c>
      <c r="T2609">
        <v>6000</v>
      </c>
      <c r="U2609">
        <v>250</v>
      </c>
      <c r="V2609">
        <v>100000</v>
      </c>
      <c r="W2609">
        <v>10053.27865589694</v>
      </c>
      <c r="X2609">
        <v>4000</v>
      </c>
      <c r="Y2609">
        <v>100</v>
      </c>
      <c r="Z2609">
        <v>72000</v>
      </c>
      <c r="AA2609">
        <v>2111</v>
      </c>
    </row>
    <row r="2610" spans="1:27">
      <c r="A2610" s="25" t="s">
        <v>192</v>
      </c>
      <c r="B2610" t="s">
        <v>192</v>
      </c>
      <c r="C2610">
        <v>14977.213772484271</v>
      </c>
      <c r="D2610">
        <v>5000</v>
      </c>
      <c r="E2610">
        <v>100</v>
      </c>
      <c r="F2610">
        <v>800000</v>
      </c>
      <c r="G2610">
        <v>8433.0688713998625</v>
      </c>
      <c r="H2610">
        <v>5000</v>
      </c>
      <c r="I2610">
        <v>100</v>
      </c>
      <c r="J2610">
        <v>200000</v>
      </c>
      <c r="K2610">
        <v>10048.07139545405</v>
      </c>
      <c r="L2610">
        <v>5000</v>
      </c>
      <c r="M2610">
        <v>100</v>
      </c>
      <c r="N2610">
        <v>1745823</v>
      </c>
      <c r="O2610">
        <v>7887.5459820665474</v>
      </c>
      <c r="P2610">
        <v>4300</v>
      </c>
      <c r="Q2610">
        <v>100</v>
      </c>
      <c r="R2610">
        <v>360000</v>
      </c>
      <c r="S2610">
        <v>17531.106768147602</v>
      </c>
      <c r="T2610">
        <v>8000</v>
      </c>
      <c r="U2610">
        <v>150</v>
      </c>
      <c r="V2610">
        <v>600000</v>
      </c>
      <c r="W2610">
        <v>16114.82479757617</v>
      </c>
      <c r="X2610">
        <v>6000</v>
      </c>
      <c r="Y2610">
        <v>100</v>
      </c>
      <c r="Z2610">
        <v>500000</v>
      </c>
      <c r="AA2610">
        <v>2111</v>
      </c>
    </row>
    <row r="2612" spans="1:27" ht="43.5">
      <c r="A2612" s="25" t="s">
        <v>846</v>
      </c>
    </row>
    <row r="2613" spans="1:27">
      <c r="A2613" s="25" t="s">
        <v>181</v>
      </c>
      <c r="B2613" t="s">
        <v>182</v>
      </c>
      <c r="C2613" t="s">
        <v>821</v>
      </c>
      <c r="D2613" t="s">
        <v>822</v>
      </c>
      <c r="E2613" t="s">
        <v>823</v>
      </c>
      <c r="F2613" t="s">
        <v>824</v>
      </c>
      <c r="G2613" t="s">
        <v>825</v>
      </c>
      <c r="H2613" t="s">
        <v>826</v>
      </c>
      <c r="I2613" t="s">
        <v>827</v>
      </c>
      <c r="J2613" t="s">
        <v>828</v>
      </c>
      <c r="K2613" t="s">
        <v>829</v>
      </c>
      <c r="L2613" t="s">
        <v>830</v>
      </c>
      <c r="M2613" t="s">
        <v>831</v>
      </c>
      <c r="N2613" t="s">
        <v>832</v>
      </c>
      <c r="O2613" t="s">
        <v>833</v>
      </c>
      <c r="P2613" t="s">
        <v>834</v>
      </c>
      <c r="Q2613" t="s">
        <v>835</v>
      </c>
      <c r="R2613" t="s">
        <v>836</v>
      </c>
      <c r="S2613" t="s">
        <v>837</v>
      </c>
      <c r="T2613" t="s">
        <v>838</v>
      </c>
      <c r="U2613" t="s">
        <v>839</v>
      </c>
      <c r="V2613" t="s">
        <v>840</v>
      </c>
      <c r="W2613" t="s">
        <v>841</v>
      </c>
      <c r="X2613" t="s">
        <v>842</v>
      </c>
      <c r="Y2613" t="s">
        <v>843</v>
      </c>
      <c r="Z2613" t="s">
        <v>844</v>
      </c>
      <c r="AA2613" t="s">
        <v>188</v>
      </c>
    </row>
    <row r="2614" spans="1:27">
      <c r="A2614" s="25" t="s">
        <v>189</v>
      </c>
      <c r="B2614" t="s">
        <v>198</v>
      </c>
      <c r="C2614">
        <v>14390.53638235689</v>
      </c>
      <c r="D2614">
        <v>5000</v>
      </c>
      <c r="E2614">
        <v>100</v>
      </c>
      <c r="F2614">
        <v>400000</v>
      </c>
      <c r="G2614">
        <v>7694.0445953782892</v>
      </c>
      <c r="H2614">
        <v>5000</v>
      </c>
      <c r="I2614">
        <v>100</v>
      </c>
      <c r="J2614">
        <v>75000</v>
      </c>
      <c r="K2614">
        <v>14853.25738280967</v>
      </c>
      <c r="L2614">
        <v>6800</v>
      </c>
      <c r="M2614">
        <v>100</v>
      </c>
      <c r="N2614">
        <v>1745823</v>
      </c>
      <c r="O2614">
        <v>7621.6387202547976</v>
      </c>
      <c r="P2614">
        <v>3000</v>
      </c>
      <c r="Q2614">
        <v>150</v>
      </c>
      <c r="R2614">
        <v>120000</v>
      </c>
      <c r="S2614">
        <v>12763.49679426464</v>
      </c>
      <c r="T2614">
        <v>7500</v>
      </c>
      <c r="U2614">
        <v>250</v>
      </c>
      <c r="V2614">
        <v>570000</v>
      </c>
      <c r="W2614">
        <v>12637.59011645859</v>
      </c>
      <c r="X2614">
        <v>5000</v>
      </c>
      <c r="Y2614">
        <v>100</v>
      </c>
      <c r="Z2614">
        <v>180000</v>
      </c>
      <c r="AA2614">
        <v>2111</v>
      </c>
    </row>
    <row r="2615" spans="1:27">
      <c r="A2615" s="25" t="s">
        <v>189</v>
      </c>
      <c r="B2615" t="s">
        <v>199</v>
      </c>
      <c r="C2615">
        <v>15095.71385140285</v>
      </c>
      <c r="D2615">
        <v>5000</v>
      </c>
      <c r="E2615">
        <v>150</v>
      </c>
      <c r="F2615">
        <v>800000</v>
      </c>
      <c r="G2615">
        <v>8536.5286218455785</v>
      </c>
      <c r="H2615">
        <v>6000</v>
      </c>
      <c r="I2615">
        <v>100</v>
      </c>
      <c r="J2615">
        <v>200000</v>
      </c>
      <c r="K2615">
        <v>8809.6319531575555</v>
      </c>
      <c r="L2615">
        <v>4000</v>
      </c>
      <c r="M2615">
        <v>100</v>
      </c>
      <c r="N2615">
        <v>500000</v>
      </c>
      <c r="O2615">
        <v>7917.2254080955972</v>
      </c>
      <c r="P2615">
        <v>4500</v>
      </c>
      <c r="Q2615">
        <v>100</v>
      </c>
      <c r="R2615">
        <v>360000</v>
      </c>
      <c r="S2615">
        <v>18759.957240504798</v>
      </c>
      <c r="T2615">
        <v>8000</v>
      </c>
      <c r="U2615">
        <v>150</v>
      </c>
      <c r="V2615">
        <v>600000</v>
      </c>
      <c r="W2615">
        <v>16644.092835040479</v>
      </c>
      <c r="X2615">
        <v>6000</v>
      </c>
      <c r="Y2615">
        <v>100</v>
      </c>
      <c r="Z2615">
        <v>500000</v>
      </c>
      <c r="AA2615">
        <v>2111</v>
      </c>
    </row>
    <row r="2616" spans="1:27">
      <c r="A2616" s="25" t="s">
        <v>192</v>
      </c>
      <c r="B2616" t="s">
        <v>192</v>
      </c>
      <c r="C2616">
        <v>14977.213772484271</v>
      </c>
      <c r="D2616">
        <v>5000</v>
      </c>
      <c r="E2616">
        <v>100</v>
      </c>
      <c r="F2616">
        <v>800000</v>
      </c>
      <c r="G2616">
        <v>8433.0688713998625</v>
      </c>
      <c r="H2616">
        <v>5000</v>
      </c>
      <c r="I2616">
        <v>100</v>
      </c>
      <c r="J2616">
        <v>200000</v>
      </c>
      <c r="K2616">
        <v>10048.07139545405</v>
      </c>
      <c r="L2616">
        <v>5000</v>
      </c>
      <c r="M2616">
        <v>100</v>
      </c>
      <c r="N2616">
        <v>1745823</v>
      </c>
      <c r="O2616">
        <v>7887.5459820665474</v>
      </c>
      <c r="P2616">
        <v>4300</v>
      </c>
      <c r="Q2616">
        <v>100</v>
      </c>
      <c r="R2616">
        <v>360000</v>
      </c>
      <c r="S2616">
        <v>17531.106768147602</v>
      </c>
      <c r="T2616">
        <v>8000</v>
      </c>
      <c r="U2616">
        <v>150</v>
      </c>
      <c r="V2616">
        <v>600000</v>
      </c>
      <c r="W2616">
        <v>16114.82479757617</v>
      </c>
      <c r="X2616">
        <v>6000</v>
      </c>
      <c r="Y2616">
        <v>100</v>
      </c>
      <c r="Z2616">
        <v>500000</v>
      </c>
      <c r="AA2616">
        <v>2111</v>
      </c>
    </row>
    <row r="2618" spans="1:27" ht="43.5">
      <c r="A2618" s="25" t="s">
        <v>847</v>
      </c>
    </row>
    <row r="2619" spans="1:27">
      <c r="A2619" s="25" t="s">
        <v>181</v>
      </c>
      <c r="B2619" t="s">
        <v>182</v>
      </c>
      <c r="C2619" t="s">
        <v>821</v>
      </c>
      <c r="D2619" t="s">
        <v>822</v>
      </c>
      <c r="E2619" t="s">
        <v>823</v>
      </c>
      <c r="F2619" t="s">
        <v>824</v>
      </c>
      <c r="G2619" t="s">
        <v>825</v>
      </c>
      <c r="H2619" t="s">
        <v>826</v>
      </c>
      <c r="I2619" t="s">
        <v>827</v>
      </c>
      <c r="J2619" t="s">
        <v>828</v>
      </c>
      <c r="K2619" t="s">
        <v>829</v>
      </c>
      <c r="L2619" t="s">
        <v>830</v>
      </c>
      <c r="M2619" t="s">
        <v>831</v>
      </c>
      <c r="N2619" t="s">
        <v>832</v>
      </c>
      <c r="O2619" t="s">
        <v>833</v>
      </c>
      <c r="P2619" t="s">
        <v>834</v>
      </c>
      <c r="Q2619" t="s">
        <v>835</v>
      </c>
      <c r="R2619" t="s">
        <v>836</v>
      </c>
      <c r="S2619" t="s">
        <v>837</v>
      </c>
      <c r="T2619" t="s">
        <v>838</v>
      </c>
      <c r="U2619" t="s">
        <v>839</v>
      </c>
      <c r="V2619" t="s">
        <v>840</v>
      </c>
      <c r="W2619" t="s">
        <v>841</v>
      </c>
      <c r="X2619" t="s">
        <v>842</v>
      </c>
      <c r="Y2619" t="s">
        <v>843</v>
      </c>
      <c r="Z2619" t="s">
        <v>844</v>
      </c>
      <c r="AA2619" t="s">
        <v>188</v>
      </c>
    </row>
    <row r="2620" spans="1:27">
      <c r="A2620" s="25" t="s">
        <v>189</v>
      </c>
      <c r="B2620" t="s">
        <v>201</v>
      </c>
      <c r="C2620">
        <v>16186.27642911088</v>
      </c>
      <c r="D2620">
        <v>5000</v>
      </c>
      <c r="E2620">
        <v>300</v>
      </c>
      <c r="F2620">
        <v>150000</v>
      </c>
      <c r="G2620">
        <v>8581.5953954561701</v>
      </c>
      <c r="H2620">
        <v>6000</v>
      </c>
      <c r="I2620">
        <v>250</v>
      </c>
      <c r="J2620">
        <v>75000</v>
      </c>
      <c r="K2620">
        <v>12079.22119104798</v>
      </c>
      <c r="L2620">
        <v>5000</v>
      </c>
      <c r="M2620">
        <v>100</v>
      </c>
      <c r="N2620">
        <v>300000</v>
      </c>
      <c r="O2620">
        <v>7662.0787652176996</v>
      </c>
      <c r="P2620">
        <v>4000</v>
      </c>
      <c r="Q2620">
        <v>100</v>
      </c>
      <c r="R2620">
        <v>60000</v>
      </c>
      <c r="S2620">
        <v>27249.53396943679</v>
      </c>
      <c r="T2620">
        <v>9000</v>
      </c>
      <c r="U2620">
        <v>250</v>
      </c>
      <c r="V2620">
        <v>240000</v>
      </c>
      <c r="W2620">
        <v>16323.12340757427</v>
      </c>
      <c r="X2620">
        <v>9000</v>
      </c>
      <c r="Y2620">
        <v>400</v>
      </c>
      <c r="Z2620">
        <v>240000</v>
      </c>
      <c r="AA2620">
        <v>2111</v>
      </c>
    </row>
    <row r="2621" spans="1:27">
      <c r="A2621" s="25" t="s">
        <v>189</v>
      </c>
      <c r="B2621" t="s">
        <v>202</v>
      </c>
      <c r="C2621">
        <v>67206.24125343257</v>
      </c>
      <c r="D2621">
        <v>6000</v>
      </c>
      <c r="E2621">
        <v>400</v>
      </c>
      <c r="F2621">
        <v>579000</v>
      </c>
      <c r="G2621">
        <v>12070.239851853579</v>
      </c>
      <c r="H2621">
        <v>10000</v>
      </c>
      <c r="I2621">
        <v>300</v>
      </c>
      <c r="J2621">
        <v>50000</v>
      </c>
      <c r="K2621">
        <v>8879.2565338509594</v>
      </c>
      <c r="L2621">
        <v>6000</v>
      </c>
      <c r="M2621">
        <v>100</v>
      </c>
      <c r="N2621">
        <v>80000</v>
      </c>
      <c r="O2621">
        <v>8098.7703578047194</v>
      </c>
      <c r="P2621">
        <v>7500</v>
      </c>
      <c r="Q2621">
        <v>300</v>
      </c>
      <c r="R2621">
        <v>30000</v>
      </c>
      <c r="S2621">
        <v>13923.91056590054</v>
      </c>
      <c r="T2621">
        <v>15000</v>
      </c>
      <c r="U2621">
        <v>1000</v>
      </c>
      <c r="V2621">
        <v>30000</v>
      </c>
      <c r="W2621">
        <v>7052.2353710199168</v>
      </c>
      <c r="X2621">
        <v>6000</v>
      </c>
      <c r="Y2621">
        <v>1000</v>
      </c>
      <c r="Z2621">
        <v>25000</v>
      </c>
      <c r="AA2621">
        <v>2111</v>
      </c>
    </row>
    <row r="2622" spans="1:27">
      <c r="A2622" s="25" t="s">
        <v>189</v>
      </c>
      <c r="B2622" t="s">
        <v>203</v>
      </c>
      <c r="C2622">
        <v>13935.47042029419</v>
      </c>
      <c r="D2622">
        <v>5000</v>
      </c>
      <c r="E2622">
        <v>100</v>
      </c>
      <c r="F2622">
        <v>800000</v>
      </c>
      <c r="G2622">
        <v>7556.990859183119</v>
      </c>
      <c r="H2622">
        <v>5000</v>
      </c>
      <c r="I2622">
        <v>100</v>
      </c>
      <c r="J2622">
        <v>200000</v>
      </c>
      <c r="K2622">
        <v>8951.0272869466044</v>
      </c>
      <c r="L2622">
        <v>5000</v>
      </c>
      <c r="M2622">
        <v>100</v>
      </c>
      <c r="N2622">
        <v>1745823</v>
      </c>
      <c r="O2622">
        <v>6808.1293339453359</v>
      </c>
      <c r="P2622">
        <v>3600</v>
      </c>
      <c r="Q2622">
        <v>100</v>
      </c>
      <c r="R2622">
        <v>140000</v>
      </c>
      <c r="S2622">
        <v>13114.23307487149</v>
      </c>
      <c r="T2622">
        <v>6000</v>
      </c>
      <c r="U2622">
        <v>150</v>
      </c>
      <c r="V2622">
        <v>600000</v>
      </c>
      <c r="W2622">
        <v>14388.021156497591</v>
      </c>
      <c r="X2622">
        <v>5000</v>
      </c>
      <c r="Y2622">
        <v>100</v>
      </c>
      <c r="Z2622">
        <v>500000</v>
      </c>
      <c r="AA2622">
        <v>2111</v>
      </c>
    </row>
    <row r="2623" spans="1:27">
      <c r="A2623" s="25" t="s">
        <v>189</v>
      </c>
      <c r="B2623" t="s">
        <v>204</v>
      </c>
      <c r="C2623">
        <v>7158.6014365931633</v>
      </c>
      <c r="D2623">
        <v>2000</v>
      </c>
      <c r="E2623">
        <v>2000</v>
      </c>
      <c r="F2623">
        <v>30000</v>
      </c>
      <c r="G2623">
        <v>2662.5853574787998</v>
      </c>
      <c r="H2623">
        <v>2500</v>
      </c>
      <c r="I2623">
        <v>2000</v>
      </c>
      <c r="J2623">
        <v>5500</v>
      </c>
      <c r="K2623">
        <v>3544.7761420989218</v>
      </c>
      <c r="L2623">
        <v>5000</v>
      </c>
      <c r="M2623">
        <v>500</v>
      </c>
      <c r="N2623">
        <v>15000</v>
      </c>
      <c r="O2623">
        <v>6000</v>
      </c>
      <c r="P2623">
        <v>6000</v>
      </c>
      <c r="Q2623">
        <v>6000</v>
      </c>
      <c r="R2623">
        <v>6000</v>
      </c>
      <c r="S2623">
        <v>5000</v>
      </c>
      <c r="T2623">
        <v>5000</v>
      </c>
      <c r="U2623">
        <v>5000</v>
      </c>
      <c r="V2623">
        <v>5000</v>
      </c>
      <c r="AA2623">
        <v>2111</v>
      </c>
    </row>
    <row r="2624" spans="1:27">
      <c r="A2624" s="25" t="s">
        <v>189</v>
      </c>
      <c r="B2624" t="s">
        <v>205</v>
      </c>
      <c r="C2624">
        <v>17316.603051765829</v>
      </c>
      <c r="D2624">
        <v>8000</v>
      </c>
      <c r="E2624">
        <v>200</v>
      </c>
      <c r="F2624">
        <v>400000</v>
      </c>
      <c r="G2624">
        <v>11789.23646733975</v>
      </c>
      <c r="H2624">
        <v>8000</v>
      </c>
      <c r="I2624">
        <v>100</v>
      </c>
      <c r="J2624">
        <v>200000</v>
      </c>
      <c r="K2624">
        <v>15773.8558630763</v>
      </c>
      <c r="L2624">
        <v>6000</v>
      </c>
      <c r="M2624">
        <v>100</v>
      </c>
      <c r="N2624">
        <v>500000</v>
      </c>
      <c r="O2624">
        <v>11186.51706608217</v>
      </c>
      <c r="P2624">
        <v>6000</v>
      </c>
      <c r="Q2624">
        <v>100</v>
      </c>
      <c r="R2624">
        <v>360000</v>
      </c>
      <c r="S2624">
        <v>24774.14766693053</v>
      </c>
      <c r="T2624">
        <v>12000</v>
      </c>
      <c r="U2624">
        <v>300</v>
      </c>
      <c r="V2624">
        <v>570000</v>
      </c>
      <c r="W2624">
        <v>21863.676118818468</v>
      </c>
      <c r="X2624">
        <v>9000</v>
      </c>
      <c r="Y2624">
        <v>300</v>
      </c>
      <c r="Z2624">
        <v>242800</v>
      </c>
      <c r="AA2624">
        <v>2111</v>
      </c>
    </row>
    <row r="2625" spans="1:27">
      <c r="A2625" s="25" t="s">
        <v>192</v>
      </c>
      <c r="B2625" t="s">
        <v>192</v>
      </c>
      <c r="C2625">
        <v>14977.213772484271</v>
      </c>
      <c r="D2625">
        <v>5000</v>
      </c>
      <c r="E2625">
        <v>100</v>
      </c>
      <c r="F2625">
        <v>800000</v>
      </c>
      <c r="G2625">
        <v>8433.0688713998625</v>
      </c>
      <c r="H2625">
        <v>5000</v>
      </c>
      <c r="I2625">
        <v>100</v>
      </c>
      <c r="J2625">
        <v>200000</v>
      </c>
      <c r="K2625">
        <v>10048.07139545405</v>
      </c>
      <c r="L2625">
        <v>5000</v>
      </c>
      <c r="M2625">
        <v>100</v>
      </c>
      <c r="N2625">
        <v>1745823</v>
      </c>
      <c r="O2625">
        <v>7887.5459820665474</v>
      </c>
      <c r="P2625">
        <v>4300</v>
      </c>
      <c r="Q2625">
        <v>100</v>
      </c>
      <c r="R2625">
        <v>360000</v>
      </c>
      <c r="S2625">
        <v>17531.106768147602</v>
      </c>
      <c r="T2625">
        <v>8000</v>
      </c>
      <c r="U2625">
        <v>150</v>
      </c>
      <c r="V2625">
        <v>600000</v>
      </c>
      <c r="W2625">
        <v>16114.82479757617</v>
      </c>
      <c r="X2625">
        <v>6000</v>
      </c>
      <c r="Y2625">
        <v>100</v>
      </c>
      <c r="Z2625">
        <v>500000</v>
      </c>
      <c r="AA2625">
        <v>2111</v>
      </c>
    </row>
    <row r="2627" spans="1:27" ht="43.5">
      <c r="A2627" s="25" t="s">
        <v>848</v>
      </c>
    </row>
    <row r="2628" spans="1:27">
      <c r="A2628" s="25" t="s">
        <v>181</v>
      </c>
      <c r="B2628" t="s">
        <v>182</v>
      </c>
      <c r="C2628" t="s">
        <v>821</v>
      </c>
      <c r="D2628" t="s">
        <v>822</v>
      </c>
      <c r="E2628" t="s">
        <v>823</v>
      </c>
      <c r="F2628" t="s">
        <v>824</v>
      </c>
      <c r="G2628" t="s">
        <v>825</v>
      </c>
      <c r="H2628" t="s">
        <v>826</v>
      </c>
      <c r="I2628" t="s">
        <v>827</v>
      </c>
      <c r="J2628" t="s">
        <v>828</v>
      </c>
      <c r="K2628" t="s">
        <v>829</v>
      </c>
      <c r="L2628" t="s">
        <v>830</v>
      </c>
      <c r="M2628" t="s">
        <v>831</v>
      </c>
      <c r="N2628" t="s">
        <v>832</v>
      </c>
      <c r="O2628" t="s">
        <v>833</v>
      </c>
      <c r="P2628" t="s">
        <v>834</v>
      </c>
      <c r="Q2628" t="s">
        <v>835</v>
      </c>
      <c r="R2628" t="s">
        <v>836</v>
      </c>
      <c r="S2628" t="s">
        <v>837</v>
      </c>
      <c r="T2628" t="s">
        <v>838</v>
      </c>
      <c r="U2628" t="s">
        <v>839</v>
      </c>
      <c r="V2628" t="s">
        <v>840</v>
      </c>
      <c r="W2628" t="s">
        <v>841</v>
      </c>
      <c r="X2628" t="s">
        <v>842</v>
      </c>
      <c r="Y2628" t="s">
        <v>843</v>
      </c>
      <c r="Z2628" t="s">
        <v>844</v>
      </c>
      <c r="AA2628" t="s">
        <v>188</v>
      </c>
    </row>
    <row r="2629" spans="1:27">
      <c r="A2629" s="25" t="s">
        <v>189</v>
      </c>
      <c r="B2629" t="s">
        <v>207</v>
      </c>
      <c r="C2629">
        <v>13911.07303708361</v>
      </c>
      <c r="D2629">
        <v>5000</v>
      </c>
      <c r="E2629">
        <v>100</v>
      </c>
      <c r="F2629">
        <v>579000</v>
      </c>
      <c r="G2629">
        <v>8736.624583994053</v>
      </c>
      <c r="H2629">
        <v>6000</v>
      </c>
      <c r="I2629">
        <v>100</v>
      </c>
      <c r="J2629">
        <v>200000</v>
      </c>
      <c r="K2629">
        <v>10143.535321810061</v>
      </c>
      <c r="L2629">
        <v>5000</v>
      </c>
      <c r="M2629">
        <v>100</v>
      </c>
      <c r="N2629">
        <v>1745823</v>
      </c>
      <c r="O2629">
        <v>7773.0380143550647</v>
      </c>
      <c r="P2629">
        <v>4200</v>
      </c>
      <c r="Q2629">
        <v>100</v>
      </c>
      <c r="R2629">
        <v>360000</v>
      </c>
      <c r="S2629">
        <v>19157.220476762988</v>
      </c>
      <c r="T2629">
        <v>9000</v>
      </c>
      <c r="U2629">
        <v>300</v>
      </c>
      <c r="V2629">
        <v>570000</v>
      </c>
      <c r="W2629">
        <v>15020.231601504531</v>
      </c>
      <c r="X2629">
        <v>6000</v>
      </c>
      <c r="Y2629">
        <v>150</v>
      </c>
      <c r="Z2629">
        <v>500000</v>
      </c>
      <c r="AA2629">
        <v>2111</v>
      </c>
    </row>
    <row r="2630" spans="1:27">
      <c r="A2630" s="25" t="s">
        <v>189</v>
      </c>
      <c r="B2630" t="s">
        <v>208</v>
      </c>
      <c r="C2630">
        <v>11016.047853079859</v>
      </c>
      <c r="D2630">
        <v>3000</v>
      </c>
      <c r="E2630">
        <v>140</v>
      </c>
      <c r="F2630">
        <v>160000</v>
      </c>
      <c r="G2630">
        <v>5055.7963237999902</v>
      </c>
      <c r="H2630">
        <v>3000</v>
      </c>
      <c r="I2630">
        <v>100</v>
      </c>
      <c r="J2630">
        <v>120000</v>
      </c>
      <c r="K2630">
        <v>8442.3828310078734</v>
      </c>
      <c r="L2630">
        <v>3600</v>
      </c>
      <c r="M2630">
        <v>100</v>
      </c>
      <c r="N2630">
        <v>500000</v>
      </c>
      <c r="O2630">
        <v>9615.973790756685</v>
      </c>
      <c r="P2630">
        <v>8000</v>
      </c>
      <c r="Q2630">
        <v>150</v>
      </c>
      <c r="R2630">
        <v>60000</v>
      </c>
      <c r="S2630">
        <v>6480.6580745666779</v>
      </c>
      <c r="T2630">
        <v>6000</v>
      </c>
      <c r="U2630">
        <v>150</v>
      </c>
      <c r="V2630">
        <v>100000</v>
      </c>
      <c r="W2630">
        <v>13404.15811356644</v>
      </c>
      <c r="X2630">
        <v>4900</v>
      </c>
      <c r="Y2630">
        <v>100</v>
      </c>
      <c r="Z2630">
        <v>400000</v>
      </c>
      <c r="AA2630">
        <v>2111</v>
      </c>
    </row>
    <row r="2631" spans="1:27">
      <c r="A2631" s="25" t="s">
        <v>189</v>
      </c>
      <c r="B2631" t="s">
        <v>209</v>
      </c>
      <c r="C2631">
        <v>27402.684334984449</v>
      </c>
      <c r="D2631">
        <v>10000</v>
      </c>
      <c r="E2631">
        <v>300</v>
      </c>
      <c r="F2631">
        <v>800000</v>
      </c>
      <c r="G2631">
        <v>11082.42179665225</v>
      </c>
      <c r="H2631">
        <v>8000</v>
      </c>
      <c r="I2631">
        <v>250</v>
      </c>
      <c r="J2631">
        <v>100000</v>
      </c>
      <c r="K2631">
        <v>13231.086375957861</v>
      </c>
      <c r="L2631">
        <v>6000</v>
      </c>
      <c r="M2631">
        <v>300</v>
      </c>
      <c r="N2631">
        <v>250000</v>
      </c>
      <c r="O2631">
        <v>7794.8499993604246</v>
      </c>
      <c r="P2631">
        <v>4000</v>
      </c>
      <c r="Q2631">
        <v>100</v>
      </c>
      <c r="R2631">
        <v>240000</v>
      </c>
      <c r="S2631">
        <v>23295.205414185151</v>
      </c>
      <c r="T2631">
        <v>10000</v>
      </c>
      <c r="U2631">
        <v>250</v>
      </c>
      <c r="V2631">
        <v>600000</v>
      </c>
      <c r="W2631">
        <v>40288.34315863283</v>
      </c>
      <c r="X2631">
        <v>7000</v>
      </c>
      <c r="Y2631">
        <v>300</v>
      </c>
      <c r="Z2631">
        <v>242800</v>
      </c>
      <c r="AA2631">
        <v>2111</v>
      </c>
    </row>
    <row r="2632" spans="1:27">
      <c r="A2632" s="25" t="s">
        <v>192</v>
      </c>
      <c r="B2632" t="s">
        <v>192</v>
      </c>
      <c r="C2632">
        <v>14977.213772484271</v>
      </c>
      <c r="D2632">
        <v>5000</v>
      </c>
      <c r="E2632">
        <v>100</v>
      </c>
      <c r="F2632">
        <v>800000</v>
      </c>
      <c r="G2632">
        <v>8433.0688713998625</v>
      </c>
      <c r="H2632">
        <v>5000</v>
      </c>
      <c r="I2632">
        <v>100</v>
      </c>
      <c r="J2632">
        <v>200000</v>
      </c>
      <c r="K2632">
        <v>10048.07139545405</v>
      </c>
      <c r="L2632">
        <v>5000</v>
      </c>
      <c r="M2632">
        <v>100</v>
      </c>
      <c r="N2632">
        <v>1745823</v>
      </c>
      <c r="O2632">
        <v>7887.5459820665474</v>
      </c>
      <c r="P2632">
        <v>4300</v>
      </c>
      <c r="Q2632">
        <v>100</v>
      </c>
      <c r="R2632">
        <v>360000</v>
      </c>
      <c r="S2632">
        <v>17531.106768147602</v>
      </c>
      <c r="T2632">
        <v>8000</v>
      </c>
      <c r="U2632">
        <v>150</v>
      </c>
      <c r="V2632">
        <v>600000</v>
      </c>
      <c r="W2632">
        <v>16114.82479757617</v>
      </c>
      <c r="X2632">
        <v>6000</v>
      </c>
      <c r="Y2632">
        <v>100</v>
      </c>
      <c r="Z2632">
        <v>500000</v>
      </c>
      <c r="AA2632">
        <v>2111</v>
      </c>
    </row>
    <row r="2634" spans="1:27" ht="43.5">
      <c r="A2634" s="25" t="s">
        <v>849</v>
      </c>
    </row>
    <row r="2635" spans="1:27">
      <c r="A2635" s="25" t="s">
        <v>181</v>
      </c>
      <c r="B2635" t="s">
        <v>182</v>
      </c>
      <c r="C2635" t="s">
        <v>821</v>
      </c>
      <c r="D2635" t="s">
        <v>822</v>
      </c>
      <c r="E2635" t="s">
        <v>823</v>
      </c>
      <c r="F2635" t="s">
        <v>824</v>
      </c>
      <c r="G2635" t="s">
        <v>825</v>
      </c>
      <c r="H2635" t="s">
        <v>826</v>
      </c>
      <c r="I2635" t="s">
        <v>827</v>
      </c>
      <c r="J2635" t="s">
        <v>828</v>
      </c>
      <c r="K2635" t="s">
        <v>829</v>
      </c>
      <c r="L2635" t="s">
        <v>830</v>
      </c>
      <c r="M2635" t="s">
        <v>831</v>
      </c>
      <c r="N2635" t="s">
        <v>832</v>
      </c>
      <c r="O2635" t="s">
        <v>833</v>
      </c>
      <c r="P2635" t="s">
        <v>834</v>
      </c>
      <c r="Q2635" t="s">
        <v>835</v>
      </c>
      <c r="R2635" t="s">
        <v>836</v>
      </c>
      <c r="S2635" t="s">
        <v>837</v>
      </c>
      <c r="T2635" t="s">
        <v>838</v>
      </c>
      <c r="U2635" t="s">
        <v>839</v>
      </c>
      <c r="V2635" t="s">
        <v>840</v>
      </c>
      <c r="W2635" t="s">
        <v>841</v>
      </c>
      <c r="X2635" t="s">
        <v>842</v>
      </c>
      <c r="Y2635" t="s">
        <v>843</v>
      </c>
      <c r="Z2635" t="s">
        <v>844</v>
      </c>
      <c r="AA2635" t="s">
        <v>188</v>
      </c>
    </row>
    <row r="2636" spans="1:27">
      <c r="A2636" s="25" t="s">
        <v>189</v>
      </c>
      <c r="B2636" t="s">
        <v>211</v>
      </c>
      <c r="C2636">
        <v>15135.88569471066</v>
      </c>
      <c r="D2636">
        <v>6000</v>
      </c>
      <c r="E2636">
        <v>200</v>
      </c>
      <c r="F2636">
        <v>800000</v>
      </c>
      <c r="G2636">
        <v>8985.7183264862742</v>
      </c>
      <c r="H2636">
        <v>6000</v>
      </c>
      <c r="I2636">
        <v>100</v>
      </c>
      <c r="J2636">
        <v>200000</v>
      </c>
      <c r="K2636">
        <v>10498.965694818169</v>
      </c>
      <c r="L2636">
        <v>5000</v>
      </c>
      <c r="M2636">
        <v>100</v>
      </c>
      <c r="N2636">
        <v>1745823</v>
      </c>
      <c r="O2636">
        <v>8214.5901268757643</v>
      </c>
      <c r="P2636">
        <v>5000</v>
      </c>
      <c r="Q2636">
        <v>100</v>
      </c>
      <c r="R2636">
        <v>360000</v>
      </c>
      <c r="S2636">
        <v>18380.584374474362</v>
      </c>
      <c r="T2636">
        <v>10000</v>
      </c>
      <c r="U2636">
        <v>250</v>
      </c>
      <c r="V2636">
        <v>600000</v>
      </c>
      <c r="W2636">
        <v>14207.22173011282</v>
      </c>
      <c r="X2636">
        <v>6000</v>
      </c>
      <c r="Y2636">
        <v>150</v>
      </c>
      <c r="Z2636">
        <v>320000</v>
      </c>
      <c r="AA2636">
        <v>2111</v>
      </c>
    </row>
    <row r="2637" spans="1:27">
      <c r="A2637" s="25" t="s">
        <v>189</v>
      </c>
      <c r="B2637" t="s">
        <v>212</v>
      </c>
      <c r="C2637">
        <v>12882.53457459052</v>
      </c>
      <c r="D2637">
        <v>5000</v>
      </c>
      <c r="E2637">
        <v>100</v>
      </c>
      <c r="F2637">
        <v>325000</v>
      </c>
      <c r="G2637">
        <v>6526.1435292800334</v>
      </c>
      <c r="H2637">
        <v>4000</v>
      </c>
      <c r="I2637">
        <v>100</v>
      </c>
      <c r="J2637">
        <v>120000</v>
      </c>
      <c r="K2637">
        <v>8096.7273254745078</v>
      </c>
      <c r="L2637">
        <v>5000</v>
      </c>
      <c r="M2637">
        <v>100</v>
      </c>
      <c r="N2637">
        <v>350000</v>
      </c>
      <c r="O2637">
        <v>6750.6401627025216</v>
      </c>
      <c r="P2637">
        <v>3000</v>
      </c>
      <c r="Q2637">
        <v>100</v>
      </c>
      <c r="R2637">
        <v>78000</v>
      </c>
      <c r="S2637">
        <v>7899.5680724973308</v>
      </c>
      <c r="T2637">
        <v>5000</v>
      </c>
      <c r="U2637">
        <v>150</v>
      </c>
      <c r="V2637">
        <v>70000</v>
      </c>
      <c r="W2637">
        <v>7522.8833097110146</v>
      </c>
      <c r="X2637">
        <v>4000</v>
      </c>
      <c r="Y2637">
        <v>100</v>
      </c>
      <c r="Z2637">
        <v>110000</v>
      </c>
      <c r="AA2637">
        <v>2111</v>
      </c>
    </row>
    <row r="2638" spans="1:27">
      <c r="A2638" s="25" t="s">
        <v>189</v>
      </c>
      <c r="B2638" t="s">
        <v>213</v>
      </c>
      <c r="C2638">
        <v>16523.52831694415</v>
      </c>
      <c r="D2638">
        <v>5000</v>
      </c>
      <c r="E2638">
        <v>150</v>
      </c>
      <c r="F2638">
        <v>400000</v>
      </c>
      <c r="G2638">
        <v>9201.1465553867802</v>
      </c>
      <c r="H2638">
        <v>6000</v>
      </c>
      <c r="I2638">
        <v>100</v>
      </c>
      <c r="J2638">
        <v>200000</v>
      </c>
      <c r="K2638">
        <v>12037.174604078609</v>
      </c>
      <c r="L2638">
        <v>4500</v>
      </c>
      <c r="M2638">
        <v>100</v>
      </c>
      <c r="N2638">
        <v>500000</v>
      </c>
      <c r="O2638">
        <v>8362.0885780240951</v>
      </c>
      <c r="P2638">
        <v>5000</v>
      </c>
      <c r="Q2638">
        <v>150</v>
      </c>
      <c r="R2638">
        <v>100000</v>
      </c>
      <c r="S2638">
        <v>26252.940789416811</v>
      </c>
      <c r="T2638">
        <v>8000</v>
      </c>
      <c r="U2638">
        <v>300</v>
      </c>
      <c r="V2638">
        <v>240000</v>
      </c>
      <c r="W2638">
        <v>27831.57325578505</v>
      </c>
      <c r="X2638">
        <v>6000</v>
      </c>
      <c r="Y2638">
        <v>100</v>
      </c>
      <c r="Z2638">
        <v>500000</v>
      </c>
      <c r="AA2638">
        <v>2111</v>
      </c>
    </row>
    <row r="2639" spans="1:27">
      <c r="A2639" s="25" t="s">
        <v>192</v>
      </c>
      <c r="B2639" t="s">
        <v>192</v>
      </c>
      <c r="C2639">
        <v>14977.213772484271</v>
      </c>
      <c r="D2639">
        <v>5000</v>
      </c>
      <c r="E2639">
        <v>100</v>
      </c>
      <c r="F2639">
        <v>800000</v>
      </c>
      <c r="G2639">
        <v>8433.0688713998625</v>
      </c>
      <c r="H2639">
        <v>5000</v>
      </c>
      <c r="I2639">
        <v>100</v>
      </c>
      <c r="J2639">
        <v>200000</v>
      </c>
      <c r="K2639">
        <v>10048.07139545405</v>
      </c>
      <c r="L2639">
        <v>5000</v>
      </c>
      <c r="M2639">
        <v>100</v>
      </c>
      <c r="N2639">
        <v>1745823</v>
      </c>
      <c r="O2639">
        <v>7887.5459820665474</v>
      </c>
      <c r="P2639">
        <v>4300</v>
      </c>
      <c r="Q2639">
        <v>100</v>
      </c>
      <c r="R2639">
        <v>360000</v>
      </c>
      <c r="S2639">
        <v>17531.106768147602</v>
      </c>
      <c r="T2639">
        <v>8000</v>
      </c>
      <c r="U2639">
        <v>150</v>
      </c>
      <c r="V2639">
        <v>600000</v>
      </c>
      <c r="W2639">
        <v>16114.82479757617</v>
      </c>
      <c r="X2639">
        <v>6000</v>
      </c>
      <c r="Y2639">
        <v>100</v>
      </c>
      <c r="Z2639">
        <v>500000</v>
      </c>
      <c r="AA2639">
        <v>2111</v>
      </c>
    </row>
    <row r="2641" spans="1:8" ht="43.5">
      <c r="A2641" s="25" t="s">
        <v>850</v>
      </c>
    </row>
    <row r="2642" spans="1:8">
      <c r="A2642" s="25" t="s">
        <v>181</v>
      </c>
      <c r="B2642" t="s">
        <v>182</v>
      </c>
      <c r="C2642" t="s">
        <v>183</v>
      </c>
      <c r="D2642" t="s">
        <v>184</v>
      </c>
      <c r="E2642" t="s">
        <v>185</v>
      </c>
      <c r="F2642" t="s">
        <v>186</v>
      </c>
      <c r="G2642" t="s">
        <v>187</v>
      </c>
      <c r="H2642" t="s">
        <v>188</v>
      </c>
    </row>
    <row r="2643" spans="1:8">
      <c r="A2643" s="25" t="s">
        <v>189</v>
      </c>
      <c r="B2643" t="s">
        <v>190</v>
      </c>
      <c r="C2643">
        <v>4944.397345765452</v>
      </c>
      <c r="D2643">
        <v>3916.6666666666702</v>
      </c>
      <c r="E2643">
        <v>50</v>
      </c>
      <c r="F2643">
        <v>129753.33333333299</v>
      </c>
      <c r="G2643">
        <v>4853</v>
      </c>
      <c r="H2643">
        <v>10319</v>
      </c>
    </row>
    <row r="2644" spans="1:8">
      <c r="A2644" s="25" t="s">
        <v>189</v>
      </c>
      <c r="B2644" t="s">
        <v>191</v>
      </c>
      <c r="C2644">
        <v>7554.8588464167024</v>
      </c>
      <c r="D2644">
        <v>5875</v>
      </c>
      <c r="E2644">
        <v>25</v>
      </c>
      <c r="F2644">
        <v>142383.33333333299</v>
      </c>
      <c r="G2644">
        <v>5417</v>
      </c>
      <c r="H2644">
        <v>10319</v>
      </c>
    </row>
    <row r="2645" spans="1:8">
      <c r="A2645" s="25" t="s">
        <v>192</v>
      </c>
      <c r="B2645" t="s">
        <v>192</v>
      </c>
      <c r="C2645">
        <v>6558.1656488156996</v>
      </c>
      <c r="D2645">
        <v>5016.6666666666697</v>
      </c>
      <c r="E2645">
        <v>25</v>
      </c>
      <c r="F2645">
        <v>142383.33333333299</v>
      </c>
      <c r="G2645">
        <v>10319</v>
      </c>
      <c r="H2645">
        <v>10319</v>
      </c>
    </row>
    <row r="2647" spans="1:8" ht="57.95">
      <c r="A2647" s="25" t="s">
        <v>851</v>
      </c>
    </row>
    <row r="2648" spans="1:8">
      <c r="A2648" s="25" t="s">
        <v>181</v>
      </c>
      <c r="B2648" t="s">
        <v>182</v>
      </c>
      <c r="C2648" t="s">
        <v>183</v>
      </c>
      <c r="D2648" t="s">
        <v>184</v>
      </c>
      <c r="E2648" t="s">
        <v>185</v>
      </c>
      <c r="F2648" t="s">
        <v>186</v>
      </c>
      <c r="G2648" t="s">
        <v>187</v>
      </c>
      <c r="H2648" t="s">
        <v>188</v>
      </c>
    </row>
    <row r="2649" spans="1:8">
      <c r="A2649" s="25" t="s">
        <v>189</v>
      </c>
      <c r="B2649" t="s">
        <v>194</v>
      </c>
      <c r="C2649">
        <v>6550.3891386199939</v>
      </c>
      <c r="D2649">
        <v>4966.6666666666697</v>
      </c>
      <c r="E2649">
        <v>66.6666666666667</v>
      </c>
      <c r="F2649">
        <v>129753.33333333299</v>
      </c>
      <c r="G2649">
        <v>5919</v>
      </c>
      <c r="H2649">
        <v>10319</v>
      </c>
    </row>
    <row r="2650" spans="1:8">
      <c r="A2650" s="25" t="s">
        <v>189</v>
      </c>
      <c r="B2650" t="s">
        <v>195</v>
      </c>
      <c r="C2650">
        <v>6784.1205546883884</v>
      </c>
      <c r="D2650">
        <v>5080</v>
      </c>
      <c r="E2650">
        <v>27.7777777777778</v>
      </c>
      <c r="F2650">
        <v>142383.33333333299</v>
      </c>
      <c r="G2650">
        <v>2678</v>
      </c>
      <c r="H2650">
        <v>10319</v>
      </c>
    </row>
    <row r="2651" spans="1:8">
      <c r="A2651" s="25" t="s">
        <v>189</v>
      </c>
      <c r="B2651" t="s">
        <v>196</v>
      </c>
      <c r="C2651">
        <v>6173.3227764135054</v>
      </c>
      <c r="D2651">
        <v>5111.1111111111104</v>
      </c>
      <c r="E2651">
        <v>25</v>
      </c>
      <c r="F2651">
        <v>50166.666666666701</v>
      </c>
      <c r="G2651">
        <v>1673</v>
      </c>
      <c r="H2651">
        <v>10319</v>
      </c>
    </row>
    <row r="2652" spans="1:8">
      <c r="A2652" s="25" t="s">
        <v>192</v>
      </c>
      <c r="B2652" t="s">
        <v>192</v>
      </c>
      <c r="C2652">
        <v>6558.1656488156996</v>
      </c>
      <c r="D2652">
        <v>5016.6666666666697</v>
      </c>
      <c r="E2652">
        <v>25</v>
      </c>
      <c r="F2652">
        <v>142383.33333333299</v>
      </c>
      <c r="G2652">
        <v>10319</v>
      </c>
      <c r="H2652">
        <v>10319</v>
      </c>
    </row>
    <row r="2654" spans="1:8" ht="43.5">
      <c r="A2654" s="25" t="s">
        <v>852</v>
      </c>
    </row>
    <row r="2655" spans="1:8">
      <c r="A2655" s="25" t="s">
        <v>181</v>
      </c>
      <c r="B2655" t="s">
        <v>182</v>
      </c>
      <c r="C2655" t="s">
        <v>183</v>
      </c>
      <c r="D2655" t="s">
        <v>184</v>
      </c>
      <c r="E2655" t="s">
        <v>185</v>
      </c>
      <c r="F2655" t="s">
        <v>186</v>
      </c>
      <c r="G2655" t="s">
        <v>187</v>
      </c>
      <c r="H2655" t="s">
        <v>188</v>
      </c>
    </row>
    <row r="2656" spans="1:8">
      <c r="A2656" s="25" t="s">
        <v>189</v>
      </c>
      <c r="B2656" t="s">
        <v>198</v>
      </c>
      <c r="C2656">
        <v>5281.8674990257523</v>
      </c>
      <c r="D2656">
        <v>4166.6666666666697</v>
      </c>
      <c r="E2656">
        <v>25</v>
      </c>
      <c r="F2656">
        <v>83900.958333333299</v>
      </c>
      <c r="G2656">
        <v>2235</v>
      </c>
      <c r="H2656">
        <v>10319</v>
      </c>
    </row>
    <row r="2657" spans="1:8">
      <c r="A2657" s="25" t="s">
        <v>189</v>
      </c>
      <c r="B2657" t="s">
        <v>199</v>
      </c>
      <c r="C2657">
        <v>6843.7371400614365</v>
      </c>
      <c r="D2657">
        <v>5238.8888888888896</v>
      </c>
      <c r="E2657">
        <v>50</v>
      </c>
      <c r="F2657">
        <v>142383.33333333299</v>
      </c>
      <c r="G2657">
        <v>8084</v>
      </c>
      <c r="H2657">
        <v>10319</v>
      </c>
    </row>
    <row r="2658" spans="1:8">
      <c r="A2658" s="25" t="s">
        <v>192</v>
      </c>
      <c r="B2658" t="s">
        <v>192</v>
      </c>
      <c r="C2658">
        <v>6558.1656488156996</v>
      </c>
      <c r="D2658">
        <v>5016.6666666666697</v>
      </c>
      <c r="E2658">
        <v>25</v>
      </c>
      <c r="F2658">
        <v>142383.33333333299</v>
      </c>
      <c r="G2658">
        <v>10319</v>
      </c>
      <c r="H2658">
        <v>10319</v>
      </c>
    </row>
    <row r="2660" spans="1:8" ht="43.5">
      <c r="A2660" s="25" t="s">
        <v>853</v>
      </c>
    </row>
    <row r="2661" spans="1:8">
      <c r="A2661" s="25" t="s">
        <v>181</v>
      </c>
      <c r="B2661" t="s">
        <v>182</v>
      </c>
      <c r="C2661" t="s">
        <v>183</v>
      </c>
      <c r="D2661" t="s">
        <v>184</v>
      </c>
      <c r="E2661" t="s">
        <v>185</v>
      </c>
      <c r="F2661" t="s">
        <v>186</v>
      </c>
      <c r="G2661" t="s">
        <v>187</v>
      </c>
      <c r="H2661" t="s">
        <v>188</v>
      </c>
    </row>
    <row r="2662" spans="1:8">
      <c r="A2662" s="25" t="s">
        <v>189</v>
      </c>
      <c r="B2662" t="s">
        <v>201</v>
      </c>
      <c r="C2662">
        <v>7448.0679246960299</v>
      </c>
      <c r="D2662">
        <v>6246.6666666666697</v>
      </c>
      <c r="E2662">
        <v>25</v>
      </c>
      <c r="F2662">
        <v>35275</v>
      </c>
      <c r="G2662">
        <v>756</v>
      </c>
      <c r="H2662">
        <v>10319</v>
      </c>
    </row>
    <row r="2663" spans="1:8">
      <c r="A2663" s="25" t="s">
        <v>189</v>
      </c>
      <c r="B2663" t="s">
        <v>202</v>
      </c>
      <c r="C2663">
        <v>6516.247546386825</v>
      </c>
      <c r="D2663">
        <v>4454.1666666666697</v>
      </c>
      <c r="E2663">
        <v>115</v>
      </c>
      <c r="F2663">
        <v>74683.333333333299</v>
      </c>
      <c r="G2663">
        <v>108</v>
      </c>
      <c r="H2663">
        <v>10319</v>
      </c>
    </row>
    <row r="2664" spans="1:8">
      <c r="A2664" s="25" t="s">
        <v>189</v>
      </c>
      <c r="B2664" t="s">
        <v>203</v>
      </c>
      <c r="C2664">
        <v>6002.9464635823924</v>
      </c>
      <c r="D2664">
        <v>4602.2222222222199</v>
      </c>
      <c r="E2664">
        <v>27.7777777777778</v>
      </c>
      <c r="F2664">
        <v>142383.33333333299</v>
      </c>
      <c r="G2664">
        <v>7965</v>
      </c>
      <c r="H2664">
        <v>10319</v>
      </c>
    </row>
    <row r="2665" spans="1:8">
      <c r="A2665" s="25" t="s">
        <v>189</v>
      </c>
      <c r="B2665" t="s">
        <v>204</v>
      </c>
      <c r="C2665">
        <v>4476.1589290676557</v>
      </c>
      <c r="D2665">
        <v>4096.6666666666697</v>
      </c>
      <c r="E2665">
        <v>503.33333333333297</v>
      </c>
      <c r="F2665">
        <v>16350</v>
      </c>
      <c r="G2665">
        <v>27</v>
      </c>
      <c r="H2665">
        <v>10319</v>
      </c>
    </row>
    <row r="2666" spans="1:8">
      <c r="A2666" s="25" t="s">
        <v>189</v>
      </c>
      <c r="B2666" t="s">
        <v>205</v>
      </c>
      <c r="C2666">
        <v>9309.6446845058053</v>
      </c>
      <c r="D2666">
        <v>7325</v>
      </c>
      <c r="E2666">
        <v>100</v>
      </c>
      <c r="F2666">
        <v>91633.333333333299</v>
      </c>
      <c r="G2666">
        <v>1463</v>
      </c>
      <c r="H2666">
        <v>10319</v>
      </c>
    </row>
    <row r="2667" spans="1:8">
      <c r="A2667" s="25" t="s">
        <v>192</v>
      </c>
      <c r="B2667" t="s">
        <v>192</v>
      </c>
      <c r="C2667">
        <v>6558.1656488156996</v>
      </c>
      <c r="D2667">
        <v>5016.6666666666697</v>
      </c>
      <c r="E2667">
        <v>25</v>
      </c>
      <c r="F2667">
        <v>142383.33333333299</v>
      </c>
      <c r="G2667">
        <v>10319</v>
      </c>
      <c r="H2667">
        <v>10319</v>
      </c>
    </row>
    <row r="2669" spans="1:8" ht="43.5">
      <c r="A2669" s="25" t="s">
        <v>854</v>
      </c>
    </row>
    <row r="2670" spans="1:8">
      <c r="A2670" s="25" t="s">
        <v>181</v>
      </c>
      <c r="B2670" t="s">
        <v>182</v>
      </c>
      <c r="C2670" t="s">
        <v>183</v>
      </c>
      <c r="D2670" t="s">
        <v>184</v>
      </c>
      <c r="E2670" t="s">
        <v>185</v>
      </c>
      <c r="F2670" t="s">
        <v>186</v>
      </c>
      <c r="G2670" t="s">
        <v>187</v>
      </c>
      <c r="H2670" t="s">
        <v>188</v>
      </c>
    </row>
    <row r="2671" spans="1:8">
      <c r="A2671" s="25" t="s">
        <v>189</v>
      </c>
      <c r="B2671" t="s">
        <v>207</v>
      </c>
      <c r="C2671">
        <v>6354.3157935720683</v>
      </c>
      <c r="D2671">
        <v>5100</v>
      </c>
      <c r="E2671">
        <v>25</v>
      </c>
      <c r="F2671">
        <v>86650</v>
      </c>
      <c r="G2671">
        <v>7185</v>
      </c>
      <c r="H2671">
        <v>10319</v>
      </c>
    </row>
    <row r="2672" spans="1:8">
      <c r="A2672" s="25" t="s">
        <v>189</v>
      </c>
      <c r="B2672" t="s">
        <v>208</v>
      </c>
      <c r="C2672">
        <v>7987.1253338717197</v>
      </c>
      <c r="D2672">
        <v>5416.6666666666697</v>
      </c>
      <c r="E2672">
        <v>100</v>
      </c>
      <c r="F2672">
        <v>142383.33333333299</v>
      </c>
      <c r="G2672">
        <v>2206</v>
      </c>
      <c r="H2672">
        <v>10319</v>
      </c>
    </row>
    <row r="2673" spans="1:8">
      <c r="A2673" s="25" t="s">
        <v>189</v>
      </c>
      <c r="B2673" t="s">
        <v>209</v>
      </c>
      <c r="C2673">
        <v>4294.1129495492187</v>
      </c>
      <c r="D2673">
        <v>3611.1111111111099</v>
      </c>
      <c r="E2673">
        <v>83.3333333333333</v>
      </c>
      <c r="F2673">
        <v>36236</v>
      </c>
      <c r="G2673">
        <v>928</v>
      </c>
      <c r="H2673">
        <v>10319</v>
      </c>
    </row>
    <row r="2674" spans="1:8">
      <c r="A2674" s="25" t="s">
        <v>192</v>
      </c>
      <c r="B2674" t="s">
        <v>192</v>
      </c>
      <c r="C2674">
        <v>6558.1656488156996</v>
      </c>
      <c r="D2674">
        <v>5016.6666666666697</v>
      </c>
      <c r="E2674">
        <v>25</v>
      </c>
      <c r="F2674">
        <v>142383.33333333299</v>
      </c>
      <c r="G2674">
        <v>10319</v>
      </c>
      <c r="H2674">
        <v>10319</v>
      </c>
    </row>
    <row r="2676" spans="1:8" ht="43.5">
      <c r="A2676" s="25" t="s">
        <v>855</v>
      </c>
    </row>
    <row r="2677" spans="1:8">
      <c r="A2677" s="25" t="s">
        <v>181</v>
      </c>
      <c r="B2677" t="s">
        <v>182</v>
      </c>
      <c r="C2677" t="s">
        <v>183</v>
      </c>
      <c r="D2677" t="s">
        <v>184</v>
      </c>
      <c r="E2677" t="s">
        <v>185</v>
      </c>
      <c r="F2677" t="s">
        <v>186</v>
      </c>
      <c r="G2677" t="s">
        <v>187</v>
      </c>
      <c r="H2677" t="s">
        <v>188</v>
      </c>
    </row>
    <row r="2678" spans="1:8">
      <c r="A2678" s="25" t="s">
        <v>189</v>
      </c>
      <c r="B2678" t="s">
        <v>211</v>
      </c>
      <c r="C2678">
        <v>6267.0506113330384</v>
      </c>
      <c r="D2678">
        <v>5041.6666666666697</v>
      </c>
      <c r="E2678">
        <v>25</v>
      </c>
      <c r="F2678">
        <v>83900.958333333299</v>
      </c>
      <c r="G2678">
        <v>4928</v>
      </c>
      <c r="H2678">
        <v>10319</v>
      </c>
    </row>
    <row r="2679" spans="1:8">
      <c r="A2679" s="25" t="s">
        <v>189</v>
      </c>
      <c r="B2679" t="s">
        <v>212</v>
      </c>
      <c r="C2679">
        <v>5990.3640123938067</v>
      </c>
      <c r="D2679">
        <v>4666.6666666666697</v>
      </c>
      <c r="E2679">
        <v>66.6666666666667</v>
      </c>
      <c r="F2679">
        <v>129753.33333333299</v>
      </c>
      <c r="G2679">
        <v>3331</v>
      </c>
      <c r="H2679">
        <v>10319</v>
      </c>
    </row>
    <row r="2680" spans="1:8">
      <c r="A2680" s="25" t="s">
        <v>189</v>
      </c>
      <c r="B2680" t="s">
        <v>213</v>
      </c>
      <c r="C2680">
        <v>7989.1311967276533</v>
      </c>
      <c r="D2680">
        <v>5500</v>
      </c>
      <c r="E2680">
        <v>27.7777777777778</v>
      </c>
      <c r="F2680">
        <v>142383.33333333299</v>
      </c>
      <c r="G2680">
        <v>2060</v>
      </c>
      <c r="H2680">
        <v>10319</v>
      </c>
    </row>
    <row r="2681" spans="1:8">
      <c r="A2681" s="25" t="s">
        <v>192</v>
      </c>
      <c r="B2681" t="s">
        <v>192</v>
      </c>
      <c r="C2681">
        <v>6558.1656488156996</v>
      </c>
      <c r="D2681">
        <v>5016.6666666666697</v>
      </c>
      <c r="E2681">
        <v>25</v>
      </c>
      <c r="F2681">
        <v>142383.33333333299</v>
      </c>
      <c r="G2681">
        <v>10319</v>
      </c>
      <c r="H2681">
        <v>10319</v>
      </c>
    </row>
    <row r="2683" spans="1:8" ht="43.5">
      <c r="A2683" s="25" t="s">
        <v>856</v>
      </c>
    </row>
    <row r="2684" spans="1:8">
      <c r="A2684" s="25" t="s">
        <v>181</v>
      </c>
      <c r="B2684" t="s">
        <v>182</v>
      </c>
      <c r="C2684" t="s">
        <v>183</v>
      </c>
      <c r="D2684" t="s">
        <v>184</v>
      </c>
      <c r="E2684" t="s">
        <v>185</v>
      </c>
      <c r="F2684" t="s">
        <v>186</v>
      </c>
      <c r="G2684" t="s">
        <v>187</v>
      </c>
      <c r="H2684" t="s">
        <v>188</v>
      </c>
    </row>
    <row r="2685" spans="1:8">
      <c r="A2685" s="25" t="s">
        <v>189</v>
      </c>
      <c r="B2685" t="s">
        <v>190</v>
      </c>
      <c r="C2685">
        <v>12766.214697102119</v>
      </c>
      <c r="D2685">
        <v>9250</v>
      </c>
      <c r="E2685">
        <v>100</v>
      </c>
      <c r="F2685">
        <v>335603.83333333302</v>
      </c>
      <c r="G2685">
        <v>4853</v>
      </c>
      <c r="H2685">
        <v>10319</v>
      </c>
    </row>
    <row r="2686" spans="1:8">
      <c r="A2686" s="25" t="s">
        <v>189</v>
      </c>
      <c r="B2686" t="s">
        <v>191</v>
      </c>
      <c r="C2686">
        <v>16707.470107599289</v>
      </c>
      <c r="D2686">
        <v>13200</v>
      </c>
      <c r="E2686">
        <v>50</v>
      </c>
      <c r="F2686">
        <v>173300</v>
      </c>
      <c r="G2686">
        <v>5417</v>
      </c>
      <c r="H2686">
        <v>10319</v>
      </c>
    </row>
    <row r="2687" spans="1:8">
      <c r="A2687" s="25" t="s">
        <v>192</v>
      </c>
      <c r="B2687" t="s">
        <v>192</v>
      </c>
      <c r="C2687">
        <v>15203.349523446161</v>
      </c>
      <c r="D2687">
        <v>11525</v>
      </c>
      <c r="E2687">
        <v>50</v>
      </c>
      <c r="F2687">
        <v>335603.83333333302</v>
      </c>
      <c r="G2687">
        <v>10319</v>
      </c>
      <c r="H2687">
        <v>10319</v>
      </c>
    </row>
    <row r="2689" spans="1:8" ht="57.95">
      <c r="A2689" s="25" t="s">
        <v>857</v>
      </c>
    </row>
    <row r="2690" spans="1:8">
      <c r="A2690" s="25" t="s">
        <v>181</v>
      </c>
      <c r="B2690" t="s">
        <v>182</v>
      </c>
      <c r="C2690" t="s">
        <v>183</v>
      </c>
      <c r="D2690" t="s">
        <v>184</v>
      </c>
      <c r="E2690" t="s">
        <v>185</v>
      </c>
      <c r="F2690" t="s">
        <v>186</v>
      </c>
      <c r="G2690" t="s">
        <v>187</v>
      </c>
      <c r="H2690" t="s">
        <v>188</v>
      </c>
    </row>
    <row r="2691" spans="1:8">
      <c r="A2691" s="25" t="s">
        <v>189</v>
      </c>
      <c r="B2691" t="s">
        <v>194</v>
      </c>
      <c r="C2691">
        <v>15385.132262159141</v>
      </c>
      <c r="D2691">
        <v>11300</v>
      </c>
      <c r="E2691">
        <v>150</v>
      </c>
      <c r="F2691">
        <v>335603.83333333302</v>
      </c>
      <c r="G2691">
        <v>5919</v>
      </c>
      <c r="H2691">
        <v>10319</v>
      </c>
    </row>
    <row r="2692" spans="1:8">
      <c r="A2692" s="25" t="s">
        <v>189</v>
      </c>
      <c r="B2692" t="s">
        <v>195</v>
      </c>
      <c r="C2692">
        <v>14924.50409941527</v>
      </c>
      <c r="D2692">
        <v>12100</v>
      </c>
      <c r="E2692">
        <v>83.3333333333333</v>
      </c>
      <c r="F2692">
        <v>173300</v>
      </c>
      <c r="G2692">
        <v>2678</v>
      </c>
      <c r="H2692">
        <v>10319</v>
      </c>
    </row>
    <row r="2693" spans="1:8">
      <c r="A2693" s="25" t="s">
        <v>189</v>
      </c>
      <c r="B2693" t="s">
        <v>196</v>
      </c>
      <c r="C2693">
        <v>14412.62968983909</v>
      </c>
      <c r="D2693">
        <v>11633.333333333299</v>
      </c>
      <c r="E2693">
        <v>50</v>
      </c>
      <c r="F2693">
        <v>124966.66666666701</v>
      </c>
      <c r="G2693">
        <v>1673</v>
      </c>
      <c r="H2693">
        <v>10319</v>
      </c>
    </row>
    <row r="2694" spans="1:8">
      <c r="A2694" s="25" t="s">
        <v>192</v>
      </c>
      <c r="B2694" t="s">
        <v>192</v>
      </c>
      <c r="C2694">
        <v>15203.349523446161</v>
      </c>
      <c r="D2694">
        <v>11525</v>
      </c>
      <c r="E2694">
        <v>50</v>
      </c>
      <c r="F2694">
        <v>335603.83333333302</v>
      </c>
      <c r="G2694">
        <v>10319</v>
      </c>
      <c r="H2694">
        <v>10319</v>
      </c>
    </row>
    <row r="2696" spans="1:8" ht="43.5">
      <c r="A2696" s="25" t="s">
        <v>858</v>
      </c>
    </row>
    <row r="2697" spans="1:8">
      <c r="A2697" s="25" t="s">
        <v>181</v>
      </c>
      <c r="B2697" t="s">
        <v>182</v>
      </c>
      <c r="C2697" t="s">
        <v>183</v>
      </c>
      <c r="D2697" t="s">
        <v>184</v>
      </c>
      <c r="E2697" t="s">
        <v>185</v>
      </c>
      <c r="F2697" t="s">
        <v>186</v>
      </c>
      <c r="G2697" t="s">
        <v>187</v>
      </c>
      <c r="H2697" t="s">
        <v>188</v>
      </c>
    </row>
    <row r="2698" spans="1:8">
      <c r="A2698" s="25" t="s">
        <v>189</v>
      </c>
      <c r="B2698" t="s">
        <v>198</v>
      </c>
      <c r="C2698">
        <v>12713.888732517051</v>
      </c>
      <c r="D2698">
        <v>8396.6666666666697</v>
      </c>
      <c r="E2698">
        <v>50</v>
      </c>
      <c r="F2698">
        <v>335603.83333333302</v>
      </c>
      <c r="G2698">
        <v>2235</v>
      </c>
      <c r="H2698">
        <v>10319</v>
      </c>
    </row>
    <row r="2699" spans="1:8">
      <c r="A2699" s="25" t="s">
        <v>189</v>
      </c>
      <c r="B2699" t="s">
        <v>199</v>
      </c>
      <c r="C2699">
        <v>15760.36594674853</v>
      </c>
      <c r="D2699">
        <v>12466.666666666701</v>
      </c>
      <c r="E2699">
        <v>100</v>
      </c>
      <c r="F2699">
        <v>181180</v>
      </c>
      <c r="G2699">
        <v>8084</v>
      </c>
      <c r="H2699">
        <v>10319</v>
      </c>
    </row>
    <row r="2700" spans="1:8">
      <c r="A2700" s="25" t="s">
        <v>192</v>
      </c>
      <c r="B2700" t="s">
        <v>192</v>
      </c>
      <c r="C2700">
        <v>15203.349523446161</v>
      </c>
      <c r="D2700">
        <v>11525</v>
      </c>
      <c r="E2700">
        <v>50</v>
      </c>
      <c r="F2700">
        <v>335603.83333333302</v>
      </c>
      <c r="G2700">
        <v>10319</v>
      </c>
      <c r="H2700">
        <v>10319</v>
      </c>
    </row>
    <row r="2702" spans="1:8" ht="43.5">
      <c r="A2702" s="25" t="s">
        <v>859</v>
      </c>
    </row>
    <row r="2703" spans="1:8">
      <c r="A2703" s="25" t="s">
        <v>181</v>
      </c>
      <c r="B2703" t="s">
        <v>182</v>
      </c>
      <c r="C2703" t="s">
        <v>183</v>
      </c>
      <c r="D2703" t="s">
        <v>184</v>
      </c>
      <c r="E2703" t="s">
        <v>185</v>
      </c>
      <c r="F2703" t="s">
        <v>186</v>
      </c>
      <c r="G2703" t="s">
        <v>187</v>
      </c>
      <c r="H2703" t="s">
        <v>188</v>
      </c>
    </row>
    <row r="2704" spans="1:8">
      <c r="A2704" s="25" t="s">
        <v>189</v>
      </c>
      <c r="B2704" t="s">
        <v>201</v>
      </c>
      <c r="C2704">
        <v>19998.08115325325</v>
      </c>
      <c r="D2704">
        <v>15350</v>
      </c>
      <c r="E2704">
        <v>50</v>
      </c>
      <c r="F2704">
        <v>119833.33333333299</v>
      </c>
      <c r="G2704">
        <v>756</v>
      </c>
      <c r="H2704">
        <v>10319</v>
      </c>
    </row>
    <row r="2705" spans="1:8">
      <c r="A2705" s="25" t="s">
        <v>189</v>
      </c>
      <c r="B2705" t="s">
        <v>202</v>
      </c>
      <c r="C2705">
        <v>16728.86498382116</v>
      </c>
      <c r="D2705">
        <v>12100</v>
      </c>
      <c r="E2705">
        <v>230</v>
      </c>
      <c r="F2705">
        <v>149366.66666666701</v>
      </c>
      <c r="G2705">
        <v>108</v>
      </c>
      <c r="H2705">
        <v>10319</v>
      </c>
    </row>
    <row r="2706" spans="1:8">
      <c r="A2706" s="25" t="s">
        <v>189</v>
      </c>
      <c r="B2706" t="s">
        <v>203</v>
      </c>
      <c r="C2706">
        <v>13427.713563890209</v>
      </c>
      <c r="D2706">
        <v>10266.666666666701</v>
      </c>
      <c r="E2706">
        <v>83.3333333333333</v>
      </c>
      <c r="F2706">
        <v>335603.83333333302</v>
      </c>
      <c r="G2706">
        <v>7965</v>
      </c>
      <c r="H2706">
        <v>10319</v>
      </c>
    </row>
    <row r="2707" spans="1:8">
      <c r="A2707" s="25" t="s">
        <v>189</v>
      </c>
      <c r="B2707" t="s">
        <v>204</v>
      </c>
      <c r="C2707">
        <v>9611.1724044850944</v>
      </c>
      <c r="D2707">
        <v>8000</v>
      </c>
      <c r="E2707">
        <v>2516.6666666666702</v>
      </c>
      <c r="F2707">
        <v>38200</v>
      </c>
      <c r="G2707">
        <v>27</v>
      </c>
      <c r="H2707">
        <v>10319</v>
      </c>
    </row>
    <row r="2708" spans="1:8">
      <c r="A2708" s="25" t="s">
        <v>189</v>
      </c>
      <c r="B2708" t="s">
        <v>205</v>
      </c>
      <c r="C2708">
        <v>22937.682842982169</v>
      </c>
      <c r="D2708">
        <v>18866.666666666701</v>
      </c>
      <c r="E2708">
        <v>200</v>
      </c>
      <c r="F2708">
        <v>133333.33333333299</v>
      </c>
      <c r="G2708">
        <v>1463</v>
      </c>
      <c r="H2708">
        <v>10319</v>
      </c>
    </row>
    <row r="2709" spans="1:8">
      <c r="A2709" s="25" t="s">
        <v>192</v>
      </c>
      <c r="B2709" t="s">
        <v>192</v>
      </c>
      <c r="C2709">
        <v>15203.349523446161</v>
      </c>
      <c r="D2709">
        <v>11525</v>
      </c>
      <c r="E2709">
        <v>50</v>
      </c>
      <c r="F2709">
        <v>335603.83333333302</v>
      </c>
      <c r="G2709">
        <v>10319</v>
      </c>
      <c r="H2709">
        <v>10319</v>
      </c>
    </row>
    <row r="2711" spans="1:8" ht="43.5">
      <c r="A2711" s="25" t="s">
        <v>860</v>
      </c>
    </row>
    <row r="2712" spans="1:8">
      <c r="A2712" s="25" t="s">
        <v>181</v>
      </c>
      <c r="B2712" t="s">
        <v>182</v>
      </c>
      <c r="C2712" t="s">
        <v>183</v>
      </c>
      <c r="D2712" t="s">
        <v>184</v>
      </c>
      <c r="E2712" t="s">
        <v>185</v>
      </c>
      <c r="F2712" t="s">
        <v>186</v>
      </c>
      <c r="G2712" t="s">
        <v>187</v>
      </c>
      <c r="H2712" t="s">
        <v>188</v>
      </c>
    </row>
    <row r="2713" spans="1:8">
      <c r="A2713" s="25" t="s">
        <v>189</v>
      </c>
      <c r="B2713" t="s">
        <v>207</v>
      </c>
      <c r="C2713">
        <v>16545.893823136139</v>
      </c>
      <c r="D2713">
        <v>13183.333333333299</v>
      </c>
      <c r="E2713">
        <v>50</v>
      </c>
      <c r="F2713">
        <v>335603.83333333302</v>
      </c>
      <c r="G2713">
        <v>7185</v>
      </c>
      <c r="H2713">
        <v>10319</v>
      </c>
    </row>
    <row r="2714" spans="1:8">
      <c r="A2714" s="25" t="s">
        <v>189</v>
      </c>
      <c r="B2714" t="s">
        <v>208</v>
      </c>
      <c r="C2714">
        <v>7987.1253338717197</v>
      </c>
      <c r="D2714">
        <v>5416.6666666666697</v>
      </c>
      <c r="E2714">
        <v>100</v>
      </c>
      <c r="F2714">
        <v>142383.33333333299</v>
      </c>
      <c r="G2714">
        <v>2206</v>
      </c>
      <c r="H2714">
        <v>10319</v>
      </c>
    </row>
    <row r="2715" spans="1:8">
      <c r="A2715" s="25" t="s">
        <v>189</v>
      </c>
      <c r="B2715" t="s">
        <v>209</v>
      </c>
      <c r="C2715">
        <v>23859.744070745681</v>
      </c>
      <c r="D2715">
        <v>20053.333333333299</v>
      </c>
      <c r="E2715">
        <v>500</v>
      </c>
      <c r="F2715">
        <v>181180</v>
      </c>
      <c r="G2715">
        <v>928</v>
      </c>
      <c r="H2715">
        <v>10319</v>
      </c>
    </row>
    <row r="2716" spans="1:8">
      <c r="A2716" s="25" t="s">
        <v>192</v>
      </c>
      <c r="B2716" t="s">
        <v>192</v>
      </c>
      <c r="C2716">
        <v>15203.349523446161</v>
      </c>
      <c r="D2716">
        <v>11525</v>
      </c>
      <c r="E2716">
        <v>50</v>
      </c>
      <c r="F2716">
        <v>335603.83333333302</v>
      </c>
      <c r="G2716">
        <v>10319</v>
      </c>
      <c r="H2716">
        <v>10319</v>
      </c>
    </row>
    <row r="2718" spans="1:8" ht="43.5">
      <c r="A2718" s="25" t="s">
        <v>861</v>
      </c>
    </row>
    <row r="2719" spans="1:8">
      <c r="A2719" s="25" t="s">
        <v>181</v>
      </c>
      <c r="B2719" t="s">
        <v>182</v>
      </c>
      <c r="C2719" t="s">
        <v>183</v>
      </c>
      <c r="D2719" t="s">
        <v>184</v>
      </c>
      <c r="E2719" t="s">
        <v>185</v>
      </c>
      <c r="F2719" t="s">
        <v>186</v>
      </c>
      <c r="G2719" t="s">
        <v>187</v>
      </c>
      <c r="H2719" t="s">
        <v>188</v>
      </c>
    </row>
    <row r="2720" spans="1:8">
      <c r="A2720" s="25" t="s">
        <v>189</v>
      </c>
      <c r="B2720" t="s">
        <v>211</v>
      </c>
      <c r="C2720">
        <v>17870.35693184827</v>
      </c>
      <c r="D2720">
        <v>14400</v>
      </c>
      <c r="E2720">
        <v>50</v>
      </c>
      <c r="F2720">
        <v>335603.83333333302</v>
      </c>
      <c r="G2720">
        <v>4928</v>
      </c>
      <c r="H2720">
        <v>10319</v>
      </c>
    </row>
    <row r="2721" spans="1:22">
      <c r="A2721" s="25" t="s">
        <v>189</v>
      </c>
      <c r="B2721" t="s">
        <v>212</v>
      </c>
      <c r="C2721">
        <v>10595.409522366521</v>
      </c>
      <c r="D2721">
        <v>7550</v>
      </c>
      <c r="E2721">
        <v>150</v>
      </c>
      <c r="F2721">
        <v>129753.33333333299</v>
      </c>
      <c r="G2721">
        <v>3331</v>
      </c>
      <c r="H2721">
        <v>10319</v>
      </c>
    </row>
    <row r="2722" spans="1:22">
      <c r="A2722" s="25" t="s">
        <v>189</v>
      </c>
      <c r="B2722" t="s">
        <v>213</v>
      </c>
      <c r="C2722">
        <v>15997.968104491079</v>
      </c>
      <c r="D2722">
        <v>11950</v>
      </c>
      <c r="E2722">
        <v>83.3333333333333</v>
      </c>
      <c r="F2722">
        <v>173300</v>
      </c>
      <c r="G2722">
        <v>2060</v>
      </c>
      <c r="H2722">
        <v>10319</v>
      </c>
    </row>
    <row r="2723" spans="1:22">
      <c r="A2723" s="25" t="s">
        <v>192</v>
      </c>
      <c r="B2723" t="s">
        <v>192</v>
      </c>
      <c r="C2723">
        <v>15203.349523446161</v>
      </c>
      <c r="D2723">
        <v>11525</v>
      </c>
      <c r="E2723">
        <v>50</v>
      </c>
      <c r="F2723">
        <v>335603.83333333302</v>
      </c>
      <c r="G2723">
        <v>10319</v>
      </c>
      <c r="H2723">
        <v>10319</v>
      </c>
    </row>
    <row r="2725" spans="1:22" ht="29.1">
      <c r="A2725" s="25" t="s">
        <v>862</v>
      </c>
    </row>
    <row r="2726" spans="1:22">
      <c r="A2726" s="25" t="s">
        <v>182</v>
      </c>
      <c r="B2726" t="s">
        <v>219</v>
      </c>
      <c r="C2726" t="s">
        <v>181</v>
      </c>
      <c r="D2726" t="s">
        <v>188</v>
      </c>
      <c r="E2726" t="s">
        <v>863</v>
      </c>
      <c r="F2726" t="s">
        <v>864</v>
      </c>
      <c r="G2726" t="s">
        <v>241</v>
      </c>
      <c r="H2726" t="s">
        <v>865</v>
      </c>
      <c r="I2726" t="s">
        <v>866</v>
      </c>
      <c r="J2726" t="s">
        <v>867</v>
      </c>
      <c r="K2726" t="s">
        <v>868</v>
      </c>
      <c r="L2726" t="s">
        <v>869</v>
      </c>
      <c r="M2726" t="s">
        <v>870</v>
      </c>
      <c r="N2726" t="s">
        <v>871</v>
      </c>
      <c r="O2726" t="s">
        <v>324</v>
      </c>
      <c r="P2726" t="s">
        <v>269</v>
      </c>
      <c r="Q2726" t="s">
        <v>872</v>
      </c>
      <c r="R2726" t="s">
        <v>243</v>
      </c>
      <c r="S2726" t="s">
        <v>873</v>
      </c>
      <c r="T2726" t="s">
        <v>874</v>
      </c>
      <c r="U2726" t="s">
        <v>875</v>
      </c>
      <c r="V2726" t="s">
        <v>876</v>
      </c>
    </row>
    <row r="2727" spans="1:22">
      <c r="A2727" s="25" t="s">
        <v>190</v>
      </c>
      <c r="B2727">
        <v>4874</v>
      </c>
      <c r="C2727" t="s">
        <v>189</v>
      </c>
      <c r="D2727">
        <v>10377</v>
      </c>
      <c r="E2727" s="1">
        <v>1.29E-2</v>
      </c>
      <c r="F2727" s="1">
        <v>4.3700000000000003E-2</v>
      </c>
      <c r="G2727" s="1">
        <v>1.3899999999999999E-2</v>
      </c>
      <c r="H2727" s="1">
        <v>6.4799999999999996E-2</v>
      </c>
      <c r="I2727" s="1">
        <v>1.5299999999999999E-2</v>
      </c>
      <c r="J2727" s="1">
        <v>0.17169999999999999</v>
      </c>
      <c r="K2727" s="1">
        <v>3.8800000000000001E-2</v>
      </c>
      <c r="L2727" s="1">
        <v>2.86E-2</v>
      </c>
      <c r="M2727" s="1">
        <v>2.9399999999999999E-2</v>
      </c>
      <c r="N2727" s="1">
        <v>9.2999999999999999E-2</v>
      </c>
      <c r="O2727" s="1">
        <v>0.65290000000000004</v>
      </c>
      <c r="P2727" s="1">
        <v>3.3E-3</v>
      </c>
      <c r="Q2727" s="1">
        <v>3.61E-2</v>
      </c>
      <c r="R2727" s="1">
        <v>5.7999999999999996E-3</v>
      </c>
      <c r="S2727" s="1">
        <v>6.4000000000000003E-3</v>
      </c>
      <c r="T2727" s="1">
        <v>5.5599999999999997E-2</v>
      </c>
      <c r="U2727" s="1">
        <v>1.2500000000000001E-2</v>
      </c>
      <c r="V2727" s="1">
        <v>0.1041</v>
      </c>
    </row>
    <row r="2728" spans="1:22">
      <c r="A2728" s="25" t="s">
        <v>191</v>
      </c>
      <c r="B2728">
        <v>5446</v>
      </c>
      <c r="C2728" t="s">
        <v>189</v>
      </c>
      <c r="D2728">
        <v>10377</v>
      </c>
      <c r="E2728" s="1">
        <v>1.12E-2</v>
      </c>
      <c r="F2728" s="1">
        <v>5.2299999999999999E-2</v>
      </c>
      <c r="G2728" s="1">
        <v>1.12E-2</v>
      </c>
      <c r="H2728" s="1">
        <v>6.5100000000000005E-2</v>
      </c>
      <c r="I2728" s="1">
        <v>1.72E-2</v>
      </c>
      <c r="J2728" s="1">
        <v>3.9300000000000002E-2</v>
      </c>
      <c r="K2728" s="1">
        <v>5.9200000000000003E-2</v>
      </c>
      <c r="L2728" s="1">
        <v>3.1800000000000002E-2</v>
      </c>
      <c r="M2728" s="1">
        <v>3.0499999999999999E-2</v>
      </c>
      <c r="N2728" s="1">
        <v>9.2999999999999999E-2</v>
      </c>
      <c r="O2728" s="1">
        <v>0.71809999999999996</v>
      </c>
      <c r="P2728" s="1">
        <v>3.3E-3</v>
      </c>
      <c r="Q2728" s="1">
        <v>3.0200000000000001E-2</v>
      </c>
      <c r="R2728" s="1">
        <v>2.0999999999999999E-3</v>
      </c>
      <c r="S2728" s="1">
        <v>6.1000000000000004E-3</v>
      </c>
      <c r="T2728" s="1">
        <v>5.7000000000000002E-2</v>
      </c>
      <c r="U2728" s="1">
        <v>2.1700000000000001E-2</v>
      </c>
      <c r="V2728" s="1">
        <v>0.1053</v>
      </c>
    </row>
    <row r="2729" spans="1:22">
      <c r="A2729" s="25" t="s">
        <v>192</v>
      </c>
      <c r="B2729">
        <v>10377</v>
      </c>
      <c r="C2729" t="s">
        <v>192</v>
      </c>
      <c r="D2729">
        <v>10377</v>
      </c>
      <c r="E2729" s="1">
        <v>1.1900000000000001E-2</v>
      </c>
      <c r="F2729" s="1">
        <v>4.9000000000000002E-2</v>
      </c>
      <c r="G2729" s="1">
        <v>1.2200000000000001E-2</v>
      </c>
      <c r="H2729" s="1">
        <v>6.5100000000000005E-2</v>
      </c>
      <c r="I2729" s="1">
        <v>1.66E-2</v>
      </c>
      <c r="J2729" s="1">
        <v>8.9800000000000005E-2</v>
      </c>
      <c r="K2729" s="1">
        <v>5.1499999999999997E-2</v>
      </c>
      <c r="L2729" s="1">
        <v>3.0700000000000002E-2</v>
      </c>
      <c r="M2729" s="1">
        <v>3.0099999999999998E-2</v>
      </c>
      <c r="N2729" s="1">
        <v>9.2999999999999999E-2</v>
      </c>
      <c r="O2729" s="1">
        <v>0.69310000000000005</v>
      </c>
      <c r="P2729" s="1">
        <v>3.3E-3</v>
      </c>
      <c r="Q2729" s="1">
        <v>3.2599999999999997E-2</v>
      </c>
      <c r="R2729" s="1">
        <v>3.5000000000000001E-3</v>
      </c>
      <c r="S2729" s="1">
        <v>6.4000000000000003E-3</v>
      </c>
      <c r="T2729" s="1">
        <v>5.6599999999999998E-2</v>
      </c>
      <c r="U2729" s="1">
        <v>1.8200000000000001E-2</v>
      </c>
      <c r="V2729" s="1">
        <v>0.10489999999999999</v>
      </c>
    </row>
    <row r="2731" spans="1:22" ht="43.5">
      <c r="A2731" s="25" t="s">
        <v>877</v>
      </c>
    </row>
    <row r="2732" spans="1:22">
      <c r="A2732" s="25" t="s">
        <v>182</v>
      </c>
      <c r="B2732" t="s">
        <v>219</v>
      </c>
      <c r="C2732" t="s">
        <v>181</v>
      </c>
      <c r="D2732" t="s">
        <v>188</v>
      </c>
      <c r="E2732" t="s">
        <v>863</v>
      </c>
      <c r="F2732" t="s">
        <v>864</v>
      </c>
      <c r="G2732" t="s">
        <v>241</v>
      </c>
      <c r="H2732" t="s">
        <v>865</v>
      </c>
      <c r="I2732" t="s">
        <v>866</v>
      </c>
      <c r="J2732" t="s">
        <v>867</v>
      </c>
      <c r="K2732" t="s">
        <v>868</v>
      </c>
      <c r="L2732" t="s">
        <v>869</v>
      </c>
      <c r="M2732" t="s">
        <v>870</v>
      </c>
      <c r="N2732" t="s">
        <v>871</v>
      </c>
      <c r="O2732" t="s">
        <v>324</v>
      </c>
      <c r="P2732" t="s">
        <v>269</v>
      </c>
      <c r="Q2732" t="s">
        <v>872</v>
      </c>
      <c r="R2732" t="s">
        <v>243</v>
      </c>
      <c r="S2732" t="s">
        <v>873</v>
      </c>
      <c r="T2732" t="s">
        <v>874</v>
      </c>
      <c r="U2732" t="s">
        <v>875</v>
      </c>
      <c r="V2732" t="s">
        <v>876</v>
      </c>
    </row>
    <row r="2733" spans="1:22" ht="29.1">
      <c r="A2733" s="25" t="s">
        <v>194</v>
      </c>
      <c r="B2733">
        <v>5927</v>
      </c>
      <c r="C2733" t="s">
        <v>189</v>
      </c>
      <c r="D2733">
        <v>10377</v>
      </c>
      <c r="E2733" s="1">
        <v>1.2800000000000001E-2</v>
      </c>
      <c r="F2733" s="1">
        <v>3.9199999999999999E-2</v>
      </c>
      <c r="G2733" s="1">
        <v>1.04E-2</v>
      </c>
      <c r="H2733" s="1">
        <v>5.4899999999999997E-2</v>
      </c>
      <c r="I2733" s="1">
        <v>1.11E-2</v>
      </c>
      <c r="J2733" s="1">
        <v>9.6799999999999997E-2</v>
      </c>
      <c r="K2733" s="1">
        <v>4.8099999999999997E-2</v>
      </c>
      <c r="L2733" s="1">
        <v>2.76E-2</v>
      </c>
      <c r="M2733" s="1">
        <v>2.64E-2</v>
      </c>
      <c r="N2733" s="1">
        <v>9.1700000000000004E-2</v>
      </c>
      <c r="O2733" s="1">
        <v>0.71460000000000001</v>
      </c>
      <c r="P2733" s="1">
        <v>2E-3</v>
      </c>
      <c r="Q2733" s="1">
        <v>3.0499999999999999E-2</v>
      </c>
      <c r="R2733" s="1">
        <v>3.8E-3</v>
      </c>
      <c r="S2733" s="1">
        <v>4.7000000000000002E-3</v>
      </c>
      <c r="T2733" s="1">
        <v>4.9000000000000002E-2</v>
      </c>
      <c r="U2733" s="1">
        <v>1.7500000000000002E-2</v>
      </c>
      <c r="V2733" s="1">
        <v>9.7500000000000003E-2</v>
      </c>
    </row>
    <row r="2734" spans="1:22" ht="29.1">
      <c r="A2734" s="25" t="s">
        <v>195</v>
      </c>
      <c r="B2734">
        <v>2688</v>
      </c>
      <c r="C2734" t="s">
        <v>189</v>
      </c>
      <c r="D2734">
        <v>10377</v>
      </c>
      <c r="E2734" s="1">
        <v>7.4999999999999997E-3</v>
      </c>
      <c r="F2734" s="1">
        <v>5.0500000000000003E-2</v>
      </c>
      <c r="G2734" s="1">
        <v>1.32E-2</v>
      </c>
      <c r="H2734" s="1">
        <v>7.1599999999999997E-2</v>
      </c>
      <c r="I2734" s="1">
        <v>1.9800000000000002E-2</v>
      </c>
      <c r="J2734" s="1">
        <v>7.5499999999999998E-2</v>
      </c>
      <c r="K2734" s="1">
        <v>5.8000000000000003E-2</v>
      </c>
      <c r="L2734" s="1">
        <v>2.76E-2</v>
      </c>
      <c r="M2734" s="1">
        <v>3.4799999999999998E-2</v>
      </c>
      <c r="N2734" s="1">
        <v>7.8299999999999995E-2</v>
      </c>
      <c r="O2734" s="1">
        <v>0.68149999999999999</v>
      </c>
      <c r="P2734" s="1">
        <v>6.8999999999999999E-3</v>
      </c>
      <c r="Q2734" s="1">
        <v>2.2700000000000001E-2</v>
      </c>
      <c r="R2734" s="1">
        <v>2.8999999999999998E-3</v>
      </c>
      <c r="S2734" s="1">
        <v>3.0000000000000001E-3</v>
      </c>
      <c r="T2734" s="1">
        <v>6.0499999999999998E-2</v>
      </c>
      <c r="U2734" s="1">
        <v>1.4200000000000001E-2</v>
      </c>
      <c r="V2734" s="1">
        <v>0.1074</v>
      </c>
    </row>
    <row r="2735" spans="1:22" ht="29.1">
      <c r="A2735" s="25" t="s">
        <v>196</v>
      </c>
      <c r="B2735">
        <v>1705</v>
      </c>
      <c r="C2735" t="s">
        <v>189</v>
      </c>
      <c r="D2735">
        <v>10377</v>
      </c>
      <c r="E2735" s="1">
        <v>1.4E-2</v>
      </c>
      <c r="F2735" s="1">
        <v>0.1206</v>
      </c>
      <c r="G2735" s="1">
        <v>2.41E-2</v>
      </c>
      <c r="H2735" s="1">
        <v>0.12870000000000001</v>
      </c>
      <c r="I2735" s="1">
        <v>5.0299999999999997E-2</v>
      </c>
      <c r="J2735" s="1">
        <v>6.4899999999999999E-2</v>
      </c>
      <c r="K2735" s="1">
        <v>6.3500000000000001E-2</v>
      </c>
      <c r="L2735" s="1">
        <v>5.96E-2</v>
      </c>
      <c r="M2735" s="1">
        <v>4.8500000000000001E-2</v>
      </c>
      <c r="N2735" s="1">
        <v>0.13270000000000001</v>
      </c>
      <c r="O2735" s="1">
        <v>0.55420000000000003</v>
      </c>
      <c r="P2735" s="1">
        <v>6.1000000000000004E-3</v>
      </c>
      <c r="Q2735" s="1">
        <v>6.7400000000000002E-2</v>
      </c>
      <c r="R2735" s="1">
        <v>1.9E-3</v>
      </c>
      <c r="S2735" s="1">
        <v>2.4400000000000002E-2</v>
      </c>
      <c r="T2735" s="1">
        <v>0.1051</v>
      </c>
      <c r="U2735" s="1">
        <v>3.1300000000000001E-2</v>
      </c>
      <c r="V2735" s="1">
        <v>0.15540000000000001</v>
      </c>
    </row>
    <row r="2736" spans="1:22">
      <c r="A2736" s="25" t="s">
        <v>192</v>
      </c>
      <c r="B2736">
        <v>10377</v>
      </c>
      <c r="C2736" t="s">
        <v>192</v>
      </c>
      <c r="D2736">
        <v>10377</v>
      </c>
      <c r="E2736" s="1">
        <v>1.1900000000000001E-2</v>
      </c>
      <c r="F2736" s="1">
        <v>4.9000000000000002E-2</v>
      </c>
      <c r="G2736" s="1">
        <v>1.2200000000000001E-2</v>
      </c>
      <c r="H2736" s="1">
        <v>6.5100000000000005E-2</v>
      </c>
      <c r="I2736" s="1">
        <v>1.66E-2</v>
      </c>
      <c r="J2736" s="1">
        <v>8.9800000000000005E-2</v>
      </c>
      <c r="K2736" s="1">
        <v>5.1499999999999997E-2</v>
      </c>
      <c r="L2736" s="1">
        <v>3.0700000000000002E-2</v>
      </c>
      <c r="M2736" s="1">
        <v>3.0099999999999998E-2</v>
      </c>
      <c r="N2736" s="1">
        <v>9.2999999999999999E-2</v>
      </c>
      <c r="O2736" s="1">
        <v>0.69310000000000005</v>
      </c>
      <c r="P2736" s="1">
        <v>3.3E-3</v>
      </c>
      <c r="Q2736" s="1">
        <v>3.2599999999999997E-2</v>
      </c>
      <c r="R2736" s="1">
        <v>3.5000000000000001E-3</v>
      </c>
      <c r="S2736" s="1">
        <v>6.4000000000000003E-3</v>
      </c>
      <c r="T2736" s="1">
        <v>5.6599999999999998E-2</v>
      </c>
      <c r="U2736" s="1">
        <v>1.8200000000000001E-2</v>
      </c>
      <c r="V2736" s="1">
        <v>0.10489999999999999</v>
      </c>
    </row>
    <row r="2738" spans="1:22" ht="43.5">
      <c r="A2738" s="25" t="s">
        <v>878</v>
      </c>
    </row>
    <row r="2739" spans="1:22">
      <c r="A2739" s="25" t="s">
        <v>182</v>
      </c>
      <c r="B2739" t="s">
        <v>219</v>
      </c>
      <c r="C2739" t="s">
        <v>181</v>
      </c>
      <c r="D2739" t="s">
        <v>188</v>
      </c>
      <c r="E2739" t="s">
        <v>863</v>
      </c>
      <c r="F2739" t="s">
        <v>864</v>
      </c>
      <c r="G2739" t="s">
        <v>241</v>
      </c>
      <c r="H2739" t="s">
        <v>865</v>
      </c>
      <c r="I2739" t="s">
        <v>866</v>
      </c>
      <c r="J2739" t="s">
        <v>867</v>
      </c>
      <c r="K2739" t="s">
        <v>868</v>
      </c>
      <c r="L2739" t="s">
        <v>869</v>
      </c>
      <c r="M2739" t="s">
        <v>870</v>
      </c>
      <c r="N2739" t="s">
        <v>871</v>
      </c>
      <c r="O2739" t="s">
        <v>324</v>
      </c>
      <c r="P2739" t="s">
        <v>269</v>
      </c>
      <c r="Q2739" t="s">
        <v>872</v>
      </c>
      <c r="R2739" t="s">
        <v>243</v>
      </c>
      <c r="S2739" t="s">
        <v>873</v>
      </c>
      <c r="T2739" t="s">
        <v>874</v>
      </c>
      <c r="U2739" t="s">
        <v>875</v>
      </c>
      <c r="V2739" t="s">
        <v>876</v>
      </c>
    </row>
    <row r="2740" spans="1:22">
      <c r="A2740" s="25" t="s">
        <v>198</v>
      </c>
      <c r="B2740">
        <v>2243</v>
      </c>
      <c r="C2740" t="s">
        <v>189</v>
      </c>
      <c r="D2740">
        <v>10377</v>
      </c>
      <c r="E2740" s="1">
        <v>8.8999999999999999E-3</v>
      </c>
      <c r="F2740" s="1">
        <v>8.9399999999999993E-2</v>
      </c>
      <c r="G2740" s="1">
        <v>1.5299999999999999E-2</v>
      </c>
      <c r="H2740" s="1">
        <v>0.1119</v>
      </c>
      <c r="I2740" s="1">
        <v>3.0800000000000001E-2</v>
      </c>
      <c r="J2740" s="1">
        <v>0.153</v>
      </c>
      <c r="K2740" s="1">
        <v>8.2000000000000003E-2</v>
      </c>
      <c r="L2740" s="1">
        <v>6.4799999999999996E-2</v>
      </c>
      <c r="M2740" s="1">
        <v>4.8399999999999999E-2</v>
      </c>
      <c r="N2740" s="1">
        <v>0.1371</v>
      </c>
      <c r="O2740" s="1">
        <v>0.53090000000000004</v>
      </c>
      <c r="P2740" s="1">
        <v>3.5000000000000001E-3</v>
      </c>
      <c r="Q2740" s="1">
        <v>6.8099999999999994E-2</v>
      </c>
      <c r="R2740" s="1">
        <v>7.7000000000000002E-3</v>
      </c>
      <c r="S2740" s="1">
        <v>1.1599999999999999E-2</v>
      </c>
      <c r="T2740" s="1">
        <v>0.1066</v>
      </c>
      <c r="U2740" s="1">
        <v>2.9899999999999999E-2</v>
      </c>
      <c r="V2740" s="1">
        <v>0.17169999999999999</v>
      </c>
    </row>
    <row r="2741" spans="1:22">
      <c r="A2741" s="25" t="s">
        <v>199</v>
      </c>
      <c r="B2741">
        <v>8134</v>
      </c>
      <c r="C2741" t="s">
        <v>189</v>
      </c>
      <c r="D2741">
        <v>10377</v>
      </c>
      <c r="E2741" s="1">
        <v>1.26E-2</v>
      </c>
      <c r="F2741" s="1">
        <v>0.04</v>
      </c>
      <c r="G2741" s="1">
        <v>1.15E-2</v>
      </c>
      <c r="H2741" s="1">
        <v>5.4699999999999999E-2</v>
      </c>
      <c r="I2741" s="1">
        <v>1.34E-2</v>
      </c>
      <c r="J2741" s="1">
        <v>7.5700000000000003E-2</v>
      </c>
      <c r="K2741" s="1">
        <v>4.4699999999999997E-2</v>
      </c>
      <c r="L2741" s="1">
        <v>2.3E-2</v>
      </c>
      <c r="M2741" s="1">
        <v>2.5999999999999999E-2</v>
      </c>
      <c r="N2741" s="1">
        <v>8.3099999999999993E-2</v>
      </c>
      <c r="O2741" s="1">
        <v>0.72929999999999995</v>
      </c>
      <c r="P2741" s="1">
        <v>3.3E-3</v>
      </c>
      <c r="Q2741" s="1">
        <v>2.47E-2</v>
      </c>
      <c r="R2741" s="1">
        <v>2.5000000000000001E-3</v>
      </c>
      <c r="S2741" s="1">
        <v>5.1999999999999998E-3</v>
      </c>
      <c r="T2741" s="1">
        <v>4.5400000000000003E-2</v>
      </c>
      <c r="U2741" s="1">
        <v>1.5599999999999999E-2</v>
      </c>
      <c r="V2741" s="1">
        <v>0.09</v>
      </c>
    </row>
    <row r="2742" spans="1:22">
      <c r="A2742" s="25" t="s">
        <v>192</v>
      </c>
      <c r="B2742">
        <v>10377</v>
      </c>
      <c r="C2742" t="s">
        <v>192</v>
      </c>
      <c r="D2742">
        <v>10377</v>
      </c>
      <c r="E2742" s="1">
        <v>1.1900000000000001E-2</v>
      </c>
      <c r="F2742" s="1">
        <v>4.9000000000000002E-2</v>
      </c>
      <c r="G2742" s="1">
        <v>1.2200000000000001E-2</v>
      </c>
      <c r="H2742" s="1">
        <v>6.5100000000000005E-2</v>
      </c>
      <c r="I2742" s="1">
        <v>1.66E-2</v>
      </c>
      <c r="J2742" s="1">
        <v>8.9800000000000005E-2</v>
      </c>
      <c r="K2742" s="1">
        <v>5.1499999999999997E-2</v>
      </c>
      <c r="L2742" s="1">
        <v>3.0700000000000002E-2</v>
      </c>
      <c r="M2742" s="1">
        <v>3.0099999999999998E-2</v>
      </c>
      <c r="N2742" s="1">
        <v>9.2999999999999999E-2</v>
      </c>
      <c r="O2742" s="1">
        <v>0.69310000000000005</v>
      </c>
      <c r="P2742" s="1">
        <v>3.3E-3</v>
      </c>
      <c r="Q2742" s="1">
        <v>3.2599999999999997E-2</v>
      </c>
      <c r="R2742" s="1">
        <v>3.5000000000000001E-3</v>
      </c>
      <c r="S2742" s="1">
        <v>6.4000000000000003E-3</v>
      </c>
      <c r="T2742" s="1">
        <v>5.6599999999999998E-2</v>
      </c>
      <c r="U2742" s="1">
        <v>1.8200000000000001E-2</v>
      </c>
      <c r="V2742" s="1">
        <v>0.10489999999999999</v>
      </c>
    </row>
    <row r="2744" spans="1:22" ht="43.5">
      <c r="A2744" s="25" t="s">
        <v>879</v>
      </c>
    </row>
    <row r="2745" spans="1:22">
      <c r="A2745" s="25" t="s">
        <v>182</v>
      </c>
      <c r="B2745" t="s">
        <v>219</v>
      </c>
      <c r="C2745" t="s">
        <v>181</v>
      </c>
      <c r="D2745" t="s">
        <v>188</v>
      </c>
      <c r="E2745" t="s">
        <v>863</v>
      </c>
      <c r="F2745" t="s">
        <v>864</v>
      </c>
      <c r="G2745" t="s">
        <v>241</v>
      </c>
      <c r="H2745" t="s">
        <v>865</v>
      </c>
      <c r="I2745" t="s">
        <v>866</v>
      </c>
      <c r="J2745" t="s">
        <v>867</v>
      </c>
      <c r="K2745" t="s">
        <v>868</v>
      </c>
      <c r="L2745" t="s">
        <v>869</v>
      </c>
      <c r="M2745" t="s">
        <v>870</v>
      </c>
      <c r="N2745" t="s">
        <v>871</v>
      </c>
      <c r="O2745" t="s">
        <v>324</v>
      </c>
      <c r="P2745" t="s">
        <v>269</v>
      </c>
      <c r="Q2745" t="s">
        <v>872</v>
      </c>
      <c r="R2745" t="s">
        <v>243</v>
      </c>
      <c r="S2745" t="s">
        <v>873</v>
      </c>
      <c r="T2745" t="s">
        <v>874</v>
      </c>
      <c r="U2745" t="s">
        <v>875</v>
      </c>
      <c r="V2745" t="s">
        <v>876</v>
      </c>
    </row>
    <row r="2746" spans="1:22">
      <c r="A2746" s="25" t="s">
        <v>201</v>
      </c>
      <c r="B2746">
        <v>760</v>
      </c>
      <c r="C2746" t="s">
        <v>189</v>
      </c>
      <c r="D2746">
        <v>10377</v>
      </c>
      <c r="E2746" s="1">
        <v>5.1799999999999999E-2</v>
      </c>
      <c r="F2746" s="1">
        <v>0.15759999999999999</v>
      </c>
      <c r="G2746" s="1">
        <v>1.0999999999999999E-2</v>
      </c>
      <c r="H2746" s="1">
        <v>0.1416</v>
      </c>
      <c r="I2746" s="1">
        <v>4.4699999999999997E-2</v>
      </c>
      <c r="J2746" s="1">
        <v>7.7299999999999994E-2</v>
      </c>
      <c r="K2746" s="1">
        <v>8.6800000000000002E-2</v>
      </c>
      <c r="L2746" s="1">
        <v>8.8200000000000001E-2</v>
      </c>
      <c r="M2746" s="1">
        <v>9.4200000000000006E-2</v>
      </c>
      <c r="N2746" s="1">
        <v>0.17480000000000001</v>
      </c>
      <c r="O2746" s="1">
        <v>0.46510000000000001</v>
      </c>
      <c r="P2746" s="1">
        <v>2.0999999999999999E-3</v>
      </c>
      <c r="Q2746" s="1">
        <v>6.8599999999999994E-2</v>
      </c>
      <c r="R2746" s="1">
        <v>2E-3</v>
      </c>
      <c r="S2746" s="1">
        <v>1.44E-2</v>
      </c>
      <c r="T2746" s="1">
        <v>0.14169999999999999</v>
      </c>
      <c r="U2746" s="1">
        <v>1.1900000000000001E-2</v>
      </c>
      <c r="V2746" s="1">
        <v>0.2147</v>
      </c>
    </row>
    <row r="2747" spans="1:22">
      <c r="A2747" s="25" t="s">
        <v>202</v>
      </c>
      <c r="B2747">
        <v>109</v>
      </c>
      <c r="C2747" t="s">
        <v>189</v>
      </c>
      <c r="D2747">
        <v>10377</v>
      </c>
      <c r="E2747" s="1">
        <v>5.9999999999999995E-4</v>
      </c>
      <c r="F2747" s="1">
        <v>7.3499999999999996E-2</v>
      </c>
      <c r="G2747" s="1">
        <v>6.5500000000000003E-2</v>
      </c>
      <c r="H2747" s="1">
        <v>5.8000000000000003E-2</v>
      </c>
      <c r="I2747" s="1">
        <v>6.0100000000000001E-2</v>
      </c>
      <c r="J2747" s="1">
        <v>0.12529999999999999</v>
      </c>
      <c r="K2747" s="1">
        <v>3.5900000000000001E-2</v>
      </c>
      <c r="L2747" s="1">
        <v>9.9299999999999999E-2</v>
      </c>
      <c r="M2747" s="1">
        <v>0.1038</v>
      </c>
      <c r="N2747" s="1">
        <v>5.0999999999999997E-2</v>
      </c>
      <c r="O2747" s="1">
        <v>0.49349999999999999</v>
      </c>
      <c r="P2747" s="1">
        <v>3.8E-3</v>
      </c>
      <c r="Q2747" s="1">
        <v>5.7500000000000002E-2</v>
      </c>
      <c r="R2747" s="1">
        <v>6.7000000000000002E-3</v>
      </c>
      <c r="S2747" s="1">
        <v>3.4700000000000002E-2</v>
      </c>
      <c r="T2747" s="1">
        <v>0.129</v>
      </c>
      <c r="U2747" s="1">
        <v>3.8E-3</v>
      </c>
      <c r="V2747" s="1">
        <v>8.6900000000000005E-2</v>
      </c>
    </row>
    <row r="2748" spans="1:22">
      <c r="A2748" s="25" t="s">
        <v>203</v>
      </c>
      <c r="B2748">
        <v>8007</v>
      </c>
      <c r="C2748" t="s">
        <v>189</v>
      </c>
      <c r="D2748">
        <v>10377</v>
      </c>
      <c r="E2748" s="1">
        <v>7.7000000000000002E-3</v>
      </c>
      <c r="F2748" s="1">
        <v>4.3299999999999998E-2</v>
      </c>
      <c r="G2748" s="1">
        <v>1.2E-2</v>
      </c>
      <c r="H2748" s="1">
        <v>5.8700000000000002E-2</v>
      </c>
      <c r="I2748" s="1">
        <v>1.37E-2</v>
      </c>
      <c r="J2748" s="1">
        <v>9.9599999999999994E-2</v>
      </c>
      <c r="K2748" s="1">
        <v>4.5499999999999999E-2</v>
      </c>
      <c r="L2748" s="1">
        <v>2.5700000000000001E-2</v>
      </c>
      <c r="M2748" s="1">
        <v>2.3699999999999999E-2</v>
      </c>
      <c r="N2748" s="1">
        <v>8.5500000000000007E-2</v>
      </c>
      <c r="O2748" s="1">
        <v>0.70320000000000005</v>
      </c>
      <c r="P2748" s="1">
        <v>3.3E-3</v>
      </c>
      <c r="Q2748" s="1">
        <v>3.0800000000000001E-2</v>
      </c>
      <c r="R2748" s="1">
        <v>4.0000000000000001E-3</v>
      </c>
      <c r="S2748" s="1">
        <v>5.4000000000000003E-3</v>
      </c>
      <c r="T2748" s="1">
        <v>5.0500000000000003E-2</v>
      </c>
      <c r="U2748" s="1">
        <v>1.5699999999999999E-2</v>
      </c>
      <c r="V2748" s="1">
        <v>9.69E-2</v>
      </c>
    </row>
    <row r="2749" spans="1:22">
      <c r="A2749" s="25" t="s">
        <v>204</v>
      </c>
      <c r="B2749">
        <v>31</v>
      </c>
      <c r="C2749" t="s">
        <v>189</v>
      </c>
      <c r="D2749">
        <v>10377</v>
      </c>
      <c r="F2749" s="1">
        <v>2.87E-2</v>
      </c>
      <c r="G2749" s="1">
        <v>6.0699999999999997E-2</v>
      </c>
      <c r="H2749" s="1">
        <v>5.5100000000000003E-2</v>
      </c>
      <c r="I2749" s="1">
        <v>2.3099999999999999E-2</v>
      </c>
      <c r="J2749" s="1">
        <v>8.3699999999999997E-2</v>
      </c>
      <c r="K2749" s="1">
        <v>1.8100000000000002E-2</v>
      </c>
      <c r="L2749" s="1">
        <v>2.6800000000000001E-2</v>
      </c>
      <c r="N2749" s="1">
        <v>3.4299999999999997E-2</v>
      </c>
      <c r="O2749" s="1">
        <v>0.77410000000000001</v>
      </c>
      <c r="P2749" s="1">
        <v>1.0800000000000001E-2</v>
      </c>
      <c r="Q2749" s="1">
        <v>1.04E-2</v>
      </c>
      <c r="T2749" s="1">
        <v>7.0400000000000004E-2</v>
      </c>
      <c r="V2749" s="1">
        <v>0.1172</v>
      </c>
    </row>
    <row r="2750" spans="1:22">
      <c r="A2750" s="25" t="s">
        <v>205</v>
      </c>
      <c r="B2750">
        <v>1470</v>
      </c>
      <c r="C2750" t="s">
        <v>189</v>
      </c>
      <c r="D2750">
        <v>10377</v>
      </c>
      <c r="E2750" s="1">
        <v>1.6500000000000001E-2</v>
      </c>
      <c r="F2750" s="1">
        <v>2.6100000000000002E-2</v>
      </c>
      <c r="G2750" s="1">
        <v>1.11E-2</v>
      </c>
      <c r="H2750" s="1">
        <v>6.3399999999999998E-2</v>
      </c>
      <c r="I2750" s="1">
        <v>1.66E-2</v>
      </c>
      <c r="J2750" s="1">
        <v>3.8100000000000002E-2</v>
      </c>
      <c r="K2750" s="1">
        <v>6.8699999999999997E-2</v>
      </c>
      <c r="L2750" s="1">
        <v>2.69E-2</v>
      </c>
      <c r="M2750" s="1">
        <v>3.1800000000000002E-2</v>
      </c>
      <c r="N2750" s="1">
        <v>9.7199999999999995E-2</v>
      </c>
      <c r="O2750" s="1">
        <v>0.75770000000000004</v>
      </c>
      <c r="P2750" s="1">
        <v>4.1000000000000003E-3</v>
      </c>
      <c r="Q2750" s="1">
        <v>2.3699999999999999E-2</v>
      </c>
      <c r="R2750" s="1">
        <v>8.9999999999999998E-4</v>
      </c>
      <c r="S2750" s="1">
        <v>6.7999999999999996E-3</v>
      </c>
      <c r="T2750" s="1">
        <v>4.5499999999999999E-2</v>
      </c>
      <c r="U2750" s="1">
        <v>3.6799999999999999E-2</v>
      </c>
      <c r="V2750" s="1">
        <v>9.6100000000000005E-2</v>
      </c>
    </row>
    <row r="2751" spans="1:22">
      <c r="A2751" s="25" t="s">
        <v>192</v>
      </c>
      <c r="B2751">
        <v>10377</v>
      </c>
      <c r="C2751" t="s">
        <v>192</v>
      </c>
      <c r="D2751">
        <v>10377</v>
      </c>
      <c r="E2751" s="1">
        <v>1.1900000000000001E-2</v>
      </c>
      <c r="F2751" s="1">
        <v>4.9000000000000002E-2</v>
      </c>
      <c r="G2751" s="1">
        <v>1.2200000000000001E-2</v>
      </c>
      <c r="H2751" s="1">
        <v>6.5100000000000005E-2</v>
      </c>
      <c r="I2751" s="1">
        <v>1.66E-2</v>
      </c>
      <c r="J2751" s="1">
        <v>8.9800000000000005E-2</v>
      </c>
      <c r="K2751" s="1">
        <v>5.1499999999999997E-2</v>
      </c>
      <c r="L2751" s="1">
        <v>3.0700000000000002E-2</v>
      </c>
      <c r="M2751" s="1">
        <v>3.0099999999999998E-2</v>
      </c>
      <c r="N2751" s="1">
        <v>9.2999999999999999E-2</v>
      </c>
      <c r="O2751" s="1">
        <v>0.69310000000000005</v>
      </c>
      <c r="P2751" s="1">
        <v>3.3E-3</v>
      </c>
      <c r="Q2751" s="1">
        <v>3.2599999999999997E-2</v>
      </c>
      <c r="R2751" s="1">
        <v>3.5000000000000001E-3</v>
      </c>
      <c r="S2751" s="1">
        <v>6.4000000000000003E-3</v>
      </c>
      <c r="T2751" s="1">
        <v>5.6599999999999998E-2</v>
      </c>
      <c r="U2751" s="1">
        <v>1.8200000000000001E-2</v>
      </c>
      <c r="V2751" s="1">
        <v>0.10489999999999999</v>
      </c>
    </row>
    <row r="2753" spans="1:22" ht="29.1">
      <c r="A2753" s="25" t="s">
        <v>880</v>
      </c>
    </row>
    <row r="2754" spans="1:22">
      <c r="A2754" s="25" t="s">
        <v>182</v>
      </c>
      <c r="B2754" t="s">
        <v>219</v>
      </c>
      <c r="C2754" t="s">
        <v>181</v>
      </c>
      <c r="D2754" t="s">
        <v>188</v>
      </c>
      <c r="E2754" t="s">
        <v>863</v>
      </c>
      <c r="F2754" t="s">
        <v>864</v>
      </c>
      <c r="G2754" t="s">
        <v>241</v>
      </c>
      <c r="H2754" t="s">
        <v>865</v>
      </c>
      <c r="I2754" t="s">
        <v>866</v>
      </c>
      <c r="J2754" t="s">
        <v>867</v>
      </c>
      <c r="K2754" t="s">
        <v>868</v>
      </c>
      <c r="L2754" t="s">
        <v>869</v>
      </c>
      <c r="M2754" t="s">
        <v>870</v>
      </c>
      <c r="N2754" t="s">
        <v>871</v>
      </c>
      <c r="O2754" t="s">
        <v>324</v>
      </c>
      <c r="P2754" t="s">
        <v>269</v>
      </c>
      <c r="Q2754" t="s">
        <v>872</v>
      </c>
      <c r="R2754" t="s">
        <v>243</v>
      </c>
      <c r="S2754" t="s">
        <v>873</v>
      </c>
      <c r="T2754" t="s">
        <v>874</v>
      </c>
      <c r="U2754" t="s">
        <v>875</v>
      </c>
      <c r="V2754" t="s">
        <v>876</v>
      </c>
    </row>
    <row r="2755" spans="1:22">
      <c r="A2755" s="25" t="s">
        <v>207</v>
      </c>
      <c r="B2755">
        <v>7220</v>
      </c>
      <c r="C2755" t="s">
        <v>189</v>
      </c>
      <c r="D2755">
        <v>10377</v>
      </c>
      <c r="E2755" s="1">
        <v>0.01</v>
      </c>
      <c r="F2755" s="1">
        <v>4.2700000000000002E-2</v>
      </c>
      <c r="G2755" s="1">
        <v>1.2E-2</v>
      </c>
      <c r="H2755" s="1">
        <v>5.1299999999999998E-2</v>
      </c>
      <c r="I2755" s="1">
        <v>1.7399999999999999E-2</v>
      </c>
      <c r="J2755" s="1">
        <v>7.8799999999999995E-2</v>
      </c>
      <c r="K2755" s="1">
        <v>4.9399999999999999E-2</v>
      </c>
      <c r="L2755" s="1">
        <v>2.6700000000000002E-2</v>
      </c>
      <c r="M2755" s="1">
        <v>2.7099999999999999E-2</v>
      </c>
      <c r="N2755" s="1">
        <v>9.1899999999999996E-2</v>
      </c>
      <c r="O2755" s="1">
        <v>0.71260000000000001</v>
      </c>
      <c r="P2755" s="1">
        <v>3.5000000000000001E-3</v>
      </c>
      <c r="Q2755" s="1">
        <v>2.6100000000000002E-2</v>
      </c>
      <c r="R2755" s="1">
        <v>3.0999999999999999E-3</v>
      </c>
      <c r="S2755" s="1">
        <v>4.7000000000000002E-3</v>
      </c>
      <c r="T2755" s="1">
        <v>5.1799999999999999E-2</v>
      </c>
      <c r="U2755" s="1">
        <v>1.8700000000000001E-2</v>
      </c>
      <c r="V2755" s="1">
        <v>9.4700000000000006E-2</v>
      </c>
    </row>
    <row r="2756" spans="1:22">
      <c r="A2756" s="25" t="s">
        <v>208</v>
      </c>
      <c r="B2756">
        <v>2224</v>
      </c>
      <c r="C2756" t="s">
        <v>189</v>
      </c>
      <c r="D2756">
        <v>10377</v>
      </c>
      <c r="E2756" s="1">
        <v>1E-4</v>
      </c>
      <c r="F2756" s="1">
        <v>6.1499999999999999E-2</v>
      </c>
      <c r="G2756" s="1">
        <v>1.2800000000000001E-2</v>
      </c>
      <c r="H2756" s="1">
        <v>0.10290000000000001</v>
      </c>
      <c r="I2756" s="1">
        <v>1.1299999999999999E-2</v>
      </c>
      <c r="J2756" s="1">
        <v>0.1149</v>
      </c>
      <c r="K2756" s="1">
        <v>6.2100000000000002E-2</v>
      </c>
      <c r="L2756" s="1">
        <v>4.2599999999999999E-2</v>
      </c>
      <c r="M2756" s="1">
        <v>3.6799999999999999E-2</v>
      </c>
      <c r="N2756" s="1">
        <v>9.6799999999999997E-2</v>
      </c>
      <c r="O2756" s="1">
        <v>0.63939999999999997</v>
      </c>
      <c r="P2756" s="1">
        <v>2.8E-3</v>
      </c>
      <c r="Q2756" s="1">
        <v>5.3999999999999999E-2</v>
      </c>
      <c r="R2756" s="1">
        <v>5.3E-3</v>
      </c>
      <c r="S2756" s="1">
        <v>1.06E-2</v>
      </c>
      <c r="T2756" s="1">
        <v>6.6900000000000001E-2</v>
      </c>
      <c r="U2756" s="1">
        <v>0.02</v>
      </c>
      <c r="V2756" s="1">
        <v>0.13100000000000001</v>
      </c>
    </row>
    <row r="2757" spans="1:22">
      <c r="A2757" s="25" t="s">
        <v>209</v>
      </c>
      <c r="B2757">
        <v>933</v>
      </c>
      <c r="C2757" t="s">
        <v>189</v>
      </c>
      <c r="D2757">
        <v>10377</v>
      </c>
      <c r="E2757" s="1">
        <v>6.25E-2</v>
      </c>
      <c r="F2757" s="1">
        <v>6.9800000000000001E-2</v>
      </c>
      <c r="G2757" s="1">
        <v>1.24E-2</v>
      </c>
      <c r="H2757" s="1">
        <v>7.9799999999999996E-2</v>
      </c>
      <c r="I2757" s="1">
        <v>2.41E-2</v>
      </c>
      <c r="J2757" s="1">
        <v>0.1158</v>
      </c>
      <c r="K2757" s="1">
        <v>3.9699999999999999E-2</v>
      </c>
      <c r="L2757" s="1">
        <v>3.1399999999999997E-2</v>
      </c>
      <c r="M2757" s="1">
        <v>3.7999999999999999E-2</v>
      </c>
      <c r="N2757" s="1">
        <v>9.1399999999999995E-2</v>
      </c>
      <c r="O2757" s="1">
        <v>0.67400000000000004</v>
      </c>
      <c r="P2757" s="1">
        <v>3.5999999999999999E-3</v>
      </c>
      <c r="Q2757" s="1">
        <v>2.9399999999999999E-2</v>
      </c>
      <c r="R2757" s="1">
        <v>1.4E-3</v>
      </c>
      <c r="S2757" s="1">
        <v>8.8999999999999999E-3</v>
      </c>
      <c r="T2757" s="1">
        <v>6.9400000000000003E-2</v>
      </c>
      <c r="U2757" s="1">
        <v>8.6E-3</v>
      </c>
      <c r="V2757" s="1">
        <v>0.12089999999999999</v>
      </c>
    </row>
    <row r="2758" spans="1:22">
      <c r="A2758" s="25" t="s">
        <v>192</v>
      </c>
      <c r="B2758">
        <v>10377</v>
      </c>
      <c r="C2758" t="s">
        <v>192</v>
      </c>
      <c r="D2758">
        <v>10377</v>
      </c>
      <c r="E2758" s="1">
        <v>1.1900000000000001E-2</v>
      </c>
      <c r="F2758" s="1">
        <v>4.9000000000000002E-2</v>
      </c>
      <c r="G2758" s="1">
        <v>1.2200000000000001E-2</v>
      </c>
      <c r="H2758" s="1">
        <v>6.5100000000000005E-2</v>
      </c>
      <c r="I2758" s="1">
        <v>1.66E-2</v>
      </c>
      <c r="J2758" s="1">
        <v>8.9800000000000005E-2</v>
      </c>
      <c r="K2758" s="1">
        <v>5.1499999999999997E-2</v>
      </c>
      <c r="L2758" s="1">
        <v>3.0700000000000002E-2</v>
      </c>
      <c r="M2758" s="1">
        <v>3.0099999999999998E-2</v>
      </c>
      <c r="N2758" s="1">
        <v>9.2999999999999999E-2</v>
      </c>
      <c r="O2758" s="1">
        <v>0.69310000000000005</v>
      </c>
      <c r="P2758" s="1">
        <v>3.3E-3</v>
      </c>
      <c r="Q2758" s="1">
        <v>3.2599999999999997E-2</v>
      </c>
      <c r="R2758" s="1">
        <v>3.5000000000000001E-3</v>
      </c>
      <c r="S2758" s="1">
        <v>6.4000000000000003E-3</v>
      </c>
      <c r="T2758" s="1">
        <v>5.6599999999999998E-2</v>
      </c>
      <c r="U2758" s="1">
        <v>1.8200000000000001E-2</v>
      </c>
      <c r="V2758" s="1">
        <v>0.10489999999999999</v>
      </c>
    </row>
    <row r="2760" spans="1:22" ht="43.5">
      <c r="A2760" s="25" t="s">
        <v>881</v>
      </c>
    </row>
    <row r="2761" spans="1:22">
      <c r="A2761" s="25" t="s">
        <v>182</v>
      </c>
      <c r="B2761" t="s">
        <v>219</v>
      </c>
      <c r="C2761" t="s">
        <v>181</v>
      </c>
      <c r="D2761" t="s">
        <v>188</v>
      </c>
      <c r="E2761" t="s">
        <v>863</v>
      </c>
      <c r="F2761" t="s">
        <v>864</v>
      </c>
      <c r="G2761" t="s">
        <v>241</v>
      </c>
      <c r="H2761" t="s">
        <v>865</v>
      </c>
      <c r="I2761" t="s">
        <v>866</v>
      </c>
      <c r="J2761" t="s">
        <v>867</v>
      </c>
      <c r="K2761" t="s">
        <v>868</v>
      </c>
      <c r="L2761" t="s">
        <v>869</v>
      </c>
      <c r="M2761" t="s">
        <v>870</v>
      </c>
      <c r="N2761" t="s">
        <v>871</v>
      </c>
      <c r="O2761" t="s">
        <v>324</v>
      </c>
      <c r="P2761" t="s">
        <v>269</v>
      </c>
      <c r="Q2761" t="s">
        <v>872</v>
      </c>
      <c r="R2761" t="s">
        <v>243</v>
      </c>
      <c r="S2761" t="s">
        <v>873</v>
      </c>
      <c r="T2761" t="s">
        <v>874</v>
      </c>
      <c r="U2761" t="s">
        <v>875</v>
      </c>
      <c r="V2761" t="s">
        <v>876</v>
      </c>
    </row>
    <row r="2762" spans="1:22">
      <c r="A2762" s="25" t="s">
        <v>211</v>
      </c>
      <c r="B2762">
        <v>4950</v>
      </c>
      <c r="C2762" t="s">
        <v>189</v>
      </c>
      <c r="D2762">
        <v>10377</v>
      </c>
      <c r="E2762" s="1">
        <v>1.6500000000000001E-2</v>
      </c>
      <c r="F2762" s="1">
        <v>3.78E-2</v>
      </c>
      <c r="G2762" s="1">
        <v>1.0999999999999999E-2</v>
      </c>
      <c r="H2762" s="1">
        <v>4.7600000000000003E-2</v>
      </c>
      <c r="I2762" s="1">
        <v>1.17E-2</v>
      </c>
      <c r="J2762" s="1">
        <v>8.5500000000000007E-2</v>
      </c>
      <c r="K2762" s="1">
        <v>4.4200000000000003E-2</v>
      </c>
      <c r="L2762" s="1">
        <v>2.29E-2</v>
      </c>
      <c r="M2762" s="1">
        <v>2.5499999999999998E-2</v>
      </c>
      <c r="N2762" s="1">
        <v>8.2199999999999995E-2</v>
      </c>
      <c r="O2762" s="1">
        <v>0.72699999999999998</v>
      </c>
      <c r="P2762" s="1">
        <v>3.8E-3</v>
      </c>
      <c r="Q2762" s="1">
        <v>2.1700000000000001E-2</v>
      </c>
      <c r="R2762" s="1">
        <v>3.3999999999999998E-3</v>
      </c>
      <c r="S2762" s="1">
        <v>4.5999999999999999E-3</v>
      </c>
      <c r="T2762" s="1">
        <v>4.2999999999999997E-2</v>
      </c>
      <c r="U2762" s="1">
        <v>2.0899999999999998E-2</v>
      </c>
      <c r="V2762" s="1">
        <v>8.8999999999999996E-2</v>
      </c>
    </row>
    <row r="2763" spans="1:22">
      <c r="A2763" s="25" t="s">
        <v>212</v>
      </c>
      <c r="B2763">
        <v>3351</v>
      </c>
      <c r="C2763" t="s">
        <v>189</v>
      </c>
      <c r="D2763">
        <v>10377</v>
      </c>
      <c r="E2763" s="1">
        <v>7.4999999999999997E-3</v>
      </c>
      <c r="F2763" s="1">
        <v>6.3399999999999998E-2</v>
      </c>
      <c r="G2763" s="1">
        <v>1.6199999999999999E-2</v>
      </c>
      <c r="H2763" s="1">
        <v>0.10150000000000001</v>
      </c>
      <c r="I2763" s="1">
        <v>3.1699999999999999E-2</v>
      </c>
      <c r="J2763" s="1">
        <v>0.107</v>
      </c>
      <c r="K2763" s="1">
        <v>5.7000000000000002E-2</v>
      </c>
      <c r="L2763" s="1">
        <v>4.2599999999999999E-2</v>
      </c>
      <c r="M2763" s="1">
        <v>4.0899999999999999E-2</v>
      </c>
      <c r="N2763" s="1">
        <v>0.1115</v>
      </c>
      <c r="O2763" s="1">
        <v>0.62170000000000003</v>
      </c>
      <c r="P2763" s="1">
        <v>3.0999999999999999E-3</v>
      </c>
      <c r="Q2763" s="1">
        <v>4.9299999999999997E-2</v>
      </c>
      <c r="R2763" s="1">
        <v>4.4000000000000003E-3</v>
      </c>
      <c r="S2763" s="1">
        <v>0.01</v>
      </c>
      <c r="T2763" s="1">
        <v>7.9600000000000004E-2</v>
      </c>
      <c r="U2763" s="1">
        <v>1.72E-2</v>
      </c>
      <c r="V2763" s="1">
        <v>0.1328</v>
      </c>
    </row>
    <row r="2764" spans="1:22">
      <c r="A2764" s="25" t="s">
        <v>213</v>
      </c>
      <c r="B2764">
        <v>2076</v>
      </c>
      <c r="C2764" t="s">
        <v>189</v>
      </c>
      <c r="D2764">
        <v>10377</v>
      </c>
      <c r="E2764" s="1">
        <v>8.2000000000000007E-3</v>
      </c>
      <c r="F2764" s="1">
        <v>5.2900000000000003E-2</v>
      </c>
      <c r="G2764" s="1">
        <v>9.2999999999999992E-3</v>
      </c>
      <c r="H2764" s="1">
        <v>5.11E-2</v>
      </c>
      <c r="I2764" s="1">
        <v>5.4000000000000003E-3</v>
      </c>
      <c r="J2764" s="1">
        <v>7.46E-2</v>
      </c>
      <c r="K2764" s="1">
        <v>5.9299999999999999E-2</v>
      </c>
      <c r="L2764" s="1">
        <v>3.0499999999999999E-2</v>
      </c>
      <c r="M2764" s="1">
        <v>2.46E-2</v>
      </c>
      <c r="N2764" s="1">
        <v>8.9800000000000005E-2</v>
      </c>
      <c r="O2764" s="1">
        <v>0.72160000000000002</v>
      </c>
      <c r="P2764" s="1">
        <v>2.5999999999999999E-3</v>
      </c>
      <c r="Q2764" s="1">
        <v>3.2300000000000002E-2</v>
      </c>
      <c r="R2764" s="1">
        <v>2.3E-3</v>
      </c>
      <c r="S2764" s="1">
        <v>5.0000000000000001E-3</v>
      </c>
      <c r="T2764" s="1">
        <v>5.3100000000000001E-2</v>
      </c>
      <c r="U2764" s="1">
        <v>1.3899999999999999E-2</v>
      </c>
      <c r="V2764" s="1">
        <v>9.9599999999999994E-2</v>
      </c>
    </row>
    <row r="2765" spans="1:22">
      <c r="A2765" s="25" t="s">
        <v>192</v>
      </c>
      <c r="B2765">
        <v>10377</v>
      </c>
      <c r="C2765" t="s">
        <v>192</v>
      </c>
      <c r="D2765">
        <v>10377</v>
      </c>
      <c r="E2765" s="1">
        <v>1.1900000000000001E-2</v>
      </c>
      <c r="F2765" s="1">
        <v>4.9000000000000002E-2</v>
      </c>
      <c r="G2765" s="1">
        <v>1.2200000000000001E-2</v>
      </c>
      <c r="H2765" s="1">
        <v>6.5100000000000005E-2</v>
      </c>
      <c r="I2765" s="1">
        <v>1.66E-2</v>
      </c>
      <c r="J2765" s="1">
        <v>8.9800000000000005E-2</v>
      </c>
      <c r="K2765" s="1">
        <v>5.1499999999999997E-2</v>
      </c>
      <c r="L2765" s="1">
        <v>3.0700000000000002E-2</v>
      </c>
      <c r="M2765" s="1">
        <v>3.0099999999999998E-2</v>
      </c>
      <c r="N2765" s="1">
        <v>9.2999999999999999E-2</v>
      </c>
      <c r="O2765" s="1">
        <v>0.69310000000000005</v>
      </c>
      <c r="P2765" s="1">
        <v>3.3E-3</v>
      </c>
      <c r="Q2765" s="1">
        <v>3.2599999999999997E-2</v>
      </c>
      <c r="R2765" s="1">
        <v>3.5000000000000001E-3</v>
      </c>
      <c r="S2765" s="1">
        <v>6.4000000000000003E-3</v>
      </c>
      <c r="T2765" s="1">
        <v>5.6599999999999998E-2</v>
      </c>
      <c r="U2765" s="1">
        <v>1.8200000000000001E-2</v>
      </c>
      <c r="V2765" s="1">
        <v>0.10489999999999999</v>
      </c>
    </row>
    <row r="2767" spans="1:22" ht="43.5">
      <c r="A2767" s="25" t="s">
        <v>882</v>
      </c>
    </row>
    <row r="2768" spans="1:22">
      <c r="A2768" s="25" t="s">
        <v>182</v>
      </c>
      <c r="B2768" t="s">
        <v>219</v>
      </c>
      <c r="C2768" t="s">
        <v>181</v>
      </c>
      <c r="D2768" t="s">
        <v>188</v>
      </c>
      <c r="E2768" t="s">
        <v>883</v>
      </c>
      <c r="F2768" t="s">
        <v>241</v>
      </c>
      <c r="G2768" t="s">
        <v>884</v>
      </c>
      <c r="H2768" t="s">
        <v>885</v>
      </c>
      <c r="I2768" t="s">
        <v>886</v>
      </c>
      <c r="J2768" t="s">
        <v>887</v>
      </c>
      <c r="K2768" t="s">
        <v>888</v>
      </c>
      <c r="L2768" t="s">
        <v>889</v>
      </c>
      <c r="M2768" t="s">
        <v>890</v>
      </c>
      <c r="N2768" t="s">
        <v>891</v>
      </c>
      <c r="O2768" t="s">
        <v>324</v>
      </c>
      <c r="P2768" t="s">
        <v>269</v>
      </c>
      <c r="Q2768" t="s">
        <v>892</v>
      </c>
      <c r="R2768" t="s">
        <v>893</v>
      </c>
      <c r="S2768" t="s">
        <v>243</v>
      </c>
      <c r="T2768" t="s">
        <v>894</v>
      </c>
    </row>
    <row r="2769" spans="1:20">
      <c r="A2769" s="25" t="s">
        <v>190</v>
      </c>
      <c r="B2769">
        <v>4902</v>
      </c>
      <c r="C2769" t="s">
        <v>189</v>
      </c>
      <c r="D2769">
        <v>10433</v>
      </c>
      <c r="E2769" s="1">
        <v>0.14779999999999999</v>
      </c>
      <c r="F2769" s="1">
        <v>1E-4</v>
      </c>
      <c r="G2769" s="1">
        <v>1.01E-2</v>
      </c>
      <c r="H2769" s="1">
        <v>2.76E-2</v>
      </c>
      <c r="I2769" s="1">
        <v>4.4999999999999998E-2</v>
      </c>
      <c r="J2769" s="1">
        <v>7.2800000000000004E-2</v>
      </c>
      <c r="K2769" s="1">
        <v>6.7400000000000002E-2</v>
      </c>
      <c r="L2769" s="1">
        <v>8.4900000000000003E-2</v>
      </c>
      <c r="M2769" s="1">
        <v>2.7000000000000001E-3</v>
      </c>
      <c r="N2769" s="1">
        <v>6.59E-2</v>
      </c>
      <c r="O2769" s="1">
        <v>1.1000000000000001E-3</v>
      </c>
      <c r="P2769" s="1">
        <v>3.5999999999999999E-3</v>
      </c>
      <c r="Q2769" s="1">
        <v>0.17829999999999999</v>
      </c>
      <c r="R2769" s="1">
        <v>0.55759999999999998</v>
      </c>
      <c r="S2769" s="1">
        <v>1.2999999999999999E-3</v>
      </c>
      <c r="T2769" s="1">
        <v>0.50780000000000003</v>
      </c>
    </row>
    <row r="2770" spans="1:20">
      <c r="A2770" s="25" t="s">
        <v>191</v>
      </c>
      <c r="B2770">
        <v>5474</v>
      </c>
      <c r="C2770" t="s">
        <v>189</v>
      </c>
      <c r="D2770">
        <v>10433</v>
      </c>
      <c r="E2770" s="1">
        <v>0.12839999999999999</v>
      </c>
      <c r="F2770" s="1">
        <v>0</v>
      </c>
      <c r="G2770" s="1">
        <v>1.23E-2</v>
      </c>
      <c r="H2770" s="1">
        <v>5.45E-2</v>
      </c>
      <c r="I2770" s="1">
        <v>6.4299999999999996E-2</v>
      </c>
      <c r="J2770" s="1">
        <v>1.5599999999999999E-2</v>
      </c>
      <c r="K2770" s="1">
        <v>3.2300000000000002E-2</v>
      </c>
      <c r="L2770" s="1">
        <v>0.1019</v>
      </c>
      <c r="M2770" s="1">
        <v>3.7000000000000002E-3</v>
      </c>
      <c r="N2770" s="1">
        <v>5.7099999999999998E-2</v>
      </c>
      <c r="O2770" s="1">
        <v>1.2999999999999999E-3</v>
      </c>
      <c r="P2770" s="1">
        <v>5.4000000000000003E-3</v>
      </c>
      <c r="Q2770" s="1">
        <v>0.17169999999999999</v>
      </c>
      <c r="R2770" s="1">
        <v>0.40760000000000002</v>
      </c>
      <c r="S2770" s="1">
        <v>1.8E-3</v>
      </c>
      <c r="T2770" s="1">
        <v>0.63380000000000003</v>
      </c>
    </row>
    <row r="2771" spans="1:20">
      <c r="A2771" s="25" t="s">
        <v>192</v>
      </c>
      <c r="B2771">
        <v>10433</v>
      </c>
      <c r="C2771" t="s">
        <v>192</v>
      </c>
      <c r="D2771">
        <v>10433</v>
      </c>
      <c r="E2771" s="1">
        <v>0.13569999999999999</v>
      </c>
      <c r="F2771" s="1">
        <v>1E-4</v>
      </c>
      <c r="G2771" s="1">
        <v>1.15E-2</v>
      </c>
      <c r="H2771" s="1">
        <v>4.4299999999999999E-2</v>
      </c>
      <c r="I2771" s="1">
        <v>5.7000000000000002E-2</v>
      </c>
      <c r="J2771" s="1">
        <v>3.7400000000000003E-2</v>
      </c>
      <c r="K2771" s="1">
        <v>4.5600000000000002E-2</v>
      </c>
      <c r="L2771" s="1">
        <v>9.5399999999999999E-2</v>
      </c>
      <c r="M2771" s="1">
        <v>3.3E-3</v>
      </c>
      <c r="N2771" s="1">
        <v>6.0400000000000002E-2</v>
      </c>
      <c r="O2771" s="1">
        <v>1.1999999999999999E-3</v>
      </c>
      <c r="P2771" s="1">
        <v>4.7000000000000002E-3</v>
      </c>
      <c r="Q2771" s="1">
        <v>0.17430000000000001</v>
      </c>
      <c r="R2771" s="1">
        <v>0.46450000000000002</v>
      </c>
      <c r="S2771" s="1">
        <v>1.6000000000000001E-3</v>
      </c>
      <c r="T2771" s="1">
        <v>0.58579999999999999</v>
      </c>
    </row>
    <row r="2773" spans="1:20" ht="57.95">
      <c r="A2773" s="25" t="s">
        <v>895</v>
      </c>
    </row>
    <row r="2774" spans="1:20">
      <c r="A2774" s="25" t="s">
        <v>182</v>
      </c>
      <c r="B2774" t="s">
        <v>219</v>
      </c>
      <c r="C2774" t="s">
        <v>181</v>
      </c>
      <c r="D2774" t="s">
        <v>188</v>
      </c>
      <c r="E2774" t="s">
        <v>883</v>
      </c>
      <c r="F2774" t="s">
        <v>241</v>
      </c>
      <c r="G2774" t="s">
        <v>884</v>
      </c>
      <c r="H2774" t="s">
        <v>885</v>
      </c>
      <c r="I2774" t="s">
        <v>886</v>
      </c>
      <c r="J2774" t="s">
        <v>887</v>
      </c>
      <c r="K2774" t="s">
        <v>888</v>
      </c>
      <c r="L2774" t="s">
        <v>889</v>
      </c>
      <c r="M2774" t="s">
        <v>890</v>
      </c>
      <c r="N2774" t="s">
        <v>891</v>
      </c>
      <c r="O2774" t="s">
        <v>324</v>
      </c>
      <c r="P2774" t="s">
        <v>269</v>
      </c>
      <c r="Q2774" t="s">
        <v>892</v>
      </c>
      <c r="R2774" t="s">
        <v>893</v>
      </c>
      <c r="S2774" t="s">
        <v>243</v>
      </c>
      <c r="T2774" t="s">
        <v>894</v>
      </c>
    </row>
    <row r="2775" spans="1:20" ht="29.1">
      <c r="A2775" s="25" t="s">
        <v>194</v>
      </c>
      <c r="B2775">
        <v>5954</v>
      </c>
      <c r="C2775" t="s">
        <v>189</v>
      </c>
      <c r="D2775">
        <v>10433</v>
      </c>
      <c r="E2775" s="1">
        <v>0.12740000000000001</v>
      </c>
      <c r="F2775" s="1">
        <v>1E-4</v>
      </c>
      <c r="G2775" s="1">
        <v>6.0000000000000001E-3</v>
      </c>
      <c r="H2775" s="1">
        <v>3.2899999999999999E-2</v>
      </c>
      <c r="I2775" s="1">
        <v>5.8700000000000002E-2</v>
      </c>
      <c r="J2775" s="1">
        <v>4.1599999999999998E-2</v>
      </c>
      <c r="K2775" s="1">
        <v>5.0999999999999997E-2</v>
      </c>
      <c r="L2775" s="1">
        <v>9.3799999999999994E-2</v>
      </c>
      <c r="M2775" s="1">
        <v>3.2000000000000002E-3</v>
      </c>
      <c r="N2775" s="1">
        <v>6.4899999999999999E-2</v>
      </c>
      <c r="O2775" s="1">
        <v>8.9999999999999998E-4</v>
      </c>
      <c r="P2775" s="1">
        <v>5.0000000000000001E-3</v>
      </c>
      <c r="Q2775" s="1">
        <v>0.1668</v>
      </c>
      <c r="R2775" s="1">
        <v>0.48139999999999999</v>
      </c>
      <c r="S2775" s="1">
        <v>1.1999999999999999E-3</v>
      </c>
      <c r="T2775" s="1">
        <v>0.58819999999999995</v>
      </c>
    </row>
    <row r="2776" spans="1:20" ht="29.1">
      <c r="A2776" s="25" t="s">
        <v>195</v>
      </c>
      <c r="B2776">
        <v>2703</v>
      </c>
      <c r="C2776" t="s">
        <v>189</v>
      </c>
      <c r="D2776">
        <v>10433</v>
      </c>
      <c r="E2776" s="1">
        <v>0.14610000000000001</v>
      </c>
      <c r="G2776" s="1">
        <v>1.9E-2</v>
      </c>
      <c r="H2776" s="1">
        <v>5.0500000000000003E-2</v>
      </c>
      <c r="I2776" s="1">
        <v>5.5800000000000002E-2</v>
      </c>
      <c r="J2776" s="1">
        <v>3.0800000000000001E-2</v>
      </c>
      <c r="K2776" s="1">
        <v>3.1099999999999999E-2</v>
      </c>
      <c r="L2776" s="1">
        <v>0.1104</v>
      </c>
      <c r="M2776" s="1">
        <v>4.0000000000000001E-3</v>
      </c>
      <c r="N2776" s="1">
        <v>5.0200000000000002E-2</v>
      </c>
      <c r="O2776" s="1">
        <v>8.0000000000000004E-4</v>
      </c>
      <c r="P2776" s="1">
        <v>3.3999999999999998E-3</v>
      </c>
      <c r="Q2776" s="1">
        <v>0.18809999999999999</v>
      </c>
      <c r="R2776" s="1">
        <v>0.43390000000000001</v>
      </c>
      <c r="S2776" s="1">
        <v>1.8E-3</v>
      </c>
      <c r="T2776" s="1">
        <v>0.5867</v>
      </c>
    </row>
    <row r="2777" spans="1:20" ht="29.1">
      <c r="A2777" s="25" t="s">
        <v>196</v>
      </c>
      <c r="B2777">
        <v>1719</v>
      </c>
      <c r="C2777" t="s">
        <v>189</v>
      </c>
      <c r="D2777">
        <v>10433</v>
      </c>
      <c r="E2777" s="1">
        <v>0.17910000000000001</v>
      </c>
      <c r="F2777" s="1">
        <v>2.0000000000000001E-4</v>
      </c>
      <c r="G2777" s="1">
        <v>3.7499999999999999E-2</v>
      </c>
      <c r="H2777" s="1">
        <v>0.1177</v>
      </c>
      <c r="I2777" s="1">
        <v>4.5400000000000003E-2</v>
      </c>
      <c r="J2777" s="1">
        <v>1.9099999999999999E-2</v>
      </c>
      <c r="K2777" s="1">
        <v>3.5200000000000002E-2</v>
      </c>
      <c r="L2777" s="1">
        <v>7.6899999999999996E-2</v>
      </c>
      <c r="M2777" s="1">
        <v>2.7000000000000001E-3</v>
      </c>
      <c r="N2777" s="1">
        <v>4.8000000000000001E-2</v>
      </c>
      <c r="O2777" s="1">
        <v>4.3E-3</v>
      </c>
      <c r="P2777" s="1">
        <v>5.0000000000000001E-3</v>
      </c>
      <c r="Q2777" s="1">
        <v>0.2021</v>
      </c>
      <c r="R2777" s="1">
        <v>0.40229999999999999</v>
      </c>
      <c r="S2777" s="1">
        <v>4.4000000000000003E-3</v>
      </c>
      <c r="T2777" s="1">
        <v>0.56469999999999998</v>
      </c>
    </row>
    <row r="2778" spans="1:20">
      <c r="A2778" s="25" t="s">
        <v>192</v>
      </c>
      <c r="B2778">
        <v>10433</v>
      </c>
      <c r="C2778" t="s">
        <v>192</v>
      </c>
      <c r="D2778">
        <v>10433</v>
      </c>
      <c r="E2778" s="1">
        <v>0.13569999999999999</v>
      </c>
      <c r="F2778" s="1">
        <v>1E-4</v>
      </c>
      <c r="G2778" s="1">
        <v>1.15E-2</v>
      </c>
      <c r="H2778" s="1">
        <v>4.4299999999999999E-2</v>
      </c>
      <c r="I2778" s="1">
        <v>5.7000000000000002E-2</v>
      </c>
      <c r="J2778" s="1">
        <v>3.7400000000000003E-2</v>
      </c>
      <c r="K2778" s="1">
        <v>4.5600000000000002E-2</v>
      </c>
      <c r="L2778" s="1">
        <v>9.5399999999999999E-2</v>
      </c>
      <c r="M2778" s="1">
        <v>3.3E-3</v>
      </c>
      <c r="N2778" s="1">
        <v>6.0400000000000002E-2</v>
      </c>
      <c r="O2778" s="1">
        <v>1.1999999999999999E-3</v>
      </c>
      <c r="P2778" s="1">
        <v>4.7000000000000002E-3</v>
      </c>
      <c r="Q2778" s="1">
        <v>0.17430000000000001</v>
      </c>
      <c r="R2778" s="1">
        <v>0.46450000000000002</v>
      </c>
      <c r="S2778" s="1">
        <v>1.6000000000000001E-3</v>
      </c>
      <c r="T2778" s="1">
        <v>0.58579999999999999</v>
      </c>
    </row>
    <row r="2780" spans="1:20" ht="43.5">
      <c r="A2780" s="25" t="s">
        <v>896</v>
      </c>
    </row>
    <row r="2781" spans="1:20">
      <c r="A2781" s="25" t="s">
        <v>182</v>
      </c>
      <c r="B2781" t="s">
        <v>219</v>
      </c>
      <c r="C2781" t="s">
        <v>181</v>
      </c>
      <c r="D2781" t="s">
        <v>188</v>
      </c>
      <c r="E2781" t="s">
        <v>883</v>
      </c>
      <c r="F2781" t="s">
        <v>241</v>
      </c>
      <c r="G2781" t="s">
        <v>884</v>
      </c>
      <c r="H2781" t="s">
        <v>885</v>
      </c>
      <c r="I2781" t="s">
        <v>886</v>
      </c>
      <c r="J2781" t="s">
        <v>887</v>
      </c>
      <c r="K2781" t="s">
        <v>888</v>
      </c>
      <c r="L2781" t="s">
        <v>889</v>
      </c>
      <c r="M2781" t="s">
        <v>890</v>
      </c>
      <c r="N2781" t="s">
        <v>891</v>
      </c>
      <c r="O2781" t="s">
        <v>324</v>
      </c>
      <c r="P2781" t="s">
        <v>269</v>
      </c>
      <c r="Q2781" t="s">
        <v>892</v>
      </c>
      <c r="R2781" t="s">
        <v>893</v>
      </c>
      <c r="S2781" t="s">
        <v>243</v>
      </c>
      <c r="T2781" t="s">
        <v>894</v>
      </c>
    </row>
    <row r="2782" spans="1:20">
      <c r="A2782" s="25" t="s">
        <v>198</v>
      </c>
      <c r="B2782">
        <v>2264</v>
      </c>
      <c r="C2782" t="s">
        <v>189</v>
      </c>
      <c r="D2782">
        <v>10433</v>
      </c>
      <c r="E2782" s="1">
        <v>8.7499999999999994E-2</v>
      </c>
      <c r="F2782" s="1">
        <v>2.9999999999999997E-4</v>
      </c>
      <c r="G2782" s="1">
        <v>1.6500000000000001E-2</v>
      </c>
      <c r="H2782" s="1">
        <v>7.0999999999999994E-2</v>
      </c>
      <c r="I2782" s="1">
        <v>3.5000000000000003E-2</v>
      </c>
      <c r="J2782" s="1">
        <v>3.5499999999999997E-2</v>
      </c>
      <c r="K2782" s="1">
        <v>6.9800000000000001E-2</v>
      </c>
      <c r="L2782" s="1">
        <v>0.1265</v>
      </c>
      <c r="M2782" s="1">
        <v>5.4000000000000003E-3</v>
      </c>
      <c r="N2782" s="1">
        <v>7.3200000000000001E-2</v>
      </c>
      <c r="O2782" s="1">
        <v>1.4E-3</v>
      </c>
      <c r="P2782" s="1">
        <v>4.3E-3</v>
      </c>
      <c r="Q2782" s="1">
        <v>0.25640000000000002</v>
      </c>
      <c r="R2782" s="1">
        <v>0.7742</v>
      </c>
      <c r="S2782" s="1">
        <v>1.9E-3</v>
      </c>
      <c r="T2782" s="1">
        <v>0.3856</v>
      </c>
    </row>
    <row r="2783" spans="1:20">
      <c r="A2783" s="25" t="s">
        <v>199</v>
      </c>
      <c r="B2783">
        <v>8169</v>
      </c>
      <c r="C2783" t="s">
        <v>189</v>
      </c>
      <c r="D2783">
        <v>10433</v>
      </c>
      <c r="E2783" s="1">
        <v>0.14660000000000001</v>
      </c>
      <c r="F2783" s="1">
        <v>0</v>
      </c>
      <c r="G2783" s="1">
        <v>1.03E-2</v>
      </c>
      <c r="H2783" s="1">
        <v>3.8300000000000001E-2</v>
      </c>
      <c r="I2783" s="1">
        <v>6.1899999999999997E-2</v>
      </c>
      <c r="J2783" s="1">
        <v>3.78E-2</v>
      </c>
      <c r="K2783" s="1">
        <v>4.02E-2</v>
      </c>
      <c r="L2783" s="1">
        <v>8.8400000000000006E-2</v>
      </c>
      <c r="M2783" s="1">
        <v>2.8E-3</v>
      </c>
      <c r="N2783" s="1">
        <v>5.7500000000000002E-2</v>
      </c>
      <c r="O2783" s="1">
        <v>1.1999999999999999E-3</v>
      </c>
      <c r="P2783" s="1">
        <v>4.7999999999999996E-3</v>
      </c>
      <c r="Q2783" s="1">
        <v>0.15590000000000001</v>
      </c>
      <c r="R2783" s="1">
        <v>0.39510000000000001</v>
      </c>
      <c r="S2783" s="1">
        <v>1.6000000000000001E-3</v>
      </c>
      <c r="T2783" s="1">
        <v>0.63060000000000005</v>
      </c>
    </row>
    <row r="2784" spans="1:20">
      <c r="A2784" s="25" t="s">
        <v>192</v>
      </c>
      <c r="B2784">
        <v>10433</v>
      </c>
      <c r="C2784" t="s">
        <v>192</v>
      </c>
      <c r="D2784">
        <v>10433</v>
      </c>
      <c r="E2784" s="1">
        <v>0.13569999999999999</v>
      </c>
      <c r="F2784" s="1">
        <v>1E-4</v>
      </c>
      <c r="G2784" s="1">
        <v>1.15E-2</v>
      </c>
      <c r="H2784" s="1">
        <v>4.4299999999999999E-2</v>
      </c>
      <c r="I2784" s="1">
        <v>5.7000000000000002E-2</v>
      </c>
      <c r="J2784" s="1">
        <v>3.7400000000000003E-2</v>
      </c>
      <c r="K2784" s="1">
        <v>4.5600000000000002E-2</v>
      </c>
      <c r="L2784" s="1">
        <v>9.5399999999999999E-2</v>
      </c>
      <c r="M2784" s="1">
        <v>3.3E-3</v>
      </c>
      <c r="N2784" s="1">
        <v>6.0400000000000002E-2</v>
      </c>
      <c r="O2784" s="1">
        <v>1.1999999999999999E-3</v>
      </c>
      <c r="P2784" s="1">
        <v>4.7000000000000002E-3</v>
      </c>
      <c r="Q2784" s="1">
        <v>0.17430000000000001</v>
      </c>
      <c r="R2784" s="1">
        <v>0.46450000000000002</v>
      </c>
      <c r="S2784" s="1">
        <v>1.6000000000000001E-3</v>
      </c>
      <c r="T2784" s="1">
        <v>0.58579999999999999</v>
      </c>
    </row>
    <row r="2786" spans="1:20" ht="43.5">
      <c r="A2786" s="25" t="s">
        <v>897</v>
      </c>
    </row>
    <row r="2787" spans="1:20">
      <c r="A2787" s="25" t="s">
        <v>182</v>
      </c>
      <c r="B2787" t="s">
        <v>219</v>
      </c>
      <c r="C2787" t="s">
        <v>181</v>
      </c>
      <c r="D2787" t="s">
        <v>188</v>
      </c>
      <c r="E2787" t="s">
        <v>883</v>
      </c>
      <c r="F2787" t="s">
        <v>241</v>
      </c>
      <c r="G2787" t="s">
        <v>884</v>
      </c>
      <c r="H2787" t="s">
        <v>885</v>
      </c>
      <c r="I2787" t="s">
        <v>886</v>
      </c>
      <c r="J2787" t="s">
        <v>887</v>
      </c>
      <c r="K2787" t="s">
        <v>888</v>
      </c>
      <c r="L2787" t="s">
        <v>889</v>
      </c>
      <c r="M2787" t="s">
        <v>890</v>
      </c>
      <c r="N2787" t="s">
        <v>891</v>
      </c>
      <c r="O2787" t="s">
        <v>324</v>
      </c>
      <c r="P2787" t="s">
        <v>269</v>
      </c>
      <c r="Q2787" t="s">
        <v>892</v>
      </c>
      <c r="R2787" t="s">
        <v>893</v>
      </c>
      <c r="S2787" t="s">
        <v>243</v>
      </c>
      <c r="T2787" t="s">
        <v>894</v>
      </c>
    </row>
    <row r="2788" spans="1:20">
      <c r="A2788" s="25" t="s">
        <v>201</v>
      </c>
      <c r="B2788">
        <v>766</v>
      </c>
      <c r="C2788" t="s">
        <v>189</v>
      </c>
      <c r="D2788">
        <v>10433</v>
      </c>
      <c r="E2788" s="1">
        <v>0.1739</v>
      </c>
      <c r="F2788" s="1">
        <v>2.9999999999999997E-4</v>
      </c>
      <c r="G2788" s="1">
        <v>4.4999999999999998E-2</v>
      </c>
      <c r="H2788" s="1">
        <v>0.52380000000000004</v>
      </c>
      <c r="I2788" s="1">
        <v>2.35E-2</v>
      </c>
      <c r="J2788" s="1">
        <v>1.3100000000000001E-2</v>
      </c>
      <c r="K2788" s="1">
        <v>4.3E-3</v>
      </c>
      <c r="L2788" s="1">
        <v>8.8900000000000007E-2</v>
      </c>
      <c r="M2788" s="1">
        <v>7.3000000000000001E-3</v>
      </c>
      <c r="N2788" s="1">
        <v>4.1000000000000002E-2</v>
      </c>
      <c r="O2788" s="1">
        <v>1.5E-3</v>
      </c>
      <c r="P2788" s="1">
        <v>7.7999999999999996E-3</v>
      </c>
      <c r="Q2788" s="1">
        <v>0.28129999999999999</v>
      </c>
      <c r="R2788" s="1">
        <v>0.32950000000000002</v>
      </c>
      <c r="S2788" s="1">
        <v>4.0000000000000002E-4</v>
      </c>
      <c r="T2788" s="1">
        <v>0.58450000000000002</v>
      </c>
    </row>
    <row r="2789" spans="1:20">
      <c r="A2789" s="25" t="s">
        <v>202</v>
      </c>
      <c r="B2789">
        <v>110</v>
      </c>
      <c r="C2789" t="s">
        <v>189</v>
      </c>
      <c r="D2789">
        <v>10433</v>
      </c>
      <c r="E2789" s="1">
        <v>0.1021</v>
      </c>
      <c r="G2789" s="1">
        <v>2.6200000000000001E-2</v>
      </c>
      <c r="H2789" s="1">
        <v>0.1608</v>
      </c>
      <c r="I2789" s="1">
        <v>7.7700000000000005E-2</v>
      </c>
      <c r="J2789" s="1">
        <v>1.6500000000000001E-2</v>
      </c>
      <c r="K2789" s="1">
        <v>8.4400000000000003E-2</v>
      </c>
      <c r="L2789" s="1">
        <v>0.1091</v>
      </c>
      <c r="N2789" s="1">
        <v>3.2899999999999999E-2</v>
      </c>
      <c r="P2789" s="1">
        <v>2.1399999999999999E-2</v>
      </c>
      <c r="Q2789" s="1">
        <v>0.2324</v>
      </c>
      <c r="R2789" s="1">
        <v>0.32879999999999998</v>
      </c>
      <c r="S2789" s="1">
        <v>9.1999999999999998E-3</v>
      </c>
      <c r="T2789" s="1">
        <v>0.54090000000000005</v>
      </c>
    </row>
    <row r="2790" spans="1:20">
      <c r="A2790" s="25" t="s">
        <v>203</v>
      </c>
      <c r="B2790">
        <v>8042</v>
      </c>
      <c r="C2790" t="s">
        <v>189</v>
      </c>
      <c r="D2790">
        <v>10433</v>
      </c>
      <c r="E2790" s="1">
        <v>0.13070000000000001</v>
      </c>
      <c r="F2790" s="1">
        <v>0</v>
      </c>
      <c r="G2790" s="1">
        <v>8.0000000000000002E-3</v>
      </c>
      <c r="H2790" s="1">
        <v>3.3E-3</v>
      </c>
      <c r="I2790" s="1">
        <v>5.04E-2</v>
      </c>
      <c r="J2790" s="1">
        <v>4.2700000000000002E-2</v>
      </c>
      <c r="K2790" s="1">
        <v>4.7300000000000002E-2</v>
      </c>
      <c r="L2790" s="1">
        <v>9.6100000000000005E-2</v>
      </c>
      <c r="M2790" s="1">
        <v>3.0000000000000001E-3</v>
      </c>
      <c r="N2790" s="1">
        <v>6.0900000000000003E-2</v>
      </c>
      <c r="O2790" s="1">
        <v>1.1999999999999999E-3</v>
      </c>
      <c r="P2790" s="1">
        <v>4.4000000000000003E-3</v>
      </c>
      <c r="Q2790" s="1">
        <v>0.1618</v>
      </c>
      <c r="R2790" s="1">
        <v>0.51419999999999999</v>
      </c>
      <c r="S2790" s="1">
        <v>1.4E-3</v>
      </c>
      <c r="T2790" s="1">
        <v>0.55869999999999997</v>
      </c>
    </row>
    <row r="2791" spans="1:20">
      <c r="A2791" s="25" t="s">
        <v>204</v>
      </c>
      <c r="B2791">
        <v>31</v>
      </c>
      <c r="C2791" t="s">
        <v>189</v>
      </c>
      <c r="D2791">
        <v>10433</v>
      </c>
      <c r="E2791" s="1">
        <v>9.4E-2</v>
      </c>
      <c r="G2791" s="1">
        <v>4.02E-2</v>
      </c>
      <c r="H2791" s="1">
        <v>9.4899999999999998E-2</v>
      </c>
      <c r="I2791" s="1">
        <v>7.2400000000000006E-2</v>
      </c>
      <c r="L2791" s="1">
        <v>3.2000000000000001E-2</v>
      </c>
      <c r="Q2791" s="1">
        <v>0.18210000000000001</v>
      </c>
      <c r="R2791" s="1">
        <v>0.443</v>
      </c>
      <c r="S2791" s="1">
        <v>4.8000000000000001E-2</v>
      </c>
      <c r="T2791" s="1">
        <v>0.59119999999999995</v>
      </c>
    </row>
    <row r="2792" spans="1:20">
      <c r="A2792" s="25" t="s">
        <v>205</v>
      </c>
      <c r="B2792">
        <v>1484</v>
      </c>
      <c r="C2792" t="s">
        <v>189</v>
      </c>
      <c r="D2792">
        <v>10433</v>
      </c>
      <c r="E2792" s="1">
        <v>0.14729999999999999</v>
      </c>
      <c r="F2792" s="1">
        <v>2.9999999999999997E-4</v>
      </c>
      <c r="G2792" s="1">
        <v>1.35E-2</v>
      </c>
      <c r="H2792" s="1">
        <v>3.0800000000000001E-2</v>
      </c>
      <c r="I2792" s="1">
        <v>0.1099</v>
      </c>
      <c r="J2792" s="1">
        <v>2.0500000000000001E-2</v>
      </c>
      <c r="K2792" s="1">
        <v>5.6099999999999997E-2</v>
      </c>
      <c r="L2792" s="1">
        <v>9.4899999999999998E-2</v>
      </c>
      <c r="M2792" s="1">
        <v>3.0999999999999999E-3</v>
      </c>
      <c r="N2792" s="1">
        <v>6.9599999999999995E-2</v>
      </c>
      <c r="O2792" s="1">
        <v>1.1000000000000001E-3</v>
      </c>
      <c r="P2792" s="1">
        <v>4.5999999999999999E-3</v>
      </c>
      <c r="Q2792" s="1">
        <v>0.189</v>
      </c>
      <c r="R2792" s="1">
        <v>0.25540000000000002</v>
      </c>
      <c r="S2792" s="1">
        <v>2.7000000000000001E-3</v>
      </c>
      <c r="T2792" s="1">
        <v>0.74270000000000003</v>
      </c>
    </row>
    <row r="2793" spans="1:20">
      <c r="A2793" s="25" t="s">
        <v>192</v>
      </c>
      <c r="B2793">
        <v>10433</v>
      </c>
      <c r="C2793" t="s">
        <v>192</v>
      </c>
      <c r="D2793">
        <v>10433</v>
      </c>
      <c r="E2793" s="1">
        <v>0.13569999999999999</v>
      </c>
      <c r="F2793" s="1">
        <v>1E-4</v>
      </c>
      <c r="G2793" s="1">
        <v>1.15E-2</v>
      </c>
      <c r="H2793" s="1">
        <v>4.4299999999999999E-2</v>
      </c>
      <c r="I2793" s="1">
        <v>5.7000000000000002E-2</v>
      </c>
      <c r="J2793" s="1">
        <v>3.7400000000000003E-2</v>
      </c>
      <c r="K2793" s="1">
        <v>4.5600000000000002E-2</v>
      </c>
      <c r="L2793" s="1">
        <v>9.5399999999999999E-2</v>
      </c>
      <c r="M2793" s="1">
        <v>3.3E-3</v>
      </c>
      <c r="N2793" s="1">
        <v>6.0400000000000002E-2</v>
      </c>
      <c r="O2793" s="1">
        <v>1.1999999999999999E-3</v>
      </c>
      <c r="P2793" s="1">
        <v>4.7000000000000002E-3</v>
      </c>
      <c r="Q2793" s="1">
        <v>0.17430000000000001</v>
      </c>
      <c r="R2793" s="1">
        <v>0.46450000000000002</v>
      </c>
      <c r="S2793" s="1">
        <v>1.6000000000000001E-3</v>
      </c>
      <c r="T2793" s="1">
        <v>0.58579999999999999</v>
      </c>
    </row>
    <row r="2795" spans="1:20" ht="43.5">
      <c r="A2795" s="25" t="s">
        <v>898</v>
      </c>
    </row>
    <row r="2796" spans="1:20">
      <c r="A2796" s="25" t="s">
        <v>182</v>
      </c>
      <c r="B2796" t="s">
        <v>219</v>
      </c>
      <c r="C2796" t="s">
        <v>181</v>
      </c>
      <c r="D2796" t="s">
        <v>188</v>
      </c>
      <c r="E2796" t="s">
        <v>883</v>
      </c>
      <c r="F2796" t="s">
        <v>241</v>
      </c>
      <c r="G2796" t="s">
        <v>884</v>
      </c>
      <c r="H2796" t="s">
        <v>885</v>
      </c>
      <c r="I2796" t="s">
        <v>886</v>
      </c>
      <c r="J2796" t="s">
        <v>887</v>
      </c>
      <c r="K2796" t="s">
        <v>888</v>
      </c>
      <c r="L2796" t="s">
        <v>889</v>
      </c>
      <c r="M2796" t="s">
        <v>890</v>
      </c>
      <c r="N2796" t="s">
        <v>891</v>
      </c>
      <c r="O2796" t="s">
        <v>324</v>
      </c>
      <c r="P2796" t="s">
        <v>269</v>
      </c>
      <c r="Q2796" t="s">
        <v>892</v>
      </c>
      <c r="R2796" t="s">
        <v>893</v>
      </c>
      <c r="S2796" t="s">
        <v>243</v>
      </c>
      <c r="T2796" t="s">
        <v>894</v>
      </c>
    </row>
    <row r="2797" spans="1:20">
      <c r="A2797" s="25" t="s">
        <v>207</v>
      </c>
      <c r="B2797">
        <v>7254</v>
      </c>
      <c r="C2797" t="s">
        <v>189</v>
      </c>
      <c r="D2797">
        <v>10433</v>
      </c>
      <c r="E2797" s="1">
        <v>0.14330000000000001</v>
      </c>
      <c r="F2797" s="1">
        <v>1E-4</v>
      </c>
      <c r="G2797" s="1">
        <v>1.09E-2</v>
      </c>
      <c r="H2797" s="1">
        <v>4.5900000000000003E-2</v>
      </c>
      <c r="I2797" s="1">
        <v>6.8000000000000005E-2</v>
      </c>
      <c r="J2797" s="1">
        <v>4.1000000000000002E-2</v>
      </c>
      <c r="K2797" s="1">
        <v>4.9799999999999997E-2</v>
      </c>
      <c r="L2797" s="1">
        <v>6.9199999999999998E-2</v>
      </c>
      <c r="M2797" s="1">
        <v>2.8E-3</v>
      </c>
      <c r="N2797" s="1">
        <v>5.6300000000000003E-2</v>
      </c>
      <c r="O2797" s="1">
        <v>2.9999999999999997E-4</v>
      </c>
      <c r="P2797" s="1">
        <v>3.0999999999999999E-3</v>
      </c>
      <c r="Q2797" s="1">
        <v>0.17319999999999999</v>
      </c>
      <c r="R2797" s="1">
        <v>0.41460000000000002</v>
      </c>
      <c r="S2797" s="1">
        <v>1.6999999999999999E-3</v>
      </c>
      <c r="T2797" s="1">
        <v>0.65590000000000004</v>
      </c>
    </row>
    <row r="2798" spans="1:20">
      <c r="A2798" s="25" t="s">
        <v>208</v>
      </c>
      <c r="B2798">
        <v>2244</v>
      </c>
      <c r="C2798" t="s">
        <v>189</v>
      </c>
      <c r="D2798">
        <v>10433</v>
      </c>
      <c r="E2798" s="1">
        <v>9.1300000000000006E-2</v>
      </c>
      <c r="G2798" s="1">
        <v>1.23E-2</v>
      </c>
      <c r="H2798" s="1">
        <v>2.75E-2</v>
      </c>
      <c r="I2798" s="1">
        <v>1.5900000000000001E-2</v>
      </c>
      <c r="J2798" s="1">
        <v>1.9199999999999998E-2</v>
      </c>
      <c r="K2798" s="1">
        <v>3.1E-2</v>
      </c>
      <c r="L2798" s="1">
        <v>0.1963</v>
      </c>
      <c r="M2798" s="1">
        <v>3.2000000000000002E-3</v>
      </c>
      <c r="N2798" s="1">
        <v>8.0500000000000002E-2</v>
      </c>
      <c r="O2798" s="1">
        <v>4.7000000000000002E-3</v>
      </c>
      <c r="P2798" s="1">
        <v>8.8000000000000005E-3</v>
      </c>
      <c r="Q2798" s="1">
        <v>9.9099999999999994E-2</v>
      </c>
      <c r="R2798" s="1">
        <v>0.6089</v>
      </c>
      <c r="S2798" s="1">
        <v>1.8E-3</v>
      </c>
      <c r="T2798" s="1">
        <v>0.2858</v>
      </c>
    </row>
    <row r="2799" spans="1:20">
      <c r="A2799" s="25" t="s">
        <v>209</v>
      </c>
      <c r="B2799">
        <v>935</v>
      </c>
      <c r="C2799" t="s">
        <v>189</v>
      </c>
      <c r="D2799">
        <v>10433</v>
      </c>
      <c r="E2799" s="1">
        <v>0.19620000000000001</v>
      </c>
      <c r="G2799" s="1">
        <v>1.4200000000000001E-2</v>
      </c>
      <c r="H2799" s="1">
        <v>7.85E-2</v>
      </c>
      <c r="I2799" s="1">
        <v>7.6499999999999999E-2</v>
      </c>
      <c r="J2799" s="1">
        <v>5.7500000000000002E-2</v>
      </c>
      <c r="K2799" s="1">
        <v>5.0299999999999997E-2</v>
      </c>
      <c r="L2799" s="1">
        <v>3.8899999999999997E-2</v>
      </c>
      <c r="M2799" s="1">
        <v>8.3999999999999995E-3</v>
      </c>
      <c r="N2799" s="1">
        <v>3.9100000000000003E-2</v>
      </c>
      <c r="P2799" s="1">
        <v>7.3000000000000001E-3</v>
      </c>
      <c r="Q2799" s="1">
        <v>0.3997</v>
      </c>
      <c r="R2799" s="1">
        <v>0.49459999999999998</v>
      </c>
      <c r="S2799" s="1">
        <v>5.0000000000000001E-4</v>
      </c>
      <c r="T2799" s="1">
        <v>0.82189999999999996</v>
      </c>
    </row>
    <row r="2800" spans="1:20">
      <c r="A2800" s="25" t="s">
        <v>192</v>
      </c>
      <c r="B2800">
        <v>10433</v>
      </c>
      <c r="C2800" t="s">
        <v>192</v>
      </c>
      <c r="D2800">
        <v>10433</v>
      </c>
      <c r="E2800" s="1">
        <v>0.13569999999999999</v>
      </c>
      <c r="F2800" s="1">
        <v>1E-4</v>
      </c>
      <c r="G2800" s="1">
        <v>1.15E-2</v>
      </c>
      <c r="H2800" s="1">
        <v>4.4299999999999999E-2</v>
      </c>
      <c r="I2800" s="1">
        <v>5.7000000000000002E-2</v>
      </c>
      <c r="J2800" s="1">
        <v>3.7400000000000003E-2</v>
      </c>
      <c r="K2800" s="1">
        <v>4.5600000000000002E-2</v>
      </c>
      <c r="L2800" s="1">
        <v>9.5399999999999999E-2</v>
      </c>
      <c r="M2800" s="1">
        <v>3.3E-3</v>
      </c>
      <c r="N2800" s="1">
        <v>6.0400000000000002E-2</v>
      </c>
      <c r="O2800" s="1">
        <v>1.1999999999999999E-3</v>
      </c>
      <c r="P2800" s="1">
        <v>4.7000000000000002E-3</v>
      </c>
      <c r="Q2800" s="1">
        <v>0.17430000000000001</v>
      </c>
      <c r="R2800" s="1">
        <v>0.46450000000000002</v>
      </c>
      <c r="S2800" s="1">
        <v>1.6000000000000001E-3</v>
      </c>
      <c r="T2800" s="1">
        <v>0.58579999999999999</v>
      </c>
    </row>
    <row r="2802" spans="1:55" ht="43.5">
      <c r="A2802" s="25" t="s">
        <v>899</v>
      </c>
    </row>
    <row r="2803" spans="1:55">
      <c r="A2803" s="25" t="s">
        <v>182</v>
      </c>
      <c r="B2803" t="s">
        <v>219</v>
      </c>
      <c r="C2803" t="s">
        <v>181</v>
      </c>
      <c r="D2803" t="s">
        <v>188</v>
      </c>
      <c r="E2803" t="s">
        <v>883</v>
      </c>
      <c r="F2803" t="s">
        <v>241</v>
      </c>
      <c r="G2803" t="s">
        <v>884</v>
      </c>
      <c r="H2803" t="s">
        <v>885</v>
      </c>
      <c r="I2803" t="s">
        <v>886</v>
      </c>
      <c r="J2803" t="s">
        <v>887</v>
      </c>
      <c r="K2803" t="s">
        <v>888</v>
      </c>
      <c r="L2803" t="s">
        <v>889</v>
      </c>
      <c r="M2803" t="s">
        <v>890</v>
      </c>
      <c r="N2803" t="s">
        <v>891</v>
      </c>
      <c r="O2803" t="s">
        <v>324</v>
      </c>
      <c r="P2803" t="s">
        <v>269</v>
      </c>
      <c r="Q2803" t="s">
        <v>892</v>
      </c>
      <c r="R2803" t="s">
        <v>893</v>
      </c>
      <c r="S2803" t="s">
        <v>243</v>
      </c>
      <c r="T2803" t="s">
        <v>894</v>
      </c>
    </row>
    <row r="2804" spans="1:55">
      <c r="A2804" s="25" t="s">
        <v>211</v>
      </c>
      <c r="B2804">
        <v>4972</v>
      </c>
      <c r="C2804" t="s">
        <v>189</v>
      </c>
      <c r="D2804">
        <v>10433</v>
      </c>
      <c r="E2804" s="1">
        <v>0.15229999999999999</v>
      </c>
      <c r="G2804" s="1">
        <v>9.7000000000000003E-3</v>
      </c>
      <c r="H2804" s="1">
        <v>3.8699999999999998E-2</v>
      </c>
      <c r="I2804" s="1">
        <v>7.2099999999999997E-2</v>
      </c>
      <c r="J2804" s="1">
        <v>4.7600000000000003E-2</v>
      </c>
      <c r="K2804" s="1">
        <v>5.6000000000000001E-2</v>
      </c>
      <c r="L2804" s="1">
        <v>5.7000000000000002E-2</v>
      </c>
      <c r="M2804" s="1">
        <v>4.1999999999999997E-3</v>
      </c>
      <c r="N2804" s="1">
        <v>5.0299999999999997E-2</v>
      </c>
      <c r="O2804" s="1">
        <v>2.0000000000000001E-4</v>
      </c>
      <c r="P2804" s="1">
        <v>2E-3</v>
      </c>
      <c r="Q2804" s="1">
        <v>0.18010000000000001</v>
      </c>
      <c r="R2804" s="1">
        <v>0.42480000000000001</v>
      </c>
      <c r="S2804" s="1">
        <v>1.6000000000000001E-3</v>
      </c>
      <c r="T2804" s="1">
        <v>0.68759999999999999</v>
      </c>
    </row>
    <row r="2805" spans="1:55">
      <c r="A2805" s="25" t="s">
        <v>212</v>
      </c>
      <c r="B2805">
        <v>3375</v>
      </c>
      <c r="C2805" t="s">
        <v>189</v>
      </c>
      <c r="D2805">
        <v>10433</v>
      </c>
      <c r="E2805" s="1">
        <v>9.5000000000000001E-2</v>
      </c>
      <c r="F2805" s="1">
        <v>2.0000000000000001E-4</v>
      </c>
      <c r="G2805" s="1">
        <v>1.55E-2</v>
      </c>
      <c r="H2805" s="1">
        <v>6.13E-2</v>
      </c>
      <c r="I2805" s="1">
        <v>2.3E-2</v>
      </c>
      <c r="J2805" s="1">
        <v>2.9100000000000001E-2</v>
      </c>
      <c r="K2805" s="1">
        <v>3.4000000000000002E-2</v>
      </c>
      <c r="L2805" s="1">
        <v>0.16980000000000001</v>
      </c>
      <c r="M2805" s="1">
        <v>2.3999999999999998E-3</v>
      </c>
      <c r="N2805" s="1">
        <v>7.9699999999999993E-2</v>
      </c>
      <c r="O2805" s="1">
        <v>2.2000000000000001E-3</v>
      </c>
      <c r="P2805" s="1">
        <v>4.7999999999999996E-3</v>
      </c>
      <c r="Q2805" s="1">
        <v>0.17680000000000001</v>
      </c>
      <c r="R2805" s="1">
        <v>0.56010000000000004</v>
      </c>
      <c r="S2805" s="1">
        <v>1.5E-3</v>
      </c>
      <c r="T2805" s="1">
        <v>0.43630000000000002</v>
      </c>
    </row>
    <row r="2806" spans="1:55">
      <c r="A2806" s="25" t="s">
        <v>213</v>
      </c>
      <c r="B2806">
        <v>2086</v>
      </c>
      <c r="C2806" t="s">
        <v>189</v>
      </c>
      <c r="D2806">
        <v>10433</v>
      </c>
      <c r="E2806" s="1">
        <v>0.15809999999999999</v>
      </c>
      <c r="G2806" s="1">
        <v>9.4999999999999998E-3</v>
      </c>
      <c r="H2806" s="1">
        <v>3.2099999999999997E-2</v>
      </c>
      <c r="I2806" s="1">
        <v>7.2700000000000001E-2</v>
      </c>
      <c r="J2806" s="1">
        <v>2.7199999999999998E-2</v>
      </c>
      <c r="K2806" s="1">
        <v>0.04</v>
      </c>
      <c r="L2806" s="1">
        <v>7.1999999999999995E-2</v>
      </c>
      <c r="M2806" s="1">
        <v>2.7000000000000001E-3</v>
      </c>
      <c r="N2806" s="1">
        <v>5.4699999999999999E-2</v>
      </c>
      <c r="O2806" s="1">
        <v>2.0999999999999999E-3</v>
      </c>
      <c r="P2806" s="1">
        <v>1.04E-2</v>
      </c>
      <c r="Q2806" s="1">
        <v>0.15820000000000001</v>
      </c>
      <c r="R2806" s="1">
        <v>0.41410000000000002</v>
      </c>
      <c r="S2806" s="1">
        <v>1.6999999999999999E-3</v>
      </c>
      <c r="T2806" s="1">
        <v>0.57920000000000005</v>
      </c>
    </row>
    <row r="2807" spans="1:55">
      <c r="A2807" s="25" t="s">
        <v>192</v>
      </c>
      <c r="B2807">
        <v>10433</v>
      </c>
      <c r="C2807" t="s">
        <v>192</v>
      </c>
      <c r="D2807">
        <v>10433</v>
      </c>
      <c r="E2807" s="1">
        <v>0.13569999999999999</v>
      </c>
      <c r="F2807" s="1">
        <v>1E-4</v>
      </c>
      <c r="G2807" s="1">
        <v>1.15E-2</v>
      </c>
      <c r="H2807" s="1">
        <v>4.4299999999999999E-2</v>
      </c>
      <c r="I2807" s="1">
        <v>5.7000000000000002E-2</v>
      </c>
      <c r="J2807" s="1">
        <v>3.7400000000000003E-2</v>
      </c>
      <c r="K2807" s="1">
        <v>4.5600000000000002E-2</v>
      </c>
      <c r="L2807" s="1">
        <v>9.5399999999999999E-2</v>
      </c>
      <c r="M2807" s="1">
        <v>3.3E-3</v>
      </c>
      <c r="N2807" s="1">
        <v>6.0400000000000002E-2</v>
      </c>
      <c r="O2807" s="1">
        <v>1.1999999999999999E-3</v>
      </c>
      <c r="P2807" s="1">
        <v>4.7000000000000002E-3</v>
      </c>
      <c r="Q2807" s="1">
        <v>0.17430000000000001</v>
      </c>
      <c r="R2807" s="1">
        <v>0.46450000000000002</v>
      </c>
      <c r="S2807" s="1">
        <v>1.6000000000000001E-3</v>
      </c>
      <c r="T2807" s="1">
        <v>0.58579999999999999</v>
      </c>
    </row>
    <row r="2809" spans="1:55" ht="43.5">
      <c r="A2809" s="25" t="s">
        <v>900</v>
      </c>
    </row>
    <row r="2810" spans="1:55">
      <c r="A2810" s="25" t="s">
        <v>181</v>
      </c>
      <c r="B2810" t="s">
        <v>182</v>
      </c>
      <c r="C2810" t="s">
        <v>901</v>
      </c>
      <c r="D2810" t="s">
        <v>902</v>
      </c>
      <c r="E2810" t="s">
        <v>903</v>
      </c>
      <c r="F2810" t="s">
        <v>904</v>
      </c>
      <c r="G2810" t="s">
        <v>905</v>
      </c>
      <c r="H2810" t="s">
        <v>906</v>
      </c>
      <c r="I2810" t="s">
        <v>907</v>
      </c>
      <c r="J2810" t="s">
        <v>908</v>
      </c>
      <c r="K2810" t="s">
        <v>909</v>
      </c>
      <c r="L2810" t="s">
        <v>910</v>
      </c>
      <c r="M2810" t="s">
        <v>911</v>
      </c>
      <c r="N2810" t="s">
        <v>912</v>
      </c>
      <c r="O2810" t="s">
        <v>913</v>
      </c>
      <c r="P2810" t="s">
        <v>914</v>
      </c>
      <c r="Q2810" t="s">
        <v>915</v>
      </c>
      <c r="R2810" t="s">
        <v>916</v>
      </c>
      <c r="S2810" t="s">
        <v>917</v>
      </c>
      <c r="T2810" t="s">
        <v>918</v>
      </c>
      <c r="U2810" t="s">
        <v>919</v>
      </c>
      <c r="V2810" t="s">
        <v>920</v>
      </c>
      <c r="W2810" t="s">
        <v>921</v>
      </c>
      <c r="X2810" t="s">
        <v>922</v>
      </c>
      <c r="Y2810" t="s">
        <v>923</v>
      </c>
      <c r="Z2810" t="s">
        <v>924</v>
      </c>
      <c r="AA2810" t="s">
        <v>925</v>
      </c>
      <c r="AB2810" t="s">
        <v>926</v>
      </c>
      <c r="AC2810" t="s">
        <v>927</v>
      </c>
      <c r="AD2810" t="s">
        <v>928</v>
      </c>
      <c r="AE2810" t="s">
        <v>929</v>
      </c>
      <c r="AF2810" t="s">
        <v>930</v>
      </c>
      <c r="AG2810" t="s">
        <v>931</v>
      </c>
      <c r="AH2810" t="s">
        <v>932</v>
      </c>
      <c r="AI2810" t="s">
        <v>933</v>
      </c>
      <c r="AJ2810" t="s">
        <v>934</v>
      </c>
      <c r="AK2810" t="s">
        <v>935</v>
      </c>
      <c r="AL2810" t="s">
        <v>936</v>
      </c>
      <c r="AM2810" t="s">
        <v>937</v>
      </c>
      <c r="AN2810" t="s">
        <v>938</v>
      </c>
      <c r="AO2810" t="s">
        <v>939</v>
      </c>
      <c r="AP2810" t="s">
        <v>940</v>
      </c>
      <c r="AQ2810" t="s">
        <v>941</v>
      </c>
      <c r="AR2810" t="s">
        <v>942</v>
      </c>
      <c r="AS2810" t="s">
        <v>943</v>
      </c>
      <c r="AT2810" t="s">
        <v>944</v>
      </c>
      <c r="AU2810" t="s">
        <v>945</v>
      </c>
      <c r="AV2810" t="s">
        <v>946</v>
      </c>
      <c r="AW2810" t="s">
        <v>947</v>
      </c>
      <c r="AX2810" t="s">
        <v>948</v>
      </c>
      <c r="AY2810" t="s">
        <v>949</v>
      </c>
      <c r="AZ2810" t="s">
        <v>950</v>
      </c>
      <c r="BA2810" t="s">
        <v>951</v>
      </c>
      <c r="BB2810" t="s">
        <v>952</v>
      </c>
      <c r="BC2810" t="s">
        <v>188</v>
      </c>
    </row>
    <row r="2811" spans="1:55">
      <c r="A2811" s="25" t="s">
        <v>189</v>
      </c>
      <c r="B2811" t="s">
        <v>190</v>
      </c>
      <c r="C2811">
        <v>20442.30187139738</v>
      </c>
      <c r="D2811">
        <v>15000</v>
      </c>
      <c r="E2811">
        <v>1600</v>
      </c>
      <c r="F2811">
        <v>250000</v>
      </c>
      <c r="G2811">
        <v>11284.28397422291</v>
      </c>
      <c r="H2811">
        <v>8000</v>
      </c>
      <c r="I2811">
        <v>200</v>
      </c>
      <c r="J2811">
        <v>80000</v>
      </c>
      <c r="K2811">
        <v>24709.830006613811</v>
      </c>
      <c r="L2811">
        <v>15000</v>
      </c>
      <c r="M2811">
        <v>1000</v>
      </c>
      <c r="N2811">
        <v>150000</v>
      </c>
      <c r="O2811">
        <v>6226.362697564804</v>
      </c>
      <c r="P2811">
        <v>3500</v>
      </c>
      <c r="Q2811">
        <v>100</v>
      </c>
      <c r="R2811">
        <v>60000</v>
      </c>
      <c r="S2811">
        <v>5927.7725134498496</v>
      </c>
      <c r="T2811">
        <v>5000</v>
      </c>
      <c r="U2811">
        <v>2000</v>
      </c>
      <c r="V2811">
        <v>20000</v>
      </c>
      <c r="W2811">
        <v>6157.1620249449788</v>
      </c>
      <c r="X2811">
        <v>5000</v>
      </c>
      <c r="Y2811">
        <v>2300</v>
      </c>
      <c r="Z2811">
        <v>44000</v>
      </c>
      <c r="AA2811">
        <v>3841.0518221028879</v>
      </c>
      <c r="AB2811">
        <v>2700</v>
      </c>
      <c r="AC2811">
        <v>300</v>
      </c>
      <c r="AD2811">
        <v>109700</v>
      </c>
      <c r="AE2811">
        <v>2853.4439911931299</v>
      </c>
      <c r="AF2811">
        <v>1500</v>
      </c>
      <c r="AG2811">
        <v>100</v>
      </c>
      <c r="AH2811">
        <v>55000</v>
      </c>
      <c r="AI2811">
        <v>8632.3129526772263</v>
      </c>
      <c r="AJ2811">
        <v>6000</v>
      </c>
      <c r="AK2811">
        <v>1000</v>
      </c>
      <c r="AL2811">
        <v>35000</v>
      </c>
      <c r="AM2811">
        <v>9009.8459224723974</v>
      </c>
      <c r="AN2811">
        <v>3000</v>
      </c>
      <c r="AO2811">
        <v>300</v>
      </c>
      <c r="AP2811">
        <v>80000</v>
      </c>
      <c r="AQ2811">
        <v>5169.4245256206159</v>
      </c>
      <c r="AR2811">
        <v>3000</v>
      </c>
      <c r="AS2811">
        <v>200</v>
      </c>
      <c r="AT2811">
        <v>100000</v>
      </c>
      <c r="AU2811">
        <v>7211.2819909762848</v>
      </c>
      <c r="AV2811">
        <v>7200</v>
      </c>
      <c r="AW2811">
        <v>2000</v>
      </c>
      <c r="AX2811">
        <v>43200</v>
      </c>
      <c r="AY2811">
        <v>7766.3155676146298</v>
      </c>
      <c r="AZ2811">
        <v>5000</v>
      </c>
      <c r="BA2811">
        <v>500</v>
      </c>
      <c r="BB2811">
        <v>70000</v>
      </c>
      <c r="BC2811">
        <v>4883</v>
      </c>
    </row>
    <row r="2812" spans="1:55">
      <c r="A2812" s="25" t="s">
        <v>189</v>
      </c>
      <c r="B2812" t="s">
        <v>191</v>
      </c>
      <c r="C2812">
        <v>26786.31058613749</v>
      </c>
      <c r="D2812">
        <v>22000</v>
      </c>
      <c r="E2812">
        <v>1600</v>
      </c>
      <c r="F2812">
        <v>200000</v>
      </c>
      <c r="G2812">
        <v>12079.76198284408</v>
      </c>
      <c r="H2812">
        <v>9000</v>
      </c>
      <c r="I2812">
        <v>200</v>
      </c>
      <c r="J2812">
        <v>300000</v>
      </c>
      <c r="K2812">
        <v>38387.547856026024</v>
      </c>
      <c r="L2812">
        <v>30000</v>
      </c>
      <c r="M2812">
        <v>1000</v>
      </c>
      <c r="N2812">
        <v>300000</v>
      </c>
      <c r="O2812">
        <v>6366.4073994837818</v>
      </c>
      <c r="P2812">
        <v>4000</v>
      </c>
      <c r="Q2812">
        <v>400</v>
      </c>
      <c r="R2812">
        <v>35000</v>
      </c>
      <c r="S2812">
        <v>5309.5629766036309</v>
      </c>
      <c r="T2812">
        <v>5000</v>
      </c>
      <c r="U2812">
        <v>2000</v>
      </c>
      <c r="V2812">
        <v>21000</v>
      </c>
      <c r="W2812">
        <v>6945.7797062259187</v>
      </c>
      <c r="X2812">
        <v>6000</v>
      </c>
      <c r="Y2812">
        <v>2300</v>
      </c>
      <c r="Z2812">
        <v>65000</v>
      </c>
      <c r="AA2812">
        <v>2983.6486830516769</v>
      </c>
      <c r="AB2812">
        <v>2400</v>
      </c>
      <c r="AC2812">
        <v>245</v>
      </c>
      <c r="AD2812">
        <v>40000</v>
      </c>
      <c r="AE2812">
        <v>6841.3053033237666</v>
      </c>
      <c r="AF2812">
        <v>6000</v>
      </c>
      <c r="AG2812">
        <v>350</v>
      </c>
      <c r="AH2812">
        <v>35000</v>
      </c>
      <c r="AI2812">
        <v>8523.0991109482693</v>
      </c>
      <c r="AJ2812">
        <v>5000</v>
      </c>
      <c r="AK2812">
        <v>1000</v>
      </c>
      <c r="AL2812">
        <v>80000</v>
      </c>
      <c r="AM2812">
        <v>5834.6972382147742</v>
      </c>
      <c r="AN2812">
        <v>3000</v>
      </c>
      <c r="AO2812">
        <v>200</v>
      </c>
      <c r="AP2812">
        <v>63000</v>
      </c>
      <c r="AQ2812">
        <v>5280.6533732119678</v>
      </c>
      <c r="AR2812">
        <v>3500</v>
      </c>
      <c r="AS2812">
        <v>500</v>
      </c>
      <c r="AT2812">
        <v>50000</v>
      </c>
      <c r="AU2812">
        <v>2422.815748497449</v>
      </c>
      <c r="AV2812">
        <v>3000</v>
      </c>
      <c r="AW2812">
        <v>1000</v>
      </c>
      <c r="AX2812">
        <v>6600</v>
      </c>
      <c r="AY2812">
        <v>9817.4729587889778</v>
      </c>
      <c r="AZ2812">
        <v>4000</v>
      </c>
      <c r="BA2812">
        <v>800</v>
      </c>
      <c r="BB2812">
        <v>70000</v>
      </c>
      <c r="BC2812">
        <v>4883</v>
      </c>
    </row>
    <row r="2813" spans="1:55">
      <c r="A2813" s="25" t="s">
        <v>192</v>
      </c>
      <c r="B2813" t="s">
        <v>192</v>
      </c>
      <c r="C2813">
        <v>24659.479503733732</v>
      </c>
      <c r="D2813">
        <v>20000</v>
      </c>
      <c r="E2813">
        <v>1600</v>
      </c>
      <c r="F2813">
        <v>250000</v>
      </c>
      <c r="G2813">
        <v>11762.22575870425</v>
      </c>
      <c r="H2813">
        <v>8000</v>
      </c>
      <c r="I2813">
        <v>200</v>
      </c>
      <c r="J2813">
        <v>300000</v>
      </c>
      <c r="K2813">
        <v>34433.363710431739</v>
      </c>
      <c r="L2813">
        <v>30000</v>
      </c>
      <c r="M2813">
        <v>1000</v>
      </c>
      <c r="N2813">
        <v>300000</v>
      </c>
      <c r="O2813">
        <v>6260.4846340231561</v>
      </c>
      <c r="P2813">
        <v>4000</v>
      </c>
      <c r="Q2813">
        <v>100</v>
      </c>
      <c r="R2813">
        <v>60000</v>
      </c>
      <c r="S2813">
        <v>5454.2745271290396</v>
      </c>
      <c r="T2813">
        <v>5000</v>
      </c>
      <c r="U2813">
        <v>2000</v>
      </c>
      <c r="V2813">
        <v>21000</v>
      </c>
      <c r="W2813">
        <v>6582.5763450654422</v>
      </c>
      <c r="X2813">
        <v>5500</v>
      </c>
      <c r="Y2813">
        <v>2300</v>
      </c>
      <c r="Z2813">
        <v>65000</v>
      </c>
      <c r="AA2813">
        <v>3322.616462228345</v>
      </c>
      <c r="AB2813">
        <v>2500</v>
      </c>
      <c r="AC2813">
        <v>245</v>
      </c>
      <c r="AD2813">
        <v>109700</v>
      </c>
      <c r="AE2813">
        <v>4565.20474249567</v>
      </c>
      <c r="AF2813">
        <v>2833</v>
      </c>
      <c r="AG2813">
        <v>100</v>
      </c>
      <c r="AH2813">
        <v>55000</v>
      </c>
      <c r="AI2813">
        <v>8564.4750440644839</v>
      </c>
      <c r="AJ2813">
        <v>5000</v>
      </c>
      <c r="AK2813">
        <v>1000</v>
      </c>
      <c r="AL2813">
        <v>80000</v>
      </c>
      <c r="AM2813">
        <v>6902.2695957314572</v>
      </c>
      <c r="AN2813">
        <v>3000</v>
      </c>
      <c r="AO2813">
        <v>200</v>
      </c>
      <c r="AP2813">
        <v>80000</v>
      </c>
      <c r="AQ2813">
        <v>5243.4401907964366</v>
      </c>
      <c r="AR2813">
        <v>3000</v>
      </c>
      <c r="AS2813">
        <v>200</v>
      </c>
      <c r="AT2813">
        <v>100000</v>
      </c>
      <c r="AU2813">
        <v>4256.4384152621269</v>
      </c>
      <c r="AV2813">
        <v>3000</v>
      </c>
      <c r="AW2813">
        <v>1000</v>
      </c>
      <c r="AX2813">
        <v>43200</v>
      </c>
      <c r="AY2813">
        <v>9280.2968764838097</v>
      </c>
      <c r="AZ2813">
        <v>4500</v>
      </c>
      <c r="BA2813">
        <v>500</v>
      </c>
      <c r="BB2813">
        <v>70000</v>
      </c>
      <c r="BC2813">
        <v>4883</v>
      </c>
    </row>
    <row r="2815" spans="1:55" ht="57.95">
      <c r="A2815" s="25" t="s">
        <v>953</v>
      </c>
    </row>
    <row r="2816" spans="1:55">
      <c r="A2816" s="25" t="s">
        <v>181</v>
      </c>
      <c r="B2816" t="s">
        <v>182</v>
      </c>
      <c r="C2816" t="s">
        <v>901</v>
      </c>
      <c r="D2816" t="s">
        <v>902</v>
      </c>
      <c r="E2816" t="s">
        <v>903</v>
      </c>
      <c r="F2816" t="s">
        <v>904</v>
      </c>
      <c r="G2816" t="s">
        <v>905</v>
      </c>
      <c r="H2816" t="s">
        <v>906</v>
      </c>
      <c r="I2816" t="s">
        <v>907</v>
      </c>
      <c r="J2816" t="s">
        <v>908</v>
      </c>
      <c r="K2816" t="s">
        <v>909</v>
      </c>
      <c r="L2816" t="s">
        <v>910</v>
      </c>
      <c r="M2816" t="s">
        <v>911</v>
      </c>
      <c r="N2816" t="s">
        <v>912</v>
      </c>
      <c r="O2816" t="s">
        <v>913</v>
      </c>
      <c r="P2816" t="s">
        <v>914</v>
      </c>
      <c r="Q2816" t="s">
        <v>915</v>
      </c>
      <c r="R2816" t="s">
        <v>916</v>
      </c>
      <c r="S2816" t="s">
        <v>917</v>
      </c>
      <c r="T2816" t="s">
        <v>918</v>
      </c>
      <c r="U2816" t="s">
        <v>919</v>
      </c>
      <c r="V2816" t="s">
        <v>920</v>
      </c>
      <c r="W2816" t="s">
        <v>921</v>
      </c>
      <c r="X2816" t="s">
        <v>922</v>
      </c>
      <c r="Y2816" t="s">
        <v>923</v>
      </c>
      <c r="Z2816" t="s">
        <v>924</v>
      </c>
      <c r="AA2816" t="s">
        <v>925</v>
      </c>
      <c r="AB2816" t="s">
        <v>926</v>
      </c>
      <c r="AC2816" t="s">
        <v>927</v>
      </c>
      <c r="AD2816" t="s">
        <v>928</v>
      </c>
      <c r="AE2816" t="s">
        <v>929</v>
      </c>
      <c r="AF2816" t="s">
        <v>930</v>
      </c>
      <c r="AG2816" t="s">
        <v>931</v>
      </c>
      <c r="AH2816" t="s">
        <v>932</v>
      </c>
      <c r="AI2816" t="s">
        <v>933</v>
      </c>
      <c r="AJ2816" t="s">
        <v>934</v>
      </c>
      <c r="AK2816" t="s">
        <v>935</v>
      </c>
      <c r="AL2816" t="s">
        <v>936</v>
      </c>
      <c r="AM2816" t="s">
        <v>937</v>
      </c>
      <c r="AN2816" t="s">
        <v>938</v>
      </c>
      <c r="AO2816" t="s">
        <v>939</v>
      </c>
      <c r="AP2816" t="s">
        <v>940</v>
      </c>
      <c r="AQ2816" t="s">
        <v>941</v>
      </c>
      <c r="AR2816" t="s">
        <v>942</v>
      </c>
      <c r="AS2816" t="s">
        <v>943</v>
      </c>
      <c r="AT2816" t="s">
        <v>944</v>
      </c>
      <c r="AU2816" t="s">
        <v>945</v>
      </c>
      <c r="AV2816" t="s">
        <v>946</v>
      </c>
      <c r="AW2816" t="s">
        <v>947</v>
      </c>
      <c r="AX2816" t="s">
        <v>948</v>
      </c>
      <c r="AY2816" t="s">
        <v>949</v>
      </c>
      <c r="AZ2816" t="s">
        <v>950</v>
      </c>
      <c r="BA2816" t="s">
        <v>951</v>
      </c>
      <c r="BB2816" t="s">
        <v>952</v>
      </c>
      <c r="BC2816" t="s">
        <v>188</v>
      </c>
    </row>
    <row r="2817" spans="1:55">
      <c r="A2817" s="25" t="s">
        <v>189</v>
      </c>
      <c r="B2817" t="s">
        <v>194</v>
      </c>
      <c r="C2817">
        <v>25766.96307210005</v>
      </c>
      <c r="D2817">
        <v>20000</v>
      </c>
      <c r="E2817">
        <v>1800</v>
      </c>
      <c r="F2817">
        <v>250000</v>
      </c>
      <c r="G2817">
        <v>11600.579345658271</v>
      </c>
      <c r="H2817">
        <v>9000</v>
      </c>
      <c r="I2817">
        <v>200</v>
      </c>
      <c r="J2817">
        <v>80000</v>
      </c>
      <c r="K2817">
        <v>35465.861279674908</v>
      </c>
      <c r="L2817">
        <v>30000</v>
      </c>
      <c r="M2817">
        <v>1000</v>
      </c>
      <c r="N2817">
        <v>200000</v>
      </c>
      <c r="O2817">
        <v>6613.537970121637</v>
      </c>
      <c r="P2817">
        <v>4000</v>
      </c>
      <c r="Q2817">
        <v>100</v>
      </c>
      <c r="R2817">
        <v>60000</v>
      </c>
      <c r="S2817">
        <v>5375.4840218751524</v>
      </c>
      <c r="T2817">
        <v>4000</v>
      </c>
      <c r="U2817">
        <v>2000</v>
      </c>
      <c r="V2817">
        <v>21000</v>
      </c>
      <c r="W2817">
        <v>6467.5592215484112</v>
      </c>
      <c r="X2817">
        <v>5300</v>
      </c>
      <c r="Y2817">
        <v>2300</v>
      </c>
      <c r="Z2817">
        <v>65000</v>
      </c>
      <c r="AA2817">
        <v>3239.198728721869</v>
      </c>
      <c r="AB2817">
        <v>2500</v>
      </c>
      <c r="AC2817">
        <v>300</v>
      </c>
      <c r="AD2817">
        <v>109700</v>
      </c>
      <c r="AE2817">
        <v>4644.4220282682008</v>
      </c>
      <c r="AF2817">
        <v>2300</v>
      </c>
      <c r="AG2817">
        <v>100</v>
      </c>
      <c r="AH2817">
        <v>40000</v>
      </c>
      <c r="AI2817">
        <v>8734.4694811241588</v>
      </c>
      <c r="AJ2817">
        <v>5000</v>
      </c>
      <c r="AK2817">
        <v>1000</v>
      </c>
      <c r="AL2817">
        <v>80000</v>
      </c>
      <c r="AM2817">
        <v>8289.4891242531921</v>
      </c>
      <c r="AN2817">
        <v>3000</v>
      </c>
      <c r="AO2817">
        <v>300</v>
      </c>
      <c r="AP2817">
        <v>33000</v>
      </c>
      <c r="AQ2817">
        <v>5361.0344228806198</v>
      </c>
      <c r="AR2817">
        <v>4000</v>
      </c>
      <c r="AS2817">
        <v>200</v>
      </c>
      <c r="AT2817">
        <v>50000</v>
      </c>
      <c r="AU2817">
        <v>3263.3990119476289</v>
      </c>
      <c r="AV2817">
        <v>2000</v>
      </c>
      <c r="AW2817">
        <v>1000</v>
      </c>
      <c r="AX2817">
        <v>20000</v>
      </c>
      <c r="AY2817">
        <v>9101.4035235308256</v>
      </c>
      <c r="AZ2817">
        <v>4000</v>
      </c>
      <c r="BA2817">
        <v>3000</v>
      </c>
      <c r="BB2817">
        <v>70000</v>
      </c>
      <c r="BC2817">
        <v>4883</v>
      </c>
    </row>
    <row r="2818" spans="1:55">
      <c r="A2818" s="25" t="s">
        <v>189</v>
      </c>
      <c r="B2818" t="s">
        <v>195</v>
      </c>
      <c r="C2818">
        <v>22706.122410200191</v>
      </c>
      <c r="D2818">
        <v>19900</v>
      </c>
      <c r="E2818">
        <v>1700</v>
      </c>
      <c r="F2818">
        <v>150000</v>
      </c>
      <c r="G2818">
        <v>13935.904085136521</v>
      </c>
      <c r="H2818">
        <v>8000</v>
      </c>
      <c r="I2818">
        <v>200</v>
      </c>
      <c r="J2818">
        <v>300000</v>
      </c>
      <c r="K2818">
        <v>26728.818402439119</v>
      </c>
      <c r="L2818">
        <v>20000</v>
      </c>
      <c r="M2818">
        <v>1728</v>
      </c>
      <c r="N2818">
        <v>100000</v>
      </c>
      <c r="O2818">
        <v>4575.4083659877706</v>
      </c>
      <c r="P2818">
        <v>3500</v>
      </c>
      <c r="Q2818">
        <v>200</v>
      </c>
      <c r="R2818">
        <v>40000</v>
      </c>
      <c r="S2818">
        <v>5298.4046205480327</v>
      </c>
      <c r="T2818">
        <v>5000</v>
      </c>
      <c r="U2818">
        <v>2000</v>
      </c>
      <c r="V2818">
        <v>20000</v>
      </c>
      <c r="W2818">
        <v>7060.5195006960712</v>
      </c>
      <c r="X2818">
        <v>6000</v>
      </c>
      <c r="Y2818">
        <v>2300</v>
      </c>
      <c r="Z2818">
        <v>44000</v>
      </c>
      <c r="AA2818">
        <v>3351.7159884601592</v>
      </c>
      <c r="AB2818">
        <v>2500</v>
      </c>
      <c r="AC2818">
        <v>245</v>
      </c>
      <c r="AD2818">
        <v>40000</v>
      </c>
      <c r="AE2818">
        <v>3962.0375757354009</v>
      </c>
      <c r="AF2818">
        <v>3500</v>
      </c>
      <c r="AG2818">
        <v>290</v>
      </c>
      <c r="AH2818">
        <v>55000</v>
      </c>
      <c r="AI2818">
        <v>8841.4861013093505</v>
      </c>
      <c r="AJ2818">
        <v>6000</v>
      </c>
      <c r="AK2818">
        <v>1000</v>
      </c>
      <c r="AL2818">
        <v>60000</v>
      </c>
      <c r="AM2818">
        <v>8572.3322652801053</v>
      </c>
      <c r="AN2818">
        <v>3000</v>
      </c>
      <c r="AO2818">
        <v>200</v>
      </c>
      <c r="AP2818">
        <v>80000</v>
      </c>
      <c r="AQ2818">
        <v>4123.3250549724344</v>
      </c>
      <c r="AR2818">
        <v>3000</v>
      </c>
      <c r="AS2818">
        <v>300</v>
      </c>
      <c r="AT2818">
        <v>100000</v>
      </c>
      <c r="AU2818">
        <v>4205.9707457303648</v>
      </c>
      <c r="AV2818">
        <v>3000</v>
      </c>
      <c r="AW2818">
        <v>1200</v>
      </c>
      <c r="AX2818">
        <v>25000</v>
      </c>
      <c r="AY2818">
        <v>10503.11835422325</v>
      </c>
      <c r="AZ2818">
        <v>6000</v>
      </c>
      <c r="BA2818">
        <v>1000</v>
      </c>
      <c r="BB2818">
        <v>70000</v>
      </c>
      <c r="BC2818">
        <v>4883</v>
      </c>
    </row>
    <row r="2819" spans="1:55">
      <c r="A2819" s="25" t="s">
        <v>189</v>
      </c>
      <c r="B2819" t="s">
        <v>196</v>
      </c>
      <c r="C2819">
        <v>20005.212043688429</v>
      </c>
      <c r="D2819">
        <v>15000</v>
      </c>
      <c r="E2819">
        <v>1600</v>
      </c>
      <c r="F2819">
        <v>200000</v>
      </c>
      <c r="G2819">
        <v>8552.0509868224999</v>
      </c>
      <c r="H2819">
        <v>7000</v>
      </c>
      <c r="I2819">
        <v>250</v>
      </c>
      <c r="J2819">
        <v>30000</v>
      </c>
      <c r="K2819">
        <v>46781.961480014179</v>
      </c>
      <c r="L2819">
        <v>20000</v>
      </c>
      <c r="M2819">
        <v>2100</v>
      </c>
      <c r="N2819">
        <v>300000</v>
      </c>
      <c r="O2819">
        <v>6952.7667768542906</v>
      </c>
      <c r="P2819">
        <v>5000</v>
      </c>
      <c r="Q2819">
        <v>1000</v>
      </c>
      <c r="R2819">
        <v>35000</v>
      </c>
      <c r="S2819">
        <v>5750.55719137711</v>
      </c>
      <c r="T2819">
        <v>5000</v>
      </c>
      <c r="U2819">
        <v>2000</v>
      </c>
      <c r="V2819">
        <v>17000</v>
      </c>
      <c r="W2819">
        <v>6569.6118478668386</v>
      </c>
      <c r="X2819">
        <v>5800</v>
      </c>
      <c r="Y2819">
        <v>2300</v>
      </c>
      <c r="Z2819">
        <v>50000</v>
      </c>
      <c r="AA2819">
        <v>3817.1196632059819</v>
      </c>
      <c r="AB2819">
        <v>2500</v>
      </c>
      <c r="AC2819">
        <v>500</v>
      </c>
      <c r="AD2819">
        <v>30000</v>
      </c>
      <c r="AE2819">
        <v>4722.0563237537226</v>
      </c>
      <c r="AF2819">
        <v>4000</v>
      </c>
      <c r="AG2819">
        <v>200</v>
      </c>
      <c r="AH2819">
        <v>30000</v>
      </c>
      <c r="AI2819">
        <v>6338.323299990584</v>
      </c>
      <c r="AJ2819">
        <v>4000</v>
      </c>
      <c r="AK2819">
        <v>1000</v>
      </c>
      <c r="AL2819">
        <v>25000</v>
      </c>
      <c r="AM2819">
        <v>4300.7961974532509</v>
      </c>
      <c r="AN2819">
        <v>3000</v>
      </c>
      <c r="AO2819">
        <v>250</v>
      </c>
      <c r="AP2819">
        <v>40000</v>
      </c>
      <c r="AQ2819">
        <v>7983.9316843505494</v>
      </c>
      <c r="AR2819">
        <v>3000</v>
      </c>
      <c r="AS2819">
        <v>500</v>
      </c>
      <c r="AT2819">
        <v>50000</v>
      </c>
      <c r="AU2819">
        <v>9827.2746130475625</v>
      </c>
      <c r="AV2819">
        <v>6600</v>
      </c>
      <c r="AW2819">
        <v>1000</v>
      </c>
      <c r="AX2819">
        <v>43200</v>
      </c>
      <c r="AY2819">
        <v>9007.9536930781342</v>
      </c>
      <c r="AZ2819">
        <v>4000</v>
      </c>
      <c r="BA2819">
        <v>500</v>
      </c>
      <c r="BB2819">
        <v>42000</v>
      </c>
      <c r="BC2819">
        <v>4883</v>
      </c>
    </row>
    <row r="2820" spans="1:55">
      <c r="A2820" s="25" t="s">
        <v>192</v>
      </c>
      <c r="B2820" t="s">
        <v>192</v>
      </c>
      <c r="C2820">
        <v>24659.479503733732</v>
      </c>
      <c r="D2820">
        <v>20000</v>
      </c>
      <c r="E2820">
        <v>1600</v>
      </c>
      <c r="F2820">
        <v>250000</v>
      </c>
      <c r="G2820">
        <v>11762.22575870425</v>
      </c>
      <c r="H2820">
        <v>8000</v>
      </c>
      <c r="I2820">
        <v>200</v>
      </c>
      <c r="J2820">
        <v>300000</v>
      </c>
      <c r="K2820">
        <v>34433.363710431739</v>
      </c>
      <c r="L2820">
        <v>30000</v>
      </c>
      <c r="M2820">
        <v>1000</v>
      </c>
      <c r="N2820">
        <v>300000</v>
      </c>
      <c r="O2820">
        <v>6260.4846340231561</v>
      </c>
      <c r="P2820">
        <v>4000</v>
      </c>
      <c r="Q2820">
        <v>100</v>
      </c>
      <c r="R2820">
        <v>60000</v>
      </c>
      <c r="S2820">
        <v>5454.2745271290396</v>
      </c>
      <c r="T2820">
        <v>5000</v>
      </c>
      <c r="U2820">
        <v>2000</v>
      </c>
      <c r="V2820">
        <v>21000</v>
      </c>
      <c r="W2820">
        <v>6582.5763450654422</v>
      </c>
      <c r="X2820">
        <v>5500</v>
      </c>
      <c r="Y2820">
        <v>2300</v>
      </c>
      <c r="Z2820">
        <v>65000</v>
      </c>
      <c r="AA2820">
        <v>3322.616462228345</v>
      </c>
      <c r="AB2820">
        <v>2500</v>
      </c>
      <c r="AC2820">
        <v>245</v>
      </c>
      <c r="AD2820">
        <v>109700</v>
      </c>
      <c r="AE2820">
        <v>4565.20474249567</v>
      </c>
      <c r="AF2820">
        <v>2833</v>
      </c>
      <c r="AG2820">
        <v>100</v>
      </c>
      <c r="AH2820">
        <v>55000</v>
      </c>
      <c r="AI2820">
        <v>8564.4750440644839</v>
      </c>
      <c r="AJ2820">
        <v>5000</v>
      </c>
      <c r="AK2820">
        <v>1000</v>
      </c>
      <c r="AL2820">
        <v>80000</v>
      </c>
      <c r="AM2820">
        <v>6902.2695957314572</v>
      </c>
      <c r="AN2820">
        <v>3000</v>
      </c>
      <c r="AO2820">
        <v>200</v>
      </c>
      <c r="AP2820">
        <v>80000</v>
      </c>
      <c r="AQ2820">
        <v>5243.4401907964366</v>
      </c>
      <c r="AR2820">
        <v>3000</v>
      </c>
      <c r="AS2820">
        <v>200</v>
      </c>
      <c r="AT2820">
        <v>100000</v>
      </c>
      <c r="AU2820">
        <v>4256.4384152621269</v>
      </c>
      <c r="AV2820">
        <v>3000</v>
      </c>
      <c r="AW2820">
        <v>1000</v>
      </c>
      <c r="AX2820">
        <v>43200</v>
      </c>
      <c r="AY2820">
        <v>9280.2968764838097</v>
      </c>
      <c r="AZ2820">
        <v>4500</v>
      </c>
      <c r="BA2820">
        <v>500</v>
      </c>
      <c r="BB2820">
        <v>70000</v>
      </c>
      <c r="BC2820">
        <v>4883</v>
      </c>
    </row>
    <row r="2822" spans="1:55" ht="43.5">
      <c r="A2822" s="25" t="s">
        <v>954</v>
      </c>
    </row>
    <row r="2823" spans="1:55">
      <c r="A2823" s="25" t="s">
        <v>181</v>
      </c>
      <c r="B2823" t="s">
        <v>182</v>
      </c>
      <c r="C2823" t="s">
        <v>901</v>
      </c>
      <c r="D2823" t="s">
        <v>902</v>
      </c>
      <c r="E2823" t="s">
        <v>903</v>
      </c>
      <c r="F2823" t="s">
        <v>904</v>
      </c>
      <c r="G2823" t="s">
        <v>905</v>
      </c>
      <c r="H2823" t="s">
        <v>906</v>
      </c>
      <c r="I2823" t="s">
        <v>907</v>
      </c>
      <c r="J2823" t="s">
        <v>908</v>
      </c>
      <c r="K2823" t="s">
        <v>909</v>
      </c>
      <c r="L2823" t="s">
        <v>910</v>
      </c>
      <c r="M2823" t="s">
        <v>911</v>
      </c>
      <c r="N2823" t="s">
        <v>912</v>
      </c>
      <c r="O2823" t="s">
        <v>913</v>
      </c>
      <c r="P2823" t="s">
        <v>914</v>
      </c>
      <c r="Q2823" t="s">
        <v>915</v>
      </c>
      <c r="R2823" t="s">
        <v>916</v>
      </c>
      <c r="S2823" t="s">
        <v>917</v>
      </c>
      <c r="T2823" t="s">
        <v>918</v>
      </c>
      <c r="U2823" t="s">
        <v>919</v>
      </c>
      <c r="V2823" t="s">
        <v>920</v>
      </c>
      <c r="W2823" t="s">
        <v>921</v>
      </c>
      <c r="X2823" t="s">
        <v>922</v>
      </c>
      <c r="Y2823" t="s">
        <v>923</v>
      </c>
      <c r="Z2823" t="s">
        <v>924</v>
      </c>
      <c r="AA2823" t="s">
        <v>925</v>
      </c>
      <c r="AB2823" t="s">
        <v>926</v>
      </c>
      <c r="AC2823" t="s">
        <v>927</v>
      </c>
      <c r="AD2823" t="s">
        <v>928</v>
      </c>
      <c r="AE2823" t="s">
        <v>929</v>
      </c>
      <c r="AF2823" t="s">
        <v>930</v>
      </c>
      <c r="AG2823" t="s">
        <v>931</v>
      </c>
      <c r="AH2823" t="s">
        <v>932</v>
      </c>
      <c r="AI2823" t="s">
        <v>933</v>
      </c>
      <c r="AJ2823" t="s">
        <v>934</v>
      </c>
      <c r="AK2823" t="s">
        <v>935</v>
      </c>
      <c r="AL2823" t="s">
        <v>936</v>
      </c>
      <c r="AM2823" t="s">
        <v>937</v>
      </c>
      <c r="AN2823" t="s">
        <v>938</v>
      </c>
      <c r="AO2823" t="s">
        <v>939</v>
      </c>
      <c r="AP2823" t="s">
        <v>940</v>
      </c>
      <c r="AQ2823" t="s">
        <v>941</v>
      </c>
      <c r="AR2823" t="s">
        <v>942</v>
      </c>
      <c r="AS2823" t="s">
        <v>943</v>
      </c>
      <c r="AT2823" t="s">
        <v>944</v>
      </c>
      <c r="AU2823" t="s">
        <v>945</v>
      </c>
      <c r="AV2823" t="s">
        <v>946</v>
      </c>
      <c r="AW2823" t="s">
        <v>947</v>
      </c>
      <c r="AX2823" t="s">
        <v>948</v>
      </c>
      <c r="AY2823" t="s">
        <v>949</v>
      </c>
      <c r="AZ2823" t="s">
        <v>950</v>
      </c>
      <c r="BA2823" t="s">
        <v>951</v>
      </c>
      <c r="BB2823" t="s">
        <v>952</v>
      </c>
      <c r="BC2823" t="s">
        <v>188</v>
      </c>
    </row>
    <row r="2824" spans="1:55">
      <c r="A2824" s="25" t="s">
        <v>189</v>
      </c>
      <c r="B2824" t="s">
        <v>198</v>
      </c>
      <c r="C2824">
        <v>19481.769105520809</v>
      </c>
      <c r="D2824">
        <v>15000</v>
      </c>
      <c r="E2824">
        <v>1600</v>
      </c>
      <c r="F2824">
        <v>170000</v>
      </c>
      <c r="G2824">
        <v>8355.0876700308891</v>
      </c>
      <c r="H2824">
        <v>7000</v>
      </c>
      <c r="I2824">
        <v>200</v>
      </c>
      <c r="J2824">
        <v>60000</v>
      </c>
      <c r="K2824">
        <v>37492.004551293903</v>
      </c>
      <c r="L2824">
        <v>30000</v>
      </c>
      <c r="M2824">
        <v>1728</v>
      </c>
      <c r="N2824">
        <v>200000</v>
      </c>
      <c r="O2824">
        <v>3707.1178066489738</v>
      </c>
      <c r="P2824">
        <v>3000</v>
      </c>
      <c r="Q2824">
        <v>200</v>
      </c>
      <c r="R2824">
        <v>20000</v>
      </c>
      <c r="S2824">
        <v>4485.7006352518747</v>
      </c>
      <c r="T2824">
        <v>4000</v>
      </c>
      <c r="U2824">
        <v>2000</v>
      </c>
      <c r="V2824">
        <v>14000</v>
      </c>
      <c r="W2824">
        <v>6161.8095201668739</v>
      </c>
      <c r="X2824">
        <v>5200</v>
      </c>
      <c r="Y2824">
        <v>2300</v>
      </c>
      <c r="Z2824">
        <v>28000</v>
      </c>
      <c r="AA2824">
        <v>3702.7075112855282</v>
      </c>
      <c r="AB2824">
        <v>2800</v>
      </c>
      <c r="AC2824">
        <v>300</v>
      </c>
      <c r="AD2824">
        <v>30000</v>
      </c>
      <c r="AE2824">
        <v>2664.8112294711168</v>
      </c>
      <c r="AF2824">
        <v>1400</v>
      </c>
      <c r="AG2824">
        <v>333</v>
      </c>
      <c r="AH2824">
        <v>12000</v>
      </c>
      <c r="AI2824">
        <v>6940.9931321591412</v>
      </c>
      <c r="AJ2824">
        <v>5000</v>
      </c>
      <c r="AK2824">
        <v>1000</v>
      </c>
      <c r="AL2824">
        <v>43000</v>
      </c>
      <c r="AM2824">
        <v>4101.0410873078299</v>
      </c>
      <c r="AN2824">
        <v>1500</v>
      </c>
      <c r="AO2824">
        <v>200</v>
      </c>
      <c r="AP2824">
        <v>73000</v>
      </c>
      <c r="AQ2824">
        <v>3490.034372202033</v>
      </c>
      <c r="AR2824">
        <v>3000</v>
      </c>
      <c r="AS2824">
        <v>300</v>
      </c>
      <c r="AT2824">
        <v>50000</v>
      </c>
      <c r="AU2824">
        <v>3803.5538004555669</v>
      </c>
      <c r="AV2824">
        <v>5000</v>
      </c>
      <c r="AW2824">
        <v>1000</v>
      </c>
      <c r="AX2824">
        <v>25000</v>
      </c>
      <c r="AY2824">
        <v>7397.7629871426616</v>
      </c>
      <c r="AZ2824">
        <v>6000</v>
      </c>
      <c r="BA2824">
        <v>850</v>
      </c>
      <c r="BB2824">
        <v>70000</v>
      </c>
      <c r="BC2824">
        <v>4883</v>
      </c>
    </row>
    <row r="2825" spans="1:55">
      <c r="A2825" s="25" t="s">
        <v>189</v>
      </c>
      <c r="B2825" t="s">
        <v>199</v>
      </c>
      <c r="C2825">
        <v>25365.87939105499</v>
      </c>
      <c r="D2825">
        <v>20000</v>
      </c>
      <c r="E2825">
        <v>1600</v>
      </c>
      <c r="F2825">
        <v>250000</v>
      </c>
      <c r="G2825">
        <v>12213.86341046935</v>
      </c>
      <c r="H2825">
        <v>9000</v>
      </c>
      <c r="I2825">
        <v>200</v>
      </c>
      <c r="J2825">
        <v>300000</v>
      </c>
      <c r="K2825">
        <v>34035.64990335593</v>
      </c>
      <c r="L2825">
        <v>30000</v>
      </c>
      <c r="M2825">
        <v>1000</v>
      </c>
      <c r="N2825">
        <v>300000</v>
      </c>
      <c r="O2825">
        <v>6743.4918802918464</v>
      </c>
      <c r="P2825">
        <v>4000</v>
      </c>
      <c r="Q2825">
        <v>100</v>
      </c>
      <c r="R2825">
        <v>60000</v>
      </c>
      <c r="S2825">
        <v>5856.896427721249</v>
      </c>
      <c r="T2825">
        <v>5000</v>
      </c>
      <c r="U2825">
        <v>2000</v>
      </c>
      <c r="V2825">
        <v>21000</v>
      </c>
      <c r="W2825">
        <v>6771.0613471642728</v>
      </c>
      <c r="X2825">
        <v>5600</v>
      </c>
      <c r="Y2825">
        <v>2300</v>
      </c>
      <c r="Z2825">
        <v>65000</v>
      </c>
      <c r="AA2825">
        <v>3179.8116365927431</v>
      </c>
      <c r="AB2825">
        <v>2300</v>
      </c>
      <c r="AC2825">
        <v>245</v>
      </c>
      <c r="AD2825">
        <v>109700</v>
      </c>
      <c r="AE2825">
        <v>5343.5405749843349</v>
      </c>
      <c r="AF2825">
        <v>3500</v>
      </c>
      <c r="AG2825">
        <v>100</v>
      </c>
      <c r="AH2825">
        <v>55000</v>
      </c>
      <c r="AI2825">
        <v>9048.7515893751988</v>
      </c>
      <c r="AJ2825">
        <v>6000</v>
      </c>
      <c r="AK2825">
        <v>1000</v>
      </c>
      <c r="AL2825">
        <v>80000</v>
      </c>
      <c r="AM2825">
        <v>7871.8382827021996</v>
      </c>
      <c r="AN2825">
        <v>3000</v>
      </c>
      <c r="AO2825">
        <v>250</v>
      </c>
      <c r="AP2825">
        <v>80000</v>
      </c>
      <c r="AQ2825">
        <v>5747.8778328921017</v>
      </c>
      <c r="AR2825">
        <v>3500</v>
      </c>
      <c r="AS2825">
        <v>200</v>
      </c>
      <c r="AT2825">
        <v>100000</v>
      </c>
      <c r="AU2825">
        <v>4987.2530974274923</v>
      </c>
      <c r="AV2825">
        <v>4000</v>
      </c>
      <c r="AW2825">
        <v>1200</v>
      </c>
      <c r="AX2825">
        <v>43200</v>
      </c>
      <c r="AY2825">
        <v>9730.1268155278503</v>
      </c>
      <c r="AZ2825">
        <v>4160</v>
      </c>
      <c r="BA2825">
        <v>500</v>
      </c>
      <c r="BB2825">
        <v>70000</v>
      </c>
      <c r="BC2825">
        <v>4883</v>
      </c>
    </row>
    <row r="2826" spans="1:55">
      <c r="A2826" s="25" t="s">
        <v>192</v>
      </c>
      <c r="B2826" t="s">
        <v>192</v>
      </c>
      <c r="C2826">
        <v>24659.479503733732</v>
      </c>
      <c r="D2826">
        <v>20000</v>
      </c>
      <c r="E2826">
        <v>1600</v>
      </c>
      <c r="F2826">
        <v>250000</v>
      </c>
      <c r="G2826">
        <v>11762.22575870425</v>
      </c>
      <c r="H2826">
        <v>8000</v>
      </c>
      <c r="I2826">
        <v>200</v>
      </c>
      <c r="J2826">
        <v>300000</v>
      </c>
      <c r="K2826">
        <v>34433.363710431739</v>
      </c>
      <c r="L2826">
        <v>30000</v>
      </c>
      <c r="M2826">
        <v>1000</v>
      </c>
      <c r="N2826">
        <v>300000</v>
      </c>
      <c r="O2826">
        <v>6260.4846340231561</v>
      </c>
      <c r="P2826">
        <v>4000</v>
      </c>
      <c r="Q2826">
        <v>100</v>
      </c>
      <c r="R2826">
        <v>60000</v>
      </c>
      <c r="S2826">
        <v>5454.2745271290396</v>
      </c>
      <c r="T2826">
        <v>5000</v>
      </c>
      <c r="U2826">
        <v>2000</v>
      </c>
      <c r="V2826">
        <v>21000</v>
      </c>
      <c r="W2826">
        <v>6582.5763450654422</v>
      </c>
      <c r="X2826">
        <v>5500</v>
      </c>
      <c r="Y2826">
        <v>2300</v>
      </c>
      <c r="Z2826">
        <v>65000</v>
      </c>
      <c r="AA2826">
        <v>3322.616462228345</v>
      </c>
      <c r="AB2826">
        <v>2500</v>
      </c>
      <c r="AC2826">
        <v>245</v>
      </c>
      <c r="AD2826">
        <v>109700</v>
      </c>
      <c r="AE2826">
        <v>4565.20474249567</v>
      </c>
      <c r="AF2826">
        <v>2833</v>
      </c>
      <c r="AG2826">
        <v>100</v>
      </c>
      <c r="AH2826">
        <v>55000</v>
      </c>
      <c r="AI2826">
        <v>8564.4750440644839</v>
      </c>
      <c r="AJ2826">
        <v>5000</v>
      </c>
      <c r="AK2826">
        <v>1000</v>
      </c>
      <c r="AL2826">
        <v>80000</v>
      </c>
      <c r="AM2826">
        <v>6902.2695957314572</v>
      </c>
      <c r="AN2826">
        <v>3000</v>
      </c>
      <c r="AO2826">
        <v>200</v>
      </c>
      <c r="AP2826">
        <v>80000</v>
      </c>
      <c r="AQ2826">
        <v>5243.4401907964366</v>
      </c>
      <c r="AR2826">
        <v>3000</v>
      </c>
      <c r="AS2826">
        <v>200</v>
      </c>
      <c r="AT2826">
        <v>100000</v>
      </c>
      <c r="AU2826">
        <v>4256.4384152621269</v>
      </c>
      <c r="AV2826">
        <v>3000</v>
      </c>
      <c r="AW2826">
        <v>1000</v>
      </c>
      <c r="AX2826">
        <v>43200</v>
      </c>
      <c r="AY2826">
        <v>9280.2968764838097</v>
      </c>
      <c r="AZ2826">
        <v>4500</v>
      </c>
      <c r="BA2826">
        <v>500</v>
      </c>
      <c r="BB2826">
        <v>70000</v>
      </c>
      <c r="BC2826">
        <v>4883</v>
      </c>
    </row>
    <row r="2828" spans="1:55" ht="43.5">
      <c r="A2828" s="25" t="s">
        <v>955</v>
      </c>
    </row>
    <row r="2829" spans="1:55">
      <c r="A2829" s="25" t="s">
        <v>181</v>
      </c>
      <c r="B2829" t="s">
        <v>182</v>
      </c>
      <c r="C2829" t="s">
        <v>901</v>
      </c>
      <c r="D2829" t="s">
        <v>902</v>
      </c>
      <c r="E2829" t="s">
        <v>903</v>
      </c>
      <c r="F2829" t="s">
        <v>904</v>
      </c>
      <c r="G2829" t="s">
        <v>905</v>
      </c>
      <c r="H2829" t="s">
        <v>906</v>
      </c>
      <c r="I2829" t="s">
        <v>907</v>
      </c>
      <c r="J2829" t="s">
        <v>908</v>
      </c>
      <c r="K2829" t="s">
        <v>909</v>
      </c>
      <c r="L2829" t="s">
        <v>910</v>
      </c>
      <c r="M2829" t="s">
        <v>911</v>
      </c>
      <c r="N2829" t="s">
        <v>912</v>
      </c>
      <c r="O2829" t="s">
        <v>913</v>
      </c>
      <c r="P2829" t="s">
        <v>914</v>
      </c>
      <c r="Q2829" t="s">
        <v>915</v>
      </c>
      <c r="R2829" t="s">
        <v>916</v>
      </c>
      <c r="S2829" t="s">
        <v>917</v>
      </c>
      <c r="T2829" t="s">
        <v>918</v>
      </c>
      <c r="U2829" t="s">
        <v>919</v>
      </c>
      <c r="V2829" t="s">
        <v>920</v>
      </c>
      <c r="W2829" t="s">
        <v>921</v>
      </c>
      <c r="X2829" t="s">
        <v>922</v>
      </c>
      <c r="Y2829" t="s">
        <v>923</v>
      </c>
      <c r="Z2829" t="s">
        <v>924</v>
      </c>
      <c r="AA2829" t="s">
        <v>925</v>
      </c>
      <c r="AB2829" t="s">
        <v>926</v>
      </c>
      <c r="AC2829" t="s">
        <v>927</v>
      </c>
      <c r="AD2829" t="s">
        <v>928</v>
      </c>
      <c r="AE2829" t="s">
        <v>929</v>
      </c>
      <c r="AF2829" t="s">
        <v>930</v>
      </c>
      <c r="AG2829" t="s">
        <v>931</v>
      </c>
      <c r="AH2829" t="s">
        <v>932</v>
      </c>
      <c r="AI2829" t="s">
        <v>933</v>
      </c>
      <c r="AJ2829" t="s">
        <v>934</v>
      </c>
      <c r="AK2829" t="s">
        <v>935</v>
      </c>
      <c r="AL2829" t="s">
        <v>936</v>
      </c>
      <c r="AM2829" t="s">
        <v>937</v>
      </c>
      <c r="AN2829" t="s">
        <v>938</v>
      </c>
      <c r="AO2829" t="s">
        <v>939</v>
      </c>
      <c r="AP2829" t="s">
        <v>940</v>
      </c>
      <c r="AQ2829" t="s">
        <v>941</v>
      </c>
      <c r="AR2829" t="s">
        <v>942</v>
      </c>
      <c r="AS2829" t="s">
        <v>943</v>
      </c>
      <c r="AT2829" t="s">
        <v>944</v>
      </c>
      <c r="AU2829" t="s">
        <v>945</v>
      </c>
      <c r="AV2829" t="s">
        <v>946</v>
      </c>
      <c r="AW2829" t="s">
        <v>947</v>
      </c>
      <c r="AX2829" t="s">
        <v>948</v>
      </c>
      <c r="AY2829" t="s">
        <v>949</v>
      </c>
      <c r="AZ2829" t="s">
        <v>950</v>
      </c>
      <c r="BA2829" t="s">
        <v>951</v>
      </c>
      <c r="BB2829" t="s">
        <v>952</v>
      </c>
      <c r="BC2829" t="s">
        <v>188</v>
      </c>
    </row>
    <row r="2830" spans="1:55">
      <c r="A2830" s="25" t="s">
        <v>189</v>
      </c>
      <c r="B2830" t="s">
        <v>201</v>
      </c>
      <c r="C2830">
        <v>25881.2789139048</v>
      </c>
      <c r="D2830">
        <v>22000</v>
      </c>
      <c r="E2830">
        <v>1600</v>
      </c>
      <c r="F2830">
        <v>100000</v>
      </c>
      <c r="G2830">
        <v>10195.841172687869</v>
      </c>
      <c r="H2830">
        <v>9000</v>
      </c>
      <c r="I2830">
        <v>200</v>
      </c>
      <c r="J2830">
        <v>45000</v>
      </c>
      <c r="K2830">
        <v>13271.181059445311</v>
      </c>
      <c r="L2830">
        <v>10000</v>
      </c>
      <c r="M2830">
        <v>3000</v>
      </c>
      <c r="N2830">
        <v>60000</v>
      </c>
      <c r="O2830">
        <v>5137.2853032884932</v>
      </c>
      <c r="P2830">
        <v>3000</v>
      </c>
      <c r="Q2830">
        <v>500</v>
      </c>
      <c r="R2830">
        <v>15000</v>
      </c>
      <c r="S2830">
        <v>5543.9626767193604</v>
      </c>
      <c r="T2830">
        <v>5000</v>
      </c>
      <c r="U2830">
        <v>2000</v>
      </c>
      <c r="V2830">
        <v>21000</v>
      </c>
      <c r="W2830">
        <v>6907.1287922678684</v>
      </c>
      <c r="X2830">
        <v>6000</v>
      </c>
      <c r="Y2830">
        <v>2300</v>
      </c>
      <c r="Z2830">
        <v>30000</v>
      </c>
      <c r="AA2830">
        <v>3627.438218526429</v>
      </c>
      <c r="AB2830">
        <v>2500</v>
      </c>
      <c r="AC2830">
        <v>300</v>
      </c>
      <c r="AD2830">
        <v>23000</v>
      </c>
      <c r="AE2830">
        <v>615.74382764690108</v>
      </c>
      <c r="AF2830">
        <v>1500</v>
      </c>
      <c r="AG2830">
        <v>375</v>
      </c>
      <c r="AH2830">
        <v>5000</v>
      </c>
      <c r="AI2830">
        <v>6381.899575622173</v>
      </c>
      <c r="AJ2830">
        <v>5000</v>
      </c>
      <c r="AK2830">
        <v>1000</v>
      </c>
      <c r="AL2830">
        <v>17000</v>
      </c>
      <c r="AM2830">
        <v>9039.9895952345978</v>
      </c>
      <c r="AN2830">
        <v>3600</v>
      </c>
      <c r="AO2830">
        <v>300</v>
      </c>
      <c r="AP2830">
        <v>73000</v>
      </c>
      <c r="AQ2830">
        <v>8798.3019653051306</v>
      </c>
      <c r="AR2830">
        <v>6000</v>
      </c>
      <c r="AS2830">
        <v>200</v>
      </c>
      <c r="AT2830">
        <v>38000</v>
      </c>
      <c r="AU2830">
        <v>3150.264718959691</v>
      </c>
      <c r="AV2830">
        <v>6600</v>
      </c>
      <c r="AW2830">
        <v>1500</v>
      </c>
      <c r="AX2830">
        <v>6600</v>
      </c>
      <c r="AY2830">
        <v>23752.892485342429</v>
      </c>
      <c r="AZ2830">
        <v>30000</v>
      </c>
      <c r="BA2830">
        <v>1400</v>
      </c>
      <c r="BB2830">
        <v>50000</v>
      </c>
      <c r="BC2830">
        <v>4883</v>
      </c>
    </row>
    <row r="2831" spans="1:55">
      <c r="A2831" s="25" t="s">
        <v>189</v>
      </c>
      <c r="B2831" t="s">
        <v>202</v>
      </c>
      <c r="C2831">
        <v>17834.053223672679</v>
      </c>
      <c r="D2831">
        <v>20000</v>
      </c>
      <c r="E2831">
        <v>2000</v>
      </c>
      <c r="F2831">
        <v>70000</v>
      </c>
      <c r="G2831">
        <v>10960.705615663999</v>
      </c>
      <c r="H2831">
        <v>10000</v>
      </c>
      <c r="I2831">
        <v>1000</v>
      </c>
      <c r="J2831">
        <v>20000</v>
      </c>
      <c r="K2831">
        <v>90036.366045996328</v>
      </c>
      <c r="L2831">
        <v>100000</v>
      </c>
      <c r="M2831">
        <v>10000</v>
      </c>
      <c r="N2831">
        <v>100000</v>
      </c>
      <c r="O2831">
        <v>16446.80510484727</v>
      </c>
      <c r="P2831">
        <v>20000</v>
      </c>
      <c r="Q2831">
        <v>12000</v>
      </c>
      <c r="R2831">
        <v>20000</v>
      </c>
      <c r="S2831">
        <v>6026.1405189824272</v>
      </c>
      <c r="T2831">
        <v>6000</v>
      </c>
      <c r="U2831">
        <v>2000</v>
      </c>
      <c r="V2831">
        <v>11000</v>
      </c>
      <c r="W2831">
        <v>5394.1258965812158</v>
      </c>
      <c r="X2831">
        <v>4600</v>
      </c>
      <c r="Y2831">
        <v>2300</v>
      </c>
      <c r="Z2831">
        <v>18500</v>
      </c>
      <c r="AA2831">
        <v>4797.0797069556129</v>
      </c>
      <c r="AB2831">
        <v>2700</v>
      </c>
      <c r="AC2831">
        <v>860</v>
      </c>
      <c r="AD2831">
        <v>18000</v>
      </c>
      <c r="AE2831">
        <v>6275.0559103789301</v>
      </c>
      <c r="AF2831">
        <v>9000</v>
      </c>
      <c r="AG2831">
        <v>2000</v>
      </c>
      <c r="AH2831">
        <v>9000</v>
      </c>
      <c r="AI2831">
        <v>2000</v>
      </c>
      <c r="AJ2831">
        <v>2000</v>
      </c>
      <c r="AK2831">
        <v>2000</v>
      </c>
      <c r="AL2831">
        <v>2000</v>
      </c>
      <c r="AM2831">
        <v>7869.0636407648763</v>
      </c>
      <c r="AN2831">
        <v>7200</v>
      </c>
      <c r="AO2831">
        <v>1500</v>
      </c>
      <c r="AP2831">
        <v>30000</v>
      </c>
      <c r="AQ2831">
        <v>11378.73531482283</v>
      </c>
      <c r="AR2831">
        <v>20000</v>
      </c>
      <c r="AS2831">
        <v>1000</v>
      </c>
      <c r="AT2831">
        <v>30000</v>
      </c>
      <c r="AY2831">
        <v>4362.2533454007416</v>
      </c>
      <c r="AZ2831">
        <v>5000</v>
      </c>
      <c r="BA2831">
        <v>2000</v>
      </c>
      <c r="BB2831">
        <v>5000</v>
      </c>
      <c r="BC2831">
        <v>4883</v>
      </c>
    </row>
    <row r="2832" spans="1:55">
      <c r="A2832" s="25" t="s">
        <v>189</v>
      </c>
      <c r="B2832" t="s">
        <v>203</v>
      </c>
      <c r="C2832">
        <v>23151.702864302191</v>
      </c>
      <c r="D2832">
        <v>19000</v>
      </c>
      <c r="E2832">
        <v>1600</v>
      </c>
      <c r="F2832">
        <v>200000</v>
      </c>
      <c r="G2832">
        <v>11541.242300912099</v>
      </c>
      <c r="H2832">
        <v>8000</v>
      </c>
      <c r="I2832">
        <v>200</v>
      </c>
      <c r="J2832">
        <v>300000</v>
      </c>
      <c r="K2832">
        <v>30333.68873198855</v>
      </c>
      <c r="L2832">
        <v>24000</v>
      </c>
      <c r="M2832">
        <v>1000</v>
      </c>
      <c r="N2832">
        <v>200000</v>
      </c>
      <c r="O2832">
        <v>6267.4562800806943</v>
      </c>
      <c r="P2832">
        <v>3500</v>
      </c>
      <c r="Q2832">
        <v>100</v>
      </c>
      <c r="R2832">
        <v>60000</v>
      </c>
      <c r="S2832">
        <v>4906.3894368240299</v>
      </c>
      <c r="T2832">
        <v>4000</v>
      </c>
      <c r="U2832">
        <v>2000</v>
      </c>
      <c r="V2832">
        <v>15000</v>
      </c>
      <c r="W2832">
        <v>6553.0828008602384</v>
      </c>
      <c r="X2832">
        <v>5400</v>
      </c>
      <c r="Y2832">
        <v>2300</v>
      </c>
      <c r="Z2832">
        <v>65000</v>
      </c>
      <c r="AA2832">
        <v>3331.1138272549911</v>
      </c>
      <c r="AB2832">
        <v>2600</v>
      </c>
      <c r="AC2832">
        <v>300</v>
      </c>
      <c r="AD2832">
        <v>109700</v>
      </c>
      <c r="AE2832">
        <v>4094.393996579558</v>
      </c>
      <c r="AF2832">
        <v>2000</v>
      </c>
      <c r="AG2832">
        <v>100</v>
      </c>
      <c r="AH2832">
        <v>40000</v>
      </c>
      <c r="AI2832">
        <v>8530.4651376146012</v>
      </c>
      <c r="AJ2832">
        <v>5000</v>
      </c>
      <c r="AK2832">
        <v>1000</v>
      </c>
      <c r="AL2832">
        <v>80000</v>
      </c>
      <c r="AM2832">
        <v>5220.2330362257817</v>
      </c>
      <c r="AN2832">
        <v>2200</v>
      </c>
      <c r="AO2832">
        <v>250</v>
      </c>
      <c r="AP2832">
        <v>54000</v>
      </c>
      <c r="AQ2832">
        <v>4490.9755609321664</v>
      </c>
      <c r="AR2832">
        <v>3000</v>
      </c>
      <c r="AS2832">
        <v>200</v>
      </c>
      <c r="AT2832">
        <v>50000</v>
      </c>
      <c r="AU2832">
        <v>4154.4712394472526</v>
      </c>
      <c r="AV2832">
        <v>2000</v>
      </c>
      <c r="AW2832">
        <v>1000</v>
      </c>
      <c r="AX2832">
        <v>43200</v>
      </c>
      <c r="AY2832">
        <v>7266.8907155769284</v>
      </c>
      <c r="AZ2832">
        <v>4000</v>
      </c>
      <c r="BA2832">
        <v>850</v>
      </c>
      <c r="BB2832">
        <v>70000</v>
      </c>
      <c r="BC2832">
        <v>4883</v>
      </c>
    </row>
    <row r="2833" spans="1:55">
      <c r="A2833" s="25" t="s">
        <v>189</v>
      </c>
      <c r="B2833" t="s">
        <v>204</v>
      </c>
      <c r="C2833">
        <v>22971.692835235659</v>
      </c>
      <c r="D2833">
        <v>30000</v>
      </c>
      <c r="E2833">
        <v>8000</v>
      </c>
      <c r="F2833">
        <v>50000</v>
      </c>
      <c r="G2833">
        <v>24357.2801458957</v>
      </c>
      <c r="H2833">
        <v>30000</v>
      </c>
      <c r="I2833">
        <v>5000</v>
      </c>
      <c r="J2833">
        <v>30000</v>
      </c>
      <c r="S2833">
        <v>2129.1680983687002</v>
      </c>
      <c r="T2833">
        <v>3000</v>
      </c>
      <c r="U2833">
        <v>2000</v>
      </c>
      <c r="V2833">
        <v>3000</v>
      </c>
      <c r="W2833">
        <v>7570.3393994583093</v>
      </c>
      <c r="X2833">
        <v>4600</v>
      </c>
      <c r="Y2833">
        <v>2800</v>
      </c>
      <c r="Z2833">
        <v>21000</v>
      </c>
      <c r="AA2833">
        <v>2020.3712375259711</v>
      </c>
      <c r="AB2833">
        <v>3000</v>
      </c>
      <c r="AC2833">
        <v>800</v>
      </c>
      <c r="AD2833">
        <v>3046</v>
      </c>
      <c r="AM2833">
        <v>3700</v>
      </c>
      <c r="AN2833">
        <v>6600</v>
      </c>
      <c r="AO2833">
        <v>1500</v>
      </c>
      <c r="AP2833">
        <v>6600</v>
      </c>
      <c r="AQ2833">
        <v>3000</v>
      </c>
      <c r="AR2833">
        <v>3000</v>
      </c>
      <c r="AS2833">
        <v>3000</v>
      </c>
      <c r="AT2833">
        <v>3000</v>
      </c>
      <c r="AY2833">
        <v>8000</v>
      </c>
      <c r="AZ2833">
        <v>8000</v>
      </c>
      <c r="BA2833">
        <v>8000</v>
      </c>
      <c r="BB2833">
        <v>8000</v>
      </c>
      <c r="BC2833">
        <v>4883</v>
      </c>
    </row>
    <row r="2834" spans="1:55">
      <c r="A2834" s="25" t="s">
        <v>189</v>
      </c>
      <c r="B2834" t="s">
        <v>205</v>
      </c>
      <c r="C2834">
        <v>31304.149114320378</v>
      </c>
      <c r="D2834">
        <v>25000</v>
      </c>
      <c r="E2834">
        <v>1600</v>
      </c>
      <c r="F2834">
        <v>250000</v>
      </c>
      <c r="G2834">
        <v>13905.16530365295</v>
      </c>
      <c r="H2834">
        <v>10000</v>
      </c>
      <c r="I2834">
        <v>500</v>
      </c>
      <c r="J2834">
        <v>80000</v>
      </c>
      <c r="K2834">
        <v>48223.270692976657</v>
      </c>
      <c r="L2834">
        <v>40000</v>
      </c>
      <c r="M2834">
        <v>1000</v>
      </c>
      <c r="N2834">
        <v>300000</v>
      </c>
      <c r="O2834">
        <v>6432.8706307434559</v>
      </c>
      <c r="P2834">
        <v>6000</v>
      </c>
      <c r="Q2834">
        <v>300</v>
      </c>
      <c r="R2834">
        <v>40000</v>
      </c>
      <c r="S2834">
        <v>4989.9645407039388</v>
      </c>
      <c r="T2834">
        <v>4000</v>
      </c>
      <c r="U2834">
        <v>2000</v>
      </c>
      <c r="V2834">
        <v>20000</v>
      </c>
      <c r="W2834">
        <v>6761.9071767486512</v>
      </c>
      <c r="X2834">
        <v>5700</v>
      </c>
      <c r="Y2834">
        <v>2300</v>
      </c>
      <c r="Z2834">
        <v>30000</v>
      </c>
      <c r="AA2834">
        <v>2979.183186033416</v>
      </c>
      <c r="AB2834">
        <v>1900</v>
      </c>
      <c r="AC2834">
        <v>245</v>
      </c>
      <c r="AD2834">
        <v>40000</v>
      </c>
      <c r="AE2834">
        <v>7022.6480126579236</v>
      </c>
      <c r="AF2834">
        <v>7000</v>
      </c>
      <c r="AG2834">
        <v>290</v>
      </c>
      <c r="AH2834">
        <v>55000</v>
      </c>
      <c r="AI2834">
        <v>9933.2030408055034</v>
      </c>
      <c r="AJ2834">
        <v>6000</v>
      </c>
      <c r="AK2834">
        <v>1000</v>
      </c>
      <c r="AL2834">
        <v>60000</v>
      </c>
      <c r="AM2834">
        <v>7864.3399920168449</v>
      </c>
      <c r="AN2834">
        <v>4500</v>
      </c>
      <c r="AO2834">
        <v>200</v>
      </c>
      <c r="AP2834">
        <v>80000</v>
      </c>
      <c r="AQ2834">
        <v>6944.3253708862894</v>
      </c>
      <c r="AR2834">
        <v>5000</v>
      </c>
      <c r="AS2834">
        <v>500</v>
      </c>
      <c r="AT2834">
        <v>100000</v>
      </c>
      <c r="AU2834">
        <v>11366.064537180349</v>
      </c>
      <c r="AV2834">
        <v>25000</v>
      </c>
      <c r="AW2834">
        <v>3000</v>
      </c>
      <c r="AX2834">
        <v>25000</v>
      </c>
      <c r="AY2834">
        <v>12892.36932249486</v>
      </c>
      <c r="AZ2834">
        <v>5000</v>
      </c>
      <c r="BA2834">
        <v>500</v>
      </c>
      <c r="BB2834">
        <v>70000</v>
      </c>
      <c r="BC2834">
        <v>4883</v>
      </c>
    </row>
    <row r="2835" spans="1:55">
      <c r="A2835" s="25" t="s">
        <v>192</v>
      </c>
      <c r="B2835" t="s">
        <v>192</v>
      </c>
      <c r="C2835">
        <v>24659.479503733732</v>
      </c>
      <c r="D2835">
        <v>20000</v>
      </c>
      <c r="E2835">
        <v>1600</v>
      </c>
      <c r="F2835">
        <v>250000</v>
      </c>
      <c r="G2835">
        <v>11762.22575870425</v>
      </c>
      <c r="H2835">
        <v>8000</v>
      </c>
      <c r="I2835">
        <v>200</v>
      </c>
      <c r="J2835">
        <v>300000</v>
      </c>
      <c r="K2835">
        <v>34433.363710431739</v>
      </c>
      <c r="L2835">
        <v>30000</v>
      </c>
      <c r="M2835">
        <v>1000</v>
      </c>
      <c r="N2835">
        <v>300000</v>
      </c>
      <c r="O2835">
        <v>6260.4846340231561</v>
      </c>
      <c r="P2835">
        <v>4000</v>
      </c>
      <c r="Q2835">
        <v>100</v>
      </c>
      <c r="R2835">
        <v>60000</v>
      </c>
      <c r="S2835">
        <v>5454.2745271290396</v>
      </c>
      <c r="T2835">
        <v>5000</v>
      </c>
      <c r="U2835">
        <v>2000</v>
      </c>
      <c r="V2835">
        <v>21000</v>
      </c>
      <c r="W2835">
        <v>6582.5763450654422</v>
      </c>
      <c r="X2835">
        <v>5500</v>
      </c>
      <c r="Y2835">
        <v>2300</v>
      </c>
      <c r="Z2835">
        <v>65000</v>
      </c>
      <c r="AA2835">
        <v>3322.616462228345</v>
      </c>
      <c r="AB2835">
        <v>2500</v>
      </c>
      <c r="AC2835">
        <v>245</v>
      </c>
      <c r="AD2835">
        <v>109700</v>
      </c>
      <c r="AE2835">
        <v>4565.20474249567</v>
      </c>
      <c r="AF2835">
        <v>2833</v>
      </c>
      <c r="AG2835">
        <v>100</v>
      </c>
      <c r="AH2835">
        <v>55000</v>
      </c>
      <c r="AI2835">
        <v>8564.4750440644839</v>
      </c>
      <c r="AJ2835">
        <v>5000</v>
      </c>
      <c r="AK2835">
        <v>1000</v>
      </c>
      <c r="AL2835">
        <v>80000</v>
      </c>
      <c r="AM2835">
        <v>6902.2695957314572</v>
      </c>
      <c r="AN2835">
        <v>3000</v>
      </c>
      <c r="AO2835">
        <v>200</v>
      </c>
      <c r="AP2835">
        <v>80000</v>
      </c>
      <c r="AQ2835">
        <v>5243.4401907964366</v>
      </c>
      <c r="AR2835">
        <v>3000</v>
      </c>
      <c r="AS2835">
        <v>200</v>
      </c>
      <c r="AT2835">
        <v>100000</v>
      </c>
      <c r="AU2835">
        <v>4256.4384152621269</v>
      </c>
      <c r="AV2835">
        <v>3000</v>
      </c>
      <c r="AW2835">
        <v>1000</v>
      </c>
      <c r="AX2835">
        <v>43200</v>
      </c>
      <c r="AY2835">
        <v>9280.2968764838097</v>
      </c>
      <c r="AZ2835">
        <v>4500</v>
      </c>
      <c r="BA2835">
        <v>500</v>
      </c>
      <c r="BB2835">
        <v>70000</v>
      </c>
      <c r="BC2835">
        <v>4883</v>
      </c>
    </row>
    <row r="2837" spans="1:55" ht="43.5">
      <c r="A2837" s="25" t="s">
        <v>956</v>
      </c>
    </row>
    <row r="2838" spans="1:55">
      <c r="A2838" s="25" t="s">
        <v>181</v>
      </c>
      <c r="B2838" t="s">
        <v>182</v>
      </c>
      <c r="C2838" t="s">
        <v>901</v>
      </c>
      <c r="D2838" t="s">
        <v>902</v>
      </c>
      <c r="E2838" t="s">
        <v>903</v>
      </c>
      <c r="F2838" t="s">
        <v>904</v>
      </c>
      <c r="G2838" t="s">
        <v>905</v>
      </c>
      <c r="H2838" t="s">
        <v>906</v>
      </c>
      <c r="I2838" t="s">
        <v>907</v>
      </c>
      <c r="J2838" t="s">
        <v>908</v>
      </c>
      <c r="K2838" t="s">
        <v>909</v>
      </c>
      <c r="L2838" t="s">
        <v>910</v>
      </c>
      <c r="M2838" t="s">
        <v>911</v>
      </c>
      <c r="N2838" t="s">
        <v>912</v>
      </c>
      <c r="O2838" t="s">
        <v>913</v>
      </c>
      <c r="P2838" t="s">
        <v>914</v>
      </c>
      <c r="Q2838" t="s">
        <v>915</v>
      </c>
      <c r="R2838" t="s">
        <v>916</v>
      </c>
      <c r="S2838" t="s">
        <v>917</v>
      </c>
      <c r="T2838" t="s">
        <v>918</v>
      </c>
      <c r="U2838" t="s">
        <v>919</v>
      </c>
      <c r="V2838" t="s">
        <v>920</v>
      </c>
      <c r="W2838" t="s">
        <v>921</v>
      </c>
      <c r="X2838" t="s">
        <v>922</v>
      </c>
      <c r="Y2838" t="s">
        <v>923</v>
      </c>
      <c r="Z2838" t="s">
        <v>924</v>
      </c>
      <c r="AA2838" t="s">
        <v>925</v>
      </c>
      <c r="AB2838" t="s">
        <v>926</v>
      </c>
      <c r="AC2838" t="s">
        <v>927</v>
      </c>
      <c r="AD2838" t="s">
        <v>928</v>
      </c>
      <c r="AE2838" t="s">
        <v>929</v>
      </c>
      <c r="AF2838" t="s">
        <v>930</v>
      </c>
      <c r="AG2838" t="s">
        <v>931</v>
      </c>
      <c r="AH2838" t="s">
        <v>932</v>
      </c>
      <c r="AI2838" t="s">
        <v>933</v>
      </c>
      <c r="AJ2838" t="s">
        <v>934</v>
      </c>
      <c r="AK2838" t="s">
        <v>935</v>
      </c>
      <c r="AL2838" t="s">
        <v>936</v>
      </c>
      <c r="AM2838" t="s">
        <v>937</v>
      </c>
      <c r="AN2838" t="s">
        <v>938</v>
      </c>
      <c r="AO2838" t="s">
        <v>939</v>
      </c>
      <c r="AP2838" t="s">
        <v>940</v>
      </c>
      <c r="AQ2838" t="s">
        <v>941</v>
      </c>
      <c r="AR2838" t="s">
        <v>942</v>
      </c>
      <c r="AS2838" t="s">
        <v>943</v>
      </c>
      <c r="AT2838" t="s">
        <v>944</v>
      </c>
      <c r="AU2838" t="s">
        <v>945</v>
      </c>
      <c r="AV2838" t="s">
        <v>946</v>
      </c>
      <c r="AW2838" t="s">
        <v>947</v>
      </c>
      <c r="AX2838" t="s">
        <v>948</v>
      </c>
      <c r="AY2838" t="s">
        <v>949</v>
      </c>
      <c r="AZ2838" t="s">
        <v>950</v>
      </c>
      <c r="BA2838" t="s">
        <v>951</v>
      </c>
      <c r="BB2838" t="s">
        <v>952</v>
      </c>
      <c r="BC2838" t="s">
        <v>188</v>
      </c>
    </row>
    <row r="2839" spans="1:55">
      <c r="A2839" s="25" t="s">
        <v>189</v>
      </c>
      <c r="B2839" t="s">
        <v>207</v>
      </c>
      <c r="C2839">
        <v>25647.5210498536</v>
      </c>
      <c r="D2839">
        <v>20000</v>
      </c>
      <c r="E2839">
        <v>1600</v>
      </c>
      <c r="F2839">
        <v>200000</v>
      </c>
      <c r="G2839">
        <v>11861.136626921359</v>
      </c>
      <c r="H2839">
        <v>8000</v>
      </c>
      <c r="I2839">
        <v>200</v>
      </c>
      <c r="J2839">
        <v>300000</v>
      </c>
      <c r="K2839">
        <v>35141.149636057751</v>
      </c>
      <c r="L2839">
        <v>30000</v>
      </c>
      <c r="M2839">
        <v>1000</v>
      </c>
      <c r="N2839">
        <v>300000</v>
      </c>
      <c r="O2839">
        <v>6770.1473747352693</v>
      </c>
      <c r="P2839">
        <v>4000</v>
      </c>
      <c r="Q2839">
        <v>300</v>
      </c>
      <c r="R2839">
        <v>60000</v>
      </c>
      <c r="S2839">
        <v>5246.2017005835232</v>
      </c>
      <c r="T2839">
        <v>5000</v>
      </c>
      <c r="U2839">
        <v>2000</v>
      </c>
      <c r="V2839">
        <v>21000</v>
      </c>
      <c r="W2839">
        <v>7447.9021938729811</v>
      </c>
      <c r="X2839">
        <v>6700</v>
      </c>
      <c r="Y2839">
        <v>2300</v>
      </c>
      <c r="Z2839">
        <v>65000</v>
      </c>
      <c r="AA2839">
        <v>3136.660940040068</v>
      </c>
      <c r="AB2839">
        <v>2500</v>
      </c>
      <c r="AC2839">
        <v>300</v>
      </c>
      <c r="AD2839">
        <v>109700</v>
      </c>
      <c r="AE2839">
        <v>4832.3114528018559</v>
      </c>
      <c r="AF2839">
        <v>3000</v>
      </c>
      <c r="AG2839">
        <v>100</v>
      </c>
      <c r="AH2839">
        <v>35000</v>
      </c>
      <c r="AI2839">
        <v>9604.7412338816212</v>
      </c>
      <c r="AJ2839">
        <v>5000</v>
      </c>
      <c r="AK2839">
        <v>1000</v>
      </c>
      <c r="AL2839">
        <v>80000</v>
      </c>
      <c r="AM2839">
        <v>6439.1331503143874</v>
      </c>
      <c r="AN2839">
        <v>3000</v>
      </c>
      <c r="AO2839">
        <v>200</v>
      </c>
      <c r="AP2839">
        <v>80000</v>
      </c>
      <c r="AQ2839">
        <v>6544.0613128628029</v>
      </c>
      <c r="AR2839">
        <v>4000</v>
      </c>
      <c r="AS2839">
        <v>500</v>
      </c>
      <c r="AT2839">
        <v>50000</v>
      </c>
      <c r="AU2839">
        <v>4629.3936712337427</v>
      </c>
      <c r="AV2839">
        <v>4000</v>
      </c>
      <c r="AW2839">
        <v>1000</v>
      </c>
      <c r="AX2839">
        <v>43200</v>
      </c>
      <c r="AY2839">
        <v>11547.28118256408</v>
      </c>
      <c r="AZ2839">
        <v>4500</v>
      </c>
      <c r="BA2839">
        <v>500</v>
      </c>
      <c r="BB2839">
        <v>70000</v>
      </c>
      <c r="BC2839">
        <v>4883</v>
      </c>
    </row>
    <row r="2840" spans="1:55">
      <c r="A2840" s="25" t="s">
        <v>189</v>
      </c>
      <c r="B2840" t="s">
        <v>208</v>
      </c>
      <c r="C2840">
        <v>17196.766614625241</v>
      </c>
      <c r="D2840">
        <v>13000</v>
      </c>
      <c r="E2840">
        <v>1600</v>
      </c>
      <c r="F2840">
        <v>250000</v>
      </c>
      <c r="G2840">
        <v>10118.424570519441</v>
      </c>
      <c r="H2840">
        <v>6000</v>
      </c>
      <c r="I2840">
        <v>200</v>
      </c>
      <c r="J2840">
        <v>45000</v>
      </c>
      <c r="K2840">
        <v>24582.372298822051</v>
      </c>
      <c r="L2840">
        <v>20000</v>
      </c>
      <c r="M2840">
        <v>1728</v>
      </c>
      <c r="N2840">
        <v>70000</v>
      </c>
      <c r="O2840">
        <v>2168.7784968553719</v>
      </c>
      <c r="P2840">
        <v>2000</v>
      </c>
      <c r="Q2840">
        <v>100</v>
      </c>
      <c r="R2840">
        <v>9000</v>
      </c>
      <c r="S2840">
        <v>2090.416702287519</v>
      </c>
      <c r="T2840">
        <v>2000</v>
      </c>
      <c r="U2840">
        <v>2000</v>
      </c>
      <c r="V2840">
        <v>8000</v>
      </c>
      <c r="W2840">
        <v>4748.4278559671802</v>
      </c>
      <c r="X2840">
        <v>4000</v>
      </c>
      <c r="Y2840">
        <v>2300</v>
      </c>
      <c r="Z2840">
        <v>42000</v>
      </c>
      <c r="AA2840">
        <v>2712.3406303342558</v>
      </c>
      <c r="AB2840">
        <v>2361</v>
      </c>
      <c r="AC2840">
        <v>245</v>
      </c>
      <c r="AD2840">
        <v>22000</v>
      </c>
      <c r="AE2840">
        <v>3615.3368656738412</v>
      </c>
      <c r="AF2840">
        <v>1500</v>
      </c>
      <c r="AG2840">
        <v>333</v>
      </c>
      <c r="AH2840">
        <v>40000</v>
      </c>
      <c r="AI2840">
        <v>5813.5585787923756</v>
      </c>
      <c r="AJ2840">
        <v>5000</v>
      </c>
      <c r="AK2840">
        <v>1000</v>
      </c>
      <c r="AL2840">
        <v>25000</v>
      </c>
      <c r="AM2840">
        <v>3152.0819553935248</v>
      </c>
      <c r="AN2840">
        <v>1500</v>
      </c>
      <c r="AO2840">
        <v>400</v>
      </c>
      <c r="AP2840">
        <v>14000</v>
      </c>
      <c r="AQ2840">
        <v>3820.967052435476</v>
      </c>
      <c r="AR2840">
        <v>3000</v>
      </c>
      <c r="AS2840">
        <v>200</v>
      </c>
      <c r="AT2840">
        <v>100000</v>
      </c>
      <c r="AU2840">
        <v>3502.5315794878252</v>
      </c>
      <c r="AV2840">
        <v>20000</v>
      </c>
      <c r="AW2840">
        <v>1200</v>
      </c>
      <c r="AX2840">
        <v>20000</v>
      </c>
      <c r="AY2840">
        <v>5915.2127165905431</v>
      </c>
      <c r="AZ2840">
        <v>4000</v>
      </c>
      <c r="BA2840">
        <v>1500</v>
      </c>
      <c r="BB2840">
        <v>30000</v>
      </c>
      <c r="BC2840">
        <v>4883</v>
      </c>
    </row>
    <row r="2841" spans="1:55">
      <c r="A2841" s="25" t="s">
        <v>189</v>
      </c>
      <c r="B2841" t="s">
        <v>209</v>
      </c>
      <c r="C2841">
        <v>25743.144718355179</v>
      </c>
      <c r="D2841">
        <v>20000</v>
      </c>
      <c r="E2841">
        <v>2000</v>
      </c>
      <c r="F2841">
        <v>200000</v>
      </c>
      <c r="G2841">
        <v>13846.86285699699</v>
      </c>
      <c r="H2841">
        <v>11000</v>
      </c>
      <c r="I2841">
        <v>200</v>
      </c>
      <c r="J2841">
        <v>60000</v>
      </c>
      <c r="K2841">
        <v>33550.72498484853</v>
      </c>
      <c r="L2841">
        <v>22000</v>
      </c>
      <c r="M2841">
        <v>1000</v>
      </c>
      <c r="N2841">
        <v>200000</v>
      </c>
      <c r="O2841">
        <v>7305.6107214555796</v>
      </c>
      <c r="P2841">
        <v>5000</v>
      </c>
      <c r="Q2841">
        <v>800</v>
      </c>
      <c r="R2841">
        <v>60000</v>
      </c>
      <c r="S2841">
        <v>9890.2662967195793</v>
      </c>
      <c r="T2841">
        <v>11000</v>
      </c>
      <c r="U2841">
        <v>2000</v>
      </c>
      <c r="V2841">
        <v>20000</v>
      </c>
      <c r="W2841">
        <v>6786.9462119915679</v>
      </c>
      <c r="X2841">
        <v>5400</v>
      </c>
      <c r="Y2841">
        <v>2300</v>
      </c>
      <c r="Z2841">
        <v>35000</v>
      </c>
      <c r="AA2841">
        <v>4474.6239974048403</v>
      </c>
      <c r="AB2841">
        <v>2700</v>
      </c>
      <c r="AC2841">
        <v>300</v>
      </c>
      <c r="AD2841">
        <v>42000</v>
      </c>
      <c r="AE2841">
        <v>3977.3155872017051</v>
      </c>
      <c r="AF2841">
        <v>2160</v>
      </c>
      <c r="AG2841">
        <v>600</v>
      </c>
      <c r="AH2841">
        <v>55000</v>
      </c>
      <c r="AI2841">
        <v>11073.283325015411</v>
      </c>
      <c r="AJ2841">
        <v>9000</v>
      </c>
      <c r="AK2841">
        <v>1000</v>
      </c>
      <c r="AL2841">
        <v>35000</v>
      </c>
      <c r="AM2841">
        <v>22015.125718624011</v>
      </c>
      <c r="AN2841">
        <v>20000</v>
      </c>
      <c r="AO2841">
        <v>250</v>
      </c>
      <c r="AP2841">
        <v>54000</v>
      </c>
      <c r="AQ2841">
        <v>6131.0822806936176</v>
      </c>
      <c r="AR2841">
        <v>5000</v>
      </c>
      <c r="AS2841">
        <v>1000</v>
      </c>
      <c r="AT2841">
        <v>50000</v>
      </c>
      <c r="AU2841">
        <v>3749.5060540686382</v>
      </c>
      <c r="AV2841">
        <v>2000</v>
      </c>
      <c r="AW2841">
        <v>2000</v>
      </c>
      <c r="AX2841">
        <v>6600</v>
      </c>
      <c r="AY2841">
        <v>9544.0256651202963</v>
      </c>
      <c r="AZ2841">
        <v>10000</v>
      </c>
      <c r="BA2841">
        <v>1200</v>
      </c>
      <c r="BB2841">
        <v>27000</v>
      </c>
      <c r="BC2841">
        <v>4883</v>
      </c>
    </row>
    <row r="2842" spans="1:55">
      <c r="A2842" s="25" t="s">
        <v>192</v>
      </c>
      <c r="B2842" t="s">
        <v>192</v>
      </c>
      <c r="C2842">
        <v>24659.479503733732</v>
      </c>
      <c r="D2842">
        <v>20000</v>
      </c>
      <c r="E2842">
        <v>1600</v>
      </c>
      <c r="F2842">
        <v>250000</v>
      </c>
      <c r="G2842">
        <v>11762.22575870425</v>
      </c>
      <c r="H2842">
        <v>8000</v>
      </c>
      <c r="I2842">
        <v>200</v>
      </c>
      <c r="J2842">
        <v>300000</v>
      </c>
      <c r="K2842">
        <v>34433.363710431739</v>
      </c>
      <c r="L2842">
        <v>30000</v>
      </c>
      <c r="M2842">
        <v>1000</v>
      </c>
      <c r="N2842">
        <v>300000</v>
      </c>
      <c r="O2842">
        <v>6260.4846340231561</v>
      </c>
      <c r="P2842">
        <v>4000</v>
      </c>
      <c r="Q2842">
        <v>100</v>
      </c>
      <c r="R2842">
        <v>60000</v>
      </c>
      <c r="S2842">
        <v>5454.2745271290396</v>
      </c>
      <c r="T2842">
        <v>5000</v>
      </c>
      <c r="U2842">
        <v>2000</v>
      </c>
      <c r="V2842">
        <v>21000</v>
      </c>
      <c r="W2842">
        <v>6582.5763450654422</v>
      </c>
      <c r="X2842">
        <v>5500</v>
      </c>
      <c r="Y2842">
        <v>2300</v>
      </c>
      <c r="Z2842">
        <v>65000</v>
      </c>
      <c r="AA2842">
        <v>3322.616462228345</v>
      </c>
      <c r="AB2842">
        <v>2500</v>
      </c>
      <c r="AC2842">
        <v>245</v>
      </c>
      <c r="AD2842">
        <v>109700</v>
      </c>
      <c r="AE2842">
        <v>4565.20474249567</v>
      </c>
      <c r="AF2842">
        <v>2833</v>
      </c>
      <c r="AG2842">
        <v>100</v>
      </c>
      <c r="AH2842">
        <v>55000</v>
      </c>
      <c r="AI2842">
        <v>8564.4750440644839</v>
      </c>
      <c r="AJ2842">
        <v>5000</v>
      </c>
      <c r="AK2842">
        <v>1000</v>
      </c>
      <c r="AL2842">
        <v>80000</v>
      </c>
      <c r="AM2842">
        <v>6902.2695957314572</v>
      </c>
      <c r="AN2842">
        <v>3000</v>
      </c>
      <c r="AO2842">
        <v>200</v>
      </c>
      <c r="AP2842">
        <v>80000</v>
      </c>
      <c r="AQ2842">
        <v>5243.4401907964366</v>
      </c>
      <c r="AR2842">
        <v>3000</v>
      </c>
      <c r="AS2842">
        <v>200</v>
      </c>
      <c r="AT2842">
        <v>100000</v>
      </c>
      <c r="AU2842">
        <v>4256.4384152621269</v>
      </c>
      <c r="AV2842">
        <v>3000</v>
      </c>
      <c r="AW2842">
        <v>1000</v>
      </c>
      <c r="AX2842">
        <v>43200</v>
      </c>
      <c r="AY2842">
        <v>9280.2968764838097</v>
      </c>
      <c r="AZ2842">
        <v>4500</v>
      </c>
      <c r="BA2842">
        <v>500</v>
      </c>
      <c r="BB2842">
        <v>70000</v>
      </c>
      <c r="BC2842">
        <v>4883</v>
      </c>
    </row>
    <row r="2844" spans="1:55" ht="43.5">
      <c r="A2844" s="25" t="s">
        <v>957</v>
      </c>
    </row>
    <row r="2845" spans="1:55">
      <c r="A2845" s="25" t="s">
        <v>181</v>
      </c>
      <c r="B2845" t="s">
        <v>182</v>
      </c>
      <c r="C2845" t="s">
        <v>901</v>
      </c>
      <c r="D2845" t="s">
        <v>902</v>
      </c>
      <c r="E2845" t="s">
        <v>903</v>
      </c>
      <c r="F2845" t="s">
        <v>904</v>
      </c>
      <c r="G2845" t="s">
        <v>905</v>
      </c>
      <c r="H2845" t="s">
        <v>906</v>
      </c>
      <c r="I2845" t="s">
        <v>907</v>
      </c>
      <c r="J2845" t="s">
        <v>908</v>
      </c>
      <c r="K2845" t="s">
        <v>909</v>
      </c>
      <c r="L2845" t="s">
        <v>910</v>
      </c>
      <c r="M2845" t="s">
        <v>911</v>
      </c>
      <c r="N2845" t="s">
        <v>912</v>
      </c>
      <c r="O2845" t="s">
        <v>913</v>
      </c>
      <c r="P2845" t="s">
        <v>914</v>
      </c>
      <c r="Q2845" t="s">
        <v>915</v>
      </c>
      <c r="R2845" t="s">
        <v>916</v>
      </c>
      <c r="S2845" t="s">
        <v>917</v>
      </c>
      <c r="T2845" t="s">
        <v>918</v>
      </c>
      <c r="U2845" t="s">
        <v>919</v>
      </c>
      <c r="V2845" t="s">
        <v>920</v>
      </c>
      <c r="W2845" t="s">
        <v>921</v>
      </c>
      <c r="X2845" t="s">
        <v>922</v>
      </c>
      <c r="Y2845" t="s">
        <v>923</v>
      </c>
      <c r="Z2845" t="s">
        <v>924</v>
      </c>
      <c r="AA2845" t="s">
        <v>925</v>
      </c>
      <c r="AB2845" t="s">
        <v>926</v>
      </c>
      <c r="AC2845" t="s">
        <v>927</v>
      </c>
      <c r="AD2845" t="s">
        <v>928</v>
      </c>
      <c r="AE2845" t="s">
        <v>929</v>
      </c>
      <c r="AF2845" t="s">
        <v>930</v>
      </c>
      <c r="AG2845" t="s">
        <v>931</v>
      </c>
      <c r="AH2845" t="s">
        <v>932</v>
      </c>
      <c r="AI2845" t="s">
        <v>933</v>
      </c>
      <c r="AJ2845" t="s">
        <v>934</v>
      </c>
      <c r="AK2845" t="s">
        <v>935</v>
      </c>
      <c r="AL2845" t="s">
        <v>936</v>
      </c>
      <c r="AM2845" t="s">
        <v>937</v>
      </c>
      <c r="AN2845" t="s">
        <v>938</v>
      </c>
      <c r="AO2845" t="s">
        <v>939</v>
      </c>
      <c r="AP2845" t="s">
        <v>940</v>
      </c>
      <c r="AQ2845" t="s">
        <v>941</v>
      </c>
      <c r="AR2845" t="s">
        <v>942</v>
      </c>
      <c r="AS2845" t="s">
        <v>943</v>
      </c>
      <c r="AT2845" t="s">
        <v>944</v>
      </c>
      <c r="AU2845" t="s">
        <v>945</v>
      </c>
      <c r="AV2845" t="s">
        <v>946</v>
      </c>
      <c r="AW2845" t="s">
        <v>947</v>
      </c>
      <c r="AX2845" t="s">
        <v>948</v>
      </c>
      <c r="AY2845" t="s">
        <v>949</v>
      </c>
      <c r="AZ2845" t="s">
        <v>950</v>
      </c>
      <c r="BA2845" t="s">
        <v>951</v>
      </c>
      <c r="BB2845" t="s">
        <v>952</v>
      </c>
      <c r="BC2845" t="s">
        <v>188</v>
      </c>
    </row>
    <row r="2846" spans="1:55">
      <c r="A2846" s="25" t="s">
        <v>189</v>
      </c>
      <c r="B2846" t="s">
        <v>211</v>
      </c>
      <c r="C2846">
        <v>26811.694017649541</v>
      </c>
      <c r="D2846">
        <v>22000</v>
      </c>
      <c r="E2846">
        <v>1800</v>
      </c>
      <c r="F2846">
        <v>200000</v>
      </c>
      <c r="G2846">
        <v>11034.273727620999</v>
      </c>
      <c r="H2846">
        <v>9400</v>
      </c>
      <c r="I2846">
        <v>200</v>
      </c>
      <c r="J2846">
        <v>80000</v>
      </c>
      <c r="K2846">
        <v>34925.83247319144</v>
      </c>
      <c r="L2846">
        <v>30000</v>
      </c>
      <c r="M2846">
        <v>1000</v>
      </c>
      <c r="N2846">
        <v>200000</v>
      </c>
      <c r="O2846">
        <v>7054.0253566535685</v>
      </c>
      <c r="P2846">
        <v>4000</v>
      </c>
      <c r="Q2846">
        <v>500</v>
      </c>
      <c r="R2846">
        <v>60000</v>
      </c>
      <c r="S2846">
        <v>5907.3001529221438</v>
      </c>
      <c r="T2846">
        <v>5000</v>
      </c>
      <c r="U2846">
        <v>2000</v>
      </c>
      <c r="V2846">
        <v>20000</v>
      </c>
      <c r="W2846">
        <v>7640.674449955387</v>
      </c>
      <c r="X2846">
        <v>7000</v>
      </c>
      <c r="Y2846">
        <v>2300</v>
      </c>
      <c r="Z2846">
        <v>50000</v>
      </c>
      <c r="AA2846">
        <v>3047.4569154235269</v>
      </c>
      <c r="AB2846">
        <v>2500</v>
      </c>
      <c r="AC2846">
        <v>300</v>
      </c>
      <c r="AD2846">
        <v>42000</v>
      </c>
      <c r="AE2846">
        <v>4646.7535846921664</v>
      </c>
      <c r="AF2846">
        <v>3000</v>
      </c>
      <c r="AG2846">
        <v>100</v>
      </c>
      <c r="AH2846">
        <v>55000</v>
      </c>
      <c r="AI2846">
        <v>8439.4098097433107</v>
      </c>
      <c r="AJ2846">
        <v>5000</v>
      </c>
      <c r="AK2846">
        <v>1000</v>
      </c>
      <c r="AL2846">
        <v>80000</v>
      </c>
      <c r="AM2846">
        <v>7193.3785414008162</v>
      </c>
      <c r="AN2846">
        <v>3000</v>
      </c>
      <c r="AO2846">
        <v>200</v>
      </c>
      <c r="AP2846">
        <v>80000</v>
      </c>
      <c r="AQ2846">
        <v>4829.324306902693</v>
      </c>
      <c r="AR2846">
        <v>3000</v>
      </c>
      <c r="AS2846">
        <v>500</v>
      </c>
      <c r="AT2846">
        <v>50000</v>
      </c>
      <c r="AU2846">
        <v>3778.5908530690522</v>
      </c>
      <c r="AV2846">
        <v>5000</v>
      </c>
      <c r="AW2846">
        <v>1000</v>
      </c>
      <c r="AX2846">
        <v>25000</v>
      </c>
      <c r="AY2846">
        <v>16963.98610151279</v>
      </c>
      <c r="AZ2846">
        <v>7000</v>
      </c>
      <c r="BA2846">
        <v>500</v>
      </c>
      <c r="BB2846">
        <v>70000</v>
      </c>
      <c r="BC2846">
        <v>4883</v>
      </c>
    </row>
    <row r="2847" spans="1:55">
      <c r="A2847" s="25" t="s">
        <v>189</v>
      </c>
      <c r="B2847" t="s">
        <v>212</v>
      </c>
      <c r="C2847">
        <v>18052.99624967586</v>
      </c>
      <c r="D2847">
        <v>15000</v>
      </c>
      <c r="E2847">
        <v>1600</v>
      </c>
      <c r="F2847">
        <v>120000</v>
      </c>
      <c r="G2847">
        <v>8301.2539079438357</v>
      </c>
      <c r="H2847">
        <v>7000</v>
      </c>
      <c r="I2847">
        <v>300</v>
      </c>
      <c r="J2847">
        <v>38000</v>
      </c>
      <c r="K2847">
        <v>25520.585624089719</v>
      </c>
      <c r="L2847">
        <v>18000</v>
      </c>
      <c r="M2847">
        <v>1728</v>
      </c>
      <c r="N2847">
        <v>300000</v>
      </c>
      <c r="O2847">
        <v>3985.6975800055761</v>
      </c>
      <c r="P2847">
        <v>3000</v>
      </c>
      <c r="Q2847">
        <v>200</v>
      </c>
      <c r="R2847">
        <v>30000</v>
      </c>
      <c r="S2847">
        <v>5249.5648800769522</v>
      </c>
      <c r="T2847">
        <v>5000</v>
      </c>
      <c r="U2847">
        <v>2000</v>
      </c>
      <c r="V2847">
        <v>21000</v>
      </c>
      <c r="W2847">
        <v>5249.0827978168063</v>
      </c>
      <c r="X2847">
        <v>4200</v>
      </c>
      <c r="Y2847">
        <v>2300</v>
      </c>
      <c r="Z2847">
        <v>28000</v>
      </c>
      <c r="AA2847">
        <v>3762.4145506076429</v>
      </c>
      <c r="AB2847">
        <v>2600</v>
      </c>
      <c r="AC2847">
        <v>245</v>
      </c>
      <c r="AD2847">
        <v>109700</v>
      </c>
      <c r="AE2847">
        <v>4225.9493751836153</v>
      </c>
      <c r="AF2847">
        <v>1750</v>
      </c>
      <c r="AG2847">
        <v>290</v>
      </c>
      <c r="AH2847">
        <v>35000</v>
      </c>
      <c r="AI2847">
        <v>9370.3446312587257</v>
      </c>
      <c r="AJ2847">
        <v>8000</v>
      </c>
      <c r="AK2847">
        <v>1000</v>
      </c>
      <c r="AL2847">
        <v>60000</v>
      </c>
      <c r="AM2847">
        <v>5923.5592069198938</v>
      </c>
      <c r="AN2847">
        <v>2000</v>
      </c>
      <c r="AO2847">
        <v>250</v>
      </c>
      <c r="AP2847">
        <v>73000</v>
      </c>
      <c r="AQ2847">
        <v>5584.9975324407014</v>
      </c>
      <c r="AR2847">
        <v>4000</v>
      </c>
      <c r="AS2847">
        <v>200</v>
      </c>
      <c r="AT2847">
        <v>100000</v>
      </c>
      <c r="AU2847">
        <v>4435.3899649660316</v>
      </c>
      <c r="AV2847">
        <v>3000</v>
      </c>
      <c r="AW2847">
        <v>1250</v>
      </c>
      <c r="AX2847">
        <v>43200</v>
      </c>
      <c r="AY2847">
        <v>4985.4911766146288</v>
      </c>
      <c r="AZ2847">
        <v>3800</v>
      </c>
      <c r="BA2847">
        <v>850</v>
      </c>
      <c r="BB2847">
        <v>70000</v>
      </c>
      <c r="BC2847">
        <v>4883</v>
      </c>
    </row>
    <row r="2848" spans="1:55">
      <c r="A2848" s="25" t="s">
        <v>189</v>
      </c>
      <c r="B2848" t="s">
        <v>213</v>
      </c>
      <c r="C2848">
        <v>26667.148831249739</v>
      </c>
      <c r="D2848">
        <v>20000</v>
      </c>
      <c r="E2848">
        <v>1800</v>
      </c>
      <c r="F2848">
        <v>250000</v>
      </c>
      <c r="G2848">
        <v>16207.995161967599</v>
      </c>
      <c r="H2848">
        <v>10000</v>
      </c>
      <c r="I2848">
        <v>200</v>
      </c>
      <c r="J2848">
        <v>300000</v>
      </c>
      <c r="K2848">
        <v>37844.283848795887</v>
      </c>
      <c r="L2848">
        <v>24000</v>
      </c>
      <c r="M2848">
        <v>1000</v>
      </c>
      <c r="N2848">
        <v>100000</v>
      </c>
      <c r="O2848">
        <v>6795.1768788573518</v>
      </c>
      <c r="P2848">
        <v>4000</v>
      </c>
      <c r="Q2848">
        <v>100</v>
      </c>
      <c r="R2848">
        <v>40000</v>
      </c>
      <c r="S2848">
        <v>4853.4127811167582</v>
      </c>
      <c r="T2848">
        <v>4000</v>
      </c>
      <c r="U2848">
        <v>2000</v>
      </c>
      <c r="V2848">
        <v>20000</v>
      </c>
      <c r="W2848">
        <v>6898.7606379011386</v>
      </c>
      <c r="X2848">
        <v>5800</v>
      </c>
      <c r="Y2848">
        <v>2300</v>
      </c>
      <c r="Z2848">
        <v>65000</v>
      </c>
      <c r="AA2848">
        <v>3301.9180119681359</v>
      </c>
      <c r="AB2848">
        <v>2500</v>
      </c>
      <c r="AC2848">
        <v>300</v>
      </c>
      <c r="AD2848">
        <v>35000</v>
      </c>
      <c r="AE2848">
        <v>4740.693916868976</v>
      </c>
      <c r="AF2848">
        <v>2900</v>
      </c>
      <c r="AG2848">
        <v>333</v>
      </c>
      <c r="AH2848">
        <v>40000</v>
      </c>
      <c r="AI2848">
        <v>6929.5037002857371</v>
      </c>
      <c r="AJ2848">
        <v>5000</v>
      </c>
      <c r="AK2848">
        <v>1000</v>
      </c>
      <c r="AL2848">
        <v>25000</v>
      </c>
      <c r="AM2848">
        <v>8760.5417300500449</v>
      </c>
      <c r="AN2848">
        <v>6600</v>
      </c>
      <c r="AO2848">
        <v>525</v>
      </c>
      <c r="AP2848">
        <v>33000</v>
      </c>
      <c r="AQ2848">
        <v>4769.5605269591206</v>
      </c>
      <c r="AR2848">
        <v>3000</v>
      </c>
      <c r="AS2848">
        <v>200</v>
      </c>
      <c r="AT2848">
        <v>30000</v>
      </c>
      <c r="AU2848">
        <v>4414.6138532563864</v>
      </c>
      <c r="AV2848">
        <v>6000</v>
      </c>
      <c r="AW2848">
        <v>1000</v>
      </c>
      <c r="AX2848">
        <v>20000</v>
      </c>
      <c r="AY2848">
        <v>7740.550061821139</v>
      </c>
      <c r="AZ2848">
        <v>5000</v>
      </c>
      <c r="BA2848">
        <v>800</v>
      </c>
      <c r="BB2848">
        <v>30000</v>
      </c>
      <c r="BC2848">
        <v>4883</v>
      </c>
    </row>
    <row r="2849" spans="1:55">
      <c r="A2849" s="25" t="s">
        <v>192</v>
      </c>
      <c r="B2849" t="s">
        <v>192</v>
      </c>
      <c r="C2849">
        <v>24659.479503733732</v>
      </c>
      <c r="D2849">
        <v>20000</v>
      </c>
      <c r="E2849">
        <v>1600</v>
      </c>
      <c r="F2849">
        <v>250000</v>
      </c>
      <c r="G2849">
        <v>11762.22575870425</v>
      </c>
      <c r="H2849">
        <v>8000</v>
      </c>
      <c r="I2849">
        <v>200</v>
      </c>
      <c r="J2849">
        <v>300000</v>
      </c>
      <c r="K2849">
        <v>34433.363710431739</v>
      </c>
      <c r="L2849">
        <v>30000</v>
      </c>
      <c r="M2849">
        <v>1000</v>
      </c>
      <c r="N2849">
        <v>300000</v>
      </c>
      <c r="O2849">
        <v>6260.4846340231561</v>
      </c>
      <c r="P2849">
        <v>4000</v>
      </c>
      <c r="Q2849">
        <v>100</v>
      </c>
      <c r="R2849">
        <v>60000</v>
      </c>
      <c r="S2849">
        <v>5454.2745271290396</v>
      </c>
      <c r="T2849">
        <v>5000</v>
      </c>
      <c r="U2849">
        <v>2000</v>
      </c>
      <c r="V2849">
        <v>21000</v>
      </c>
      <c r="W2849">
        <v>6582.5763450654422</v>
      </c>
      <c r="X2849">
        <v>5500</v>
      </c>
      <c r="Y2849">
        <v>2300</v>
      </c>
      <c r="Z2849">
        <v>65000</v>
      </c>
      <c r="AA2849">
        <v>3322.616462228345</v>
      </c>
      <c r="AB2849">
        <v>2500</v>
      </c>
      <c r="AC2849">
        <v>245</v>
      </c>
      <c r="AD2849">
        <v>109700</v>
      </c>
      <c r="AE2849">
        <v>4565.20474249567</v>
      </c>
      <c r="AF2849">
        <v>2833</v>
      </c>
      <c r="AG2849">
        <v>100</v>
      </c>
      <c r="AH2849">
        <v>55000</v>
      </c>
      <c r="AI2849">
        <v>8564.4750440644839</v>
      </c>
      <c r="AJ2849">
        <v>5000</v>
      </c>
      <c r="AK2849">
        <v>1000</v>
      </c>
      <c r="AL2849">
        <v>80000</v>
      </c>
      <c r="AM2849">
        <v>6902.2695957314572</v>
      </c>
      <c r="AN2849">
        <v>3000</v>
      </c>
      <c r="AO2849">
        <v>200</v>
      </c>
      <c r="AP2849">
        <v>80000</v>
      </c>
      <c r="AQ2849">
        <v>5243.4401907964366</v>
      </c>
      <c r="AR2849">
        <v>3000</v>
      </c>
      <c r="AS2849">
        <v>200</v>
      </c>
      <c r="AT2849">
        <v>100000</v>
      </c>
      <c r="AU2849">
        <v>4256.4384152621269</v>
      </c>
      <c r="AV2849">
        <v>3000</v>
      </c>
      <c r="AW2849">
        <v>1000</v>
      </c>
      <c r="AX2849">
        <v>43200</v>
      </c>
      <c r="AY2849">
        <v>9280.2968764838097</v>
      </c>
      <c r="AZ2849">
        <v>4500</v>
      </c>
      <c r="BA2849">
        <v>500</v>
      </c>
      <c r="BB2849">
        <v>70000</v>
      </c>
      <c r="BC2849">
        <v>4883</v>
      </c>
    </row>
    <row r="2851" spans="1:55" ht="43.5">
      <c r="A2851" s="25" t="s">
        <v>958</v>
      </c>
    </row>
    <row r="2852" spans="1:55">
      <c r="A2852" s="25" t="s">
        <v>181</v>
      </c>
      <c r="B2852" t="s">
        <v>182</v>
      </c>
      <c r="C2852" t="s">
        <v>183</v>
      </c>
      <c r="D2852" t="s">
        <v>184</v>
      </c>
      <c r="E2852" t="s">
        <v>185</v>
      </c>
      <c r="F2852" t="s">
        <v>186</v>
      </c>
      <c r="G2852" t="s">
        <v>187</v>
      </c>
      <c r="H2852" t="s">
        <v>188</v>
      </c>
    </row>
    <row r="2853" spans="1:55">
      <c r="A2853" s="25" t="s">
        <v>189</v>
      </c>
      <c r="B2853" t="s">
        <v>190</v>
      </c>
      <c r="C2853">
        <v>6797.1273089585929</v>
      </c>
      <c r="D2853">
        <v>5000</v>
      </c>
      <c r="E2853">
        <v>25</v>
      </c>
      <c r="F2853">
        <v>250000</v>
      </c>
      <c r="G2853">
        <v>4523</v>
      </c>
      <c r="H2853">
        <v>9516</v>
      </c>
    </row>
    <row r="2854" spans="1:55">
      <c r="A2854" s="25" t="s">
        <v>189</v>
      </c>
      <c r="B2854" t="s">
        <v>191</v>
      </c>
      <c r="C2854">
        <v>10757.58127095384</v>
      </c>
      <c r="D2854">
        <v>8050</v>
      </c>
      <c r="E2854">
        <v>125</v>
      </c>
      <c r="F2854">
        <v>165000</v>
      </c>
      <c r="G2854">
        <v>4958</v>
      </c>
      <c r="H2854">
        <v>9516</v>
      </c>
    </row>
    <row r="2855" spans="1:55">
      <c r="A2855" s="25" t="s">
        <v>192</v>
      </c>
      <c r="B2855" t="s">
        <v>192</v>
      </c>
      <c r="C2855">
        <v>9216.6706197566855</v>
      </c>
      <c r="D2855">
        <v>6666.6666666666697</v>
      </c>
      <c r="E2855">
        <v>25</v>
      </c>
      <c r="F2855">
        <v>250000</v>
      </c>
      <c r="G2855">
        <v>9516</v>
      </c>
      <c r="H2855">
        <v>9516</v>
      </c>
    </row>
    <row r="2857" spans="1:55" ht="43.5">
      <c r="A2857" s="25" t="s">
        <v>959</v>
      </c>
    </row>
    <row r="2858" spans="1:55">
      <c r="A2858" s="25" t="s">
        <v>181</v>
      </c>
      <c r="B2858" t="s">
        <v>182</v>
      </c>
      <c r="C2858" t="s">
        <v>183</v>
      </c>
      <c r="D2858" t="s">
        <v>184</v>
      </c>
      <c r="E2858" t="s">
        <v>185</v>
      </c>
      <c r="F2858" t="s">
        <v>186</v>
      </c>
      <c r="G2858" t="s">
        <v>187</v>
      </c>
      <c r="H2858" t="s">
        <v>188</v>
      </c>
    </row>
    <row r="2859" spans="1:55">
      <c r="A2859" s="25" t="s">
        <v>189</v>
      </c>
      <c r="B2859" t="s">
        <v>194</v>
      </c>
      <c r="C2859">
        <v>9411.5257362506763</v>
      </c>
      <c r="D2859">
        <v>6750</v>
      </c>
      <c r="E2859">
        <v>25</v>
      </c>
      <c r="F2859">
        <v>250000</v>
      </c>
      <c r="G2859">
        <v>5456</v>
      </c>
      <c r="H2859">
        <v>9516</v>
      </c>
    </row>
    <row r="2860" spans="1:55">
      <c r="A2860" s="25" t="s">
        <v>189</v>
      </c>
      <c r="B2860" t="s">
        <v>195</v>
      </c>
      <c r="C2860">
        <v>9175.6696849256641</v>
      </c>
      <c r="D2860">
        <v>7000</v>
      </c>
      <c r="E2860">
        <v>215</v>
      </c>
      <c r="F2860">
        <v>150000</v>
      </c>
      <c r="G2860">
        <v>2512</v>
      </c>
      <c r="H2860">
        <v>9516</v>
      </c>
    </row>
    <row r="2861" spans="1:55">
      <c r="A2861" s="25" t="s">
        <v>189</v>
      </c>
      <c r="B2861" t="s">
        <v>196</v>
      </c>
      <c r="C2861">
        <v>7811.4517681642301</v>
      </c>
      <c r="D2861">
        <v>6000</v>
      </c>
      <c r="E2861">
        <v>125</v>
      </c>
      <c r="F2861">
        <v>165000</v>
      </c>
      <c r="G2861">
        <v>1513</v>
      </c>
      <c r="H2861">
        <v>9516</v>
      </c>
    </row>
    <row r="2862" spans="1:55">
      <c r="A2862" s="25" t="s">
        <v>192</v>
      </c>
      <c r="B2862" t="s">
        <v>192</v>
      </c>
      <c r="C2862">
        <v>9216.6706197566855</v>
      </c>
      <c r="D2862">
        <v>6666.6666666666697</v>
      </c>
      <c r="E2862">
        <v>25</v>
      </c>
      <c r="F2862">
        <v>250000</v>
      </c>
      <c r="G2862">
        <v>9516</v>
      </c>
      <c r="H2862">
        <v>9516</v>
      </c>
    </row>
    <row r="2864" spans="1:55" ht="43.5">
      <c r="A2864" s="25" t="s">
        <v>960</v>
      </c>
    </row>
    <row r="2865" spans="1:8">
      <c r="A2865" s="25" t="s">
        <v>181</v>
      </c>
      <c r="B2865" t="s">
        <v>182</v>
      </c>
      <c r="C2865" t="s">
        <v>183</v>
      </c>
      <c r="D2865" t="s">
        <v>184</v>
      </c>
      <c r="E2865" t="s">
        <v>185</v>
      </c>
      <c r="F2865" t="s">
        <v>186</v>
      </c>
      <c r="G2865" t="s">
        <v>187</v>
      </c>
      <c r="H2865" t="s">
        <v>188</v>
      </c>
    </row>
    <row r="2866" spans="1:8">
      <c r="A2866" s="25" t="s">
        <v>189</v>
      </c>
      <c r="B2866" t="s">
        <v>198</v>
      </c>
      <c r="C2866">
        <v>6397.7179027391103</v>
      </c>
      <c r="D2866">
        <v>4950</v>
      </c>
      <c r="E2866">
        <v>166.666666666667</v>
      </c>
      <c r="F2866">
        <v>83500</v>
      </c>
      <c r="G2866">
        <v>2148</v>
      </c>
      <c r="H2866">
        <v>9516</v>
      </c>
    </row>
    <row r="2867" spans="1:8">
      <c r="A2867" s="25" t="s">
        <v>189</v>
      </c>
      <c r="B2867" t="s">
        <v>199</v>
      </c>
      <c r="C2867">
        <v>9889.3659557793908</v>
      </c>
      <c r="D2867">
        <v>7500</v>
      </c>
      <c r="E2867">
        <v>25</v>
      </c>
      <c r="F2867">
        <v>250000</v>
      </c>
      <c r="G2867">
        <v>7368</v>
      </c>
      <c r="H2867">
        <v>9516</v>
      </c>
    </row>
    <row r="2868" spans="1:8">
      <c r="A2868" s="25" t="s">
        <v>192</v>
      </c>
      <c r="B2868" t="s">
        <v>192</v>
      </c>
      <c r="C2868">
        <v>9216.6706197566855</v>
      </c>
      <c r="D2868">
        <v>6666.6666666666697</v>
      </c>
      <c r="E2868">
        <v>25</v>
      </c>
      <c r="F2868">
        <v>250000</v>
      </c>
      <c r="G2868">
        <v>9516</v>
      </c>
      <c r="H2868">
        <v>9516</v>
      </c>
    </row>
    <row r="2870" spans="1:8" ht="43.5">
      <c r="A2870" s="25" t="s">
        <v>961</v>
      </c>
    </row>
    <row r="2871" spans="1:8">
      <c r="A2871" s="25" t="s">
        <v>181</v>
      </c>
      <c r="B2871" t="s">
        <v>182</v>
      </c>
      <c r="C2871" t="s">
        <v>183</v>
      </c>
      <c r="D2871" t="s">
        <v>184</v>
      </c>
      <c r="E2871" t="s">
        <v>185</v>
      </c>
      <c r="F2871" t="s">
        <v>186</v>
      </c>
      <c r="G2871" t="s">
        <v>187</v>
      </c>
      <c r="H2871" t="s">
        <v>188</v>
      </c>
    </row>
    <row r="2872" spans="1:8">
      <c r="A2872" s="25" t="s">
        <v>189</v>
      </c>
      <c r="B2872" t="s">
        <v>201</v>
      </c>
      <c r="C2872">
        <v>8868.0582987105972</v>
      </c>
      <c r="D2872">
        <v>6750</v>
      </c>
      <c r="E2872">
        <v>215</v>
      </c>
      <c r="F2872">
        <v>57200</v>
      </c>
      <c r="G2872">
        <v>713</v>
      </c>
      <c r="H2872">
        <v>9516</v>
      </c>
    </row>
    <row r="2873" spans="1:8">
      <c r="A2873" s="25" t="s">
        <v>189</v>
      </c>
      <c r="B2873" t="s">
        <v>202</v>
      </c>
      <c r="C2873">
        <v>7461.7324701192574</v>
      </c>
      <c r="D2873">
        <v>5666.6666666666697</v>
      </c>
      <c r="E2873">
        <v>215</v>
      </c>
      <c r="F2873">
        <v>50000</v>
      </c>
      <c r="G2873">
        <v>98</v>
      </c>
      <c r="H2873">
        <v>9516</v>
      </c>
    </row>
    <row r="2874" spans="1:8">
      <c r="A2874" s="25" t="s">
        <v>189</v>
      </c>
      <c r="B2874" t="s">
        <v>203</v>
      </c>
      <c r="C2874">
        <v>8677.8915702476661</v>
      </c>
      <c r="D2874">
        <v>6350</v>
      </c>
      <c r="E2874">
        <v>25</v>
      </c>
      <c r="F2874">
        <v>150000</v>
      </c>
      <c r="G2874">
        <v>7400</v>
      </c>
      <c r="H2874">
        <v>9516</v>
      </c>
    </row>
    <row r="2875" spans="1:8">
      <c r="A2875" s="25" t="s">
        <v>189</v>
      </c>
      <c r="B2875" t="s">
        <v>204</v>
      </c>
      <c r="C2875">
        <v>9606.7202099665155</v>
      </c>
      <c r="D2875">
        <v>10286.666666666701</v>
      </c>
      <c r="E2875">
        <v>1000</v>
      </c>
      <c r="F2875">
        <v>50000</v>
      </c>
      <c r="G2875">
        <v>25</v>
      </c>
      <c r="H2875">
        <v>9516</v>
      </c>
    </row>
    <row r="2876" spans="1:8">
      <c r="A2876" s="25" t="s">
        <v>189</v>
      </c>
      <c r="B2876" t="s">
        <v>205</v>
      </c>
      <c r="C2876">
        <v>12771.99064072349</v>
      </c>
      <c r="D2876">
        <v>10000</v>
      </c>
      <c r="E2876">
        <v>166.666666666667</v>
      </c>
      <c r="F2876">
        <v>250000</v>
      </c>
      <c r="G2876">
        <v>1280</v>
      </c>
      <c r="H2876">
        <v>9516</v>
      </c>
    </row>
    <row r="2877" spans="1:8">
      <c r="A2877" s="25" t="s">
        <v>192</v>
      </c>
      <c r="B2877" t="s">
        <v>192</v>
      </c>
      <c r="C2877">
        <v>9216.6706197566855</v>
      </c>
      <c r="D2877">
        <v>6666.6666666666697</v>
      </c>
      <c r="E2877">
        <v>25</v>
      </c>
      <c r="F2877">
        <v>250000</v>
      </c>
      <c r="G2877">
        <v>9516</v>
      </c>
      <c r="H2877">
        <v>9516</v>
      </c>
    </row>
    <row r="2879" spans="1:8" ht="43.5">
      <c r="A2879" s="25" t="s">
        <v>962</v>
      </c>
    </row>
    <row r="2880" spans="1:8">
      <c r="A2880" s="25" t="s">
        <v>181</v>
      </c>
      <c r="B2880" t="s">
        <v>182</v>
      </c>
      <c r="C2880" t="s">
        <v>183</v>
      </c>
      <c r="D2880" t="s">
        <v>184</v>
      </c>
      <c r="E2880" t="s">
        <v>185</v>
      </c>
      <c r="F2880" t="s">
        <v>186</v>
      </c>
      <c r="G2880" t="s">
        <v>187</v>
      </c>
      <c r="H2880" t="s">
        <v>188</v>
      </c>
    </row>
    <row r="2881" spans="1:8">
      <c r="A2881" s="25" t="s">
        <v>189</v>
      </c>
      <c r="B2881" t="s">
        <v>207</v>
      </c>
      <c r="C2881">
        <v>9295.2127720435528</v>
      </c>
      <c r="D2881">
        <v>7000</v>
      </c>
      <c r="E2881">
        <v>25</v>
      </c>
      <c r="F2881">
        <v>165000</v>
      </c>
      <c r="G2881">
        <v>6574</v>
      </c>
      <c r="H2881">
        <v>9516</v>
      </c>
    </row>
    <row r="2882" spans="1:8">
      <c r="A2882" s="25" t="s">
        <v>189</v>
      </c>
      <c r="B2882" t="s">
        <v>208</v>
      </c>
      <c r="C2882">
        <v>10340.90859136801</v>
      </c>
      <c r="D2882">
        <v>6500</v>
      </c>
      <c r="E2882">
        <v>300</v>
      </c>
      <c r="F2882">
        <v>250000</v>
      </c>
      <c r="G2882">
        <v>2070</v>
      </c>
      <c r="H2882">
        <v>9516</v>
      </c>
    </row>
    <row r="2883" spans="1:8">
      <c r="A2883" s="25" t="s">
        <v>189</v>
      </c>
      <c r="B2883" t="s">
        <v>209</v>
      </c>
      <c r="C2883">
        <v>5321.5257188575733</v>
      </c>
      <c r="D2883">
        <v>4660</v>
      </c>
      <c r="E2883">
        <v>133.333333333333</v>
      </c>
      <c r="F2883">
        <v>40000</v>
      </c>
      <c r="G2883">
        <v>872</v>
      </c>
      <c r="H2883">
        <v>9516</v>
      </c>
    </row>
    <row r="2884" spans="1:8">
      <c r="A2884" s="25" t="s">
        <v>192</v>
      </c>
      <c r="B2884" t="s">
        <v>192</v>
      </c>
      <c r="C2884">
        <v>9216.6706197566855</v>
      </c>
      <c r="D2884">
        <v>6666.6666666666697</v>
      </c>
      <c r="E2884">
        <v>25</v>
      </c>
      <c r="F2884">
        <v>250000</v>
      </c>
      <c r="G2884">
        <v>9516</v>
      </c>
      <c r="H2884">
        <v>9516</v>
      </c>
    </row>
    <row r="2886" spans="1:8" ht="43.5">
      <c r="A2886" s="25" t="s">
        <v>963</v>
      </c>
    </row>
    <row r="2887" spans="1:8">
      <c r="A2887" s="25" t="s">
        <v>181</v>
      </c>
      <c r="B2887" t="s">
        <v>182</v>
      </c>
      <c r="C2887" t="s">
        <v>183</v>
      </c>
      <c r="D2887" t="s">
        <v>184</v>
      </c>
      <c r="E2887" t="s">
        <v>185</v>
      </c>
      <c r="F2887" t="s">
        <v>186</v>
      </c>
      <c r="G2887" t="s">
        <v>187</v>
      </c>
      <c r="H2887" t="s">
        <v>188</v>
      </c>
    </row>
    <row r="2888" spans="1:8">
      <c r="A2888" s="25" t="s">
        <v>189</v>
      </c>
      <c r="B2888" t="s">
        <v>211</v>
      </c>
      <c r="C2888">
        <v>9064.2488777217422</v>
      </c>
      <c r="D2888">
        <v>7000</v>
      </c>
      <c r="E2888">
        <v>25</v>
      </c>
      <c r="F2888">
        <v>83500</v>
      </c>
      <c r="G2888">
        <v>4480</v>
      </c>
      <c r="H2888">
        <v>9516</v>
      </c>
    </row>
    <row r="2889" spans="1:8">
      <c r="A2889" s="25" t="s">
        <v>189</v>
      </c>
      <c r="B2889" t="s">
        <v>212</v>
      </c>
      <c r="C2889">
        <v>7778.1445715075079</v>
      </c>
      <c r="D2889">
        <v>5875</v>
      </c>
      <c r="E2889">
        <v>133.333333333333</v>
      </c>
      <c r="F2889">
        <v>165000</v>
      </c>
      <c r="G2889">
        <v>3148</v>
      </c>
      <c r="H2889">
        <v>9516</v>
      </c>
    </row>
    <row r="2890" spans="1:8">
      <c r="A2890" s="25" t="s">
        <v>189</v>
      </c>
      <c r="B2890" t="s">
        <v>213</v>
      </c>
      <c r="C2890">
        <v>11641.9751102514</v>
      </c>
      <c r="D2890">
        <v>8000</v>
      </c>
      <c r="E2890">
        <v>206.4</v>
      </c>
      <c r="F2890">
        <v>250000</v>
      </c>
      <c r="G2890">
        <v>1888</v>
      </c>
      <c r="H2890">
        <v>9516</v>
      </c>
    </row>
    <row r="2891" spans="1:8">
      <c r="A2891" s="25" t="s">
        <v>192</v>
      </c>
      <c r="B2891" t="s">
        <v>192</v>
      </c>
      <c r="C2891">
        <v>9216.6706197566855</v>
      </c>
      <c r="D2891">
        <v>6666.6666666666697</v>
      </c>
      <c r="E2891">
        <v>25</v>
      </c>
      <c r="F2891">
        <v>250000</v>
      </c>
      <c r="G2891">
        <v>9516</v>
      </c>
      <c r="H2891">
        <v>9516</v>
      </c>
    </row>
    <row r="2893" spans="1:8" ht="43.5">
      <c r="A2893" s="25" t="s">
        <v>964</v>
      </c>
    </row>
    <row r="2894" spans="1:8">
      <c r="A2894" s="25" t="s">
        <v>181</v>
      </c>
      <c r="B2894" t="s">
        <v>182</v>
      </c>
      <c r="C2894" t="s">
        <v>183</v>
      </c>
      <c r="D2894" t="s">
        <v>184</v>
      </c>
      <c r="E2894" t="s">
        <v>185</v>
      </c>
      <c r="F2894" t="s">
        <v>186</v>
      </c>
      <c r="G2894" t="s">
        <v>187</v>
      </c>
      <c r="H2894" t="s">
        <v>188</v>
      </c>
    </row>
    <row r="2895" spans="1:8">
      <c r="A2895" s="25" t="s">
        <v>189</v>
      </c>
      <c r="B2895" t="s">
        <v>190</v>
      </c>
      <c r="C2895">
        <v>17317.657946781899</v>
      </c>
      <c r="D2895">
        <v>12000</v>
      </c>
      <c r="E2895">
        <v>100</v>
      </c>
      <c r="F2895">
        <v>250000</v>
      </c>
      <c r="G2895">
        <v>4523</v>
      </c>
      <c r="H2895">
        <v>9516</v>
      </c>
    </row>
    <row r="2896" spans="1:8">
      <c r="A2896" s="25" t="s">
        <v>189</v>
      </c>
      <c r="B2896" t="s">
        <v>191</v>
      </c>
      <c r="C2896">
        <v>23851.269794331369</v>
      </c>
      <c r="D2896">
        <v>18000</v>
      </c>
      <c r="E2896">
        <v>350</v>
      </c>
      <c r="F2896">
        <v>330000</v>
      </c>
      <c r="G2896">
        <v>4958</v>
      </c>
      <c r="H2896">
        <v>9516</v>
      </c>
    </row>
    <row r="2897" spans="1:8">
      <c r="A2897" s="25" t="s">
        <v>192</v>
      </c>
      <c r="B2897" t="s">
        <v>192</v>
      </c>
      <c r="C2897">
        <v>21307.923456082859</v>
      </c>
      <c r="D2897">
        <v>15300</v>
      </c>
      <c r="E2897">
        <v>100</v>
      </c>
      <c r="F2897">
        <v>330000</v>
      </c>
      <c r="G2897">
        <v>9516</v>
      </c>
      <c r="H2897">
        <v>9516</v>
      </c>
    </row>
    <row r="2899" spans="1:8" ht="43.5">
      <c r="A2899" s="25" t="s">
        <v>965</v>
      </c>
    </row>
    <row r="2900" spans="1:8">
      <c r="A2900" s="25" t="s">
        <v>181</v>
      </c>
      <c r="B2900" t="s">
        <v>182</v>
      </c>
      <c r="C2900" t="s">
        <v>183</v>
      </c>
      <c r="D2900" t="s">
        <v>184</v>
      </c>
      <c r="E2900" t="s">
        <v>185</v>
      </c>
      <c r="F2900" t="s">
        <v>186</v>
      </c>
      <c r="G2900" t="s">
        <v>187</v>
      </c>
      <c r="H2900" t="s">
        <v>188</v>
      </c>
    </row>
    <row r="2901" spans="1:8">
      <c r="A2901" s="25" t="s">
        <v>189</v>
      </c>
      <c r="B2901" t="s">
        <v>194</v>
      </c>
      <c r="C2901">
        <v>21894.544083744189</v>
      </c>
      <c r="D2901">
        <v>16000</v>
      </c>
      <c r="E2901">
        <v>100</v>
      </c>
      <c r="F2901">
        <v>250000</v>
      </c>
      <c r="G2901">
        <v>5456</v>
      </c>
      <c r="H2901">
        <v>9516</v>
      </c>
    </row>
    <row r="2902" spans="1:8">
      <c r="A2902" s="25" t="s">
        <v>189</v>
      </c>
      <c r="B2902" t="s">
        <v>195</v>
      </c>
      <c r="C2902">
        <v>20540.390204953059</v>
      </c>
      <c r="D2902">
        <v>16000</v>
      </c>
      <c r="E2902">
        <v>400</v>
      </c>
      <c r="F2902">
        <v>300000</v>
      </c>
      <c r="G2902">
        <v>2512</v>
      </c>
      <c r="H2902">
        <v>9516</v>
      </c>
    </row>
    <row r="2903" spans="1:8">
      <c r="A2903" s="25" t="s">
        <v>189</v>
      </c>
      <c r="B2903" t="s">
        <v>196</v>
      </c>
      <c r="C2903">
        <v>18439.204408526592</v>
      </c>
      <c r="D2903">
        <v>12900</v>
      </c>
      <c r="E2903">
        <v>500</v>
      </c>
      <c r="F2903">
        <v>330000</v>
      </c>
      <c r="G2903">
        <v>1513</v>
      </c>
      <c r="H2903">
        <v>9516</v>
      </c>
    </row>
    <row r="2904" spans="1:8">
      <c r="A2904" s="25" t="s">
        <v>192</v>
      </c>
      <c r="B2904" t="s">
        <v>192</v>
      </c>
      <c r="C2904">
        <v>21307.923456082859</v>
      </c>
      <c r="D2904">
        <v>15300</v>
      </c>
      <c r="E2904">
        <v>100</v>
      </c>
      <c r="F2904">
        <v>330000</v>
      </c>
      <c r="G2904">
        <v>9516</v>
      </c>
      <c r="H2904">
        <v>9516</v>
      </c>
    </row>
    <row r="2906" spans="1:8" ht="43.5">
      <c r="A2906" s="25" t="s">
        <v>966</v>
      </c>
    </row>
    <row r="2907" spans="1:8">
      <c r="A2907" s="25" t="s">
        <v>181</v>
      </c>
      <c r="B2907" t="s">
        <v>182</v>
      </c>
      <c r="C2907" t="s">
        <v>183</v>
      </c>
      <c r="D2907" t="s">
        <v>184</v>
      </c>
      <c r="E2907" t="s">
        <v>185</v>
      </c>
      <c r="F2907" t="s">
        <v>186</v>
      </c>
      <c r="G2907" t="s">
        <v>187</v>
      </c>
      <c r="H2907" t="s">
        <v>188</v>
      </c>
    </row>
    <row r="2908" spans="1:8">
      <c r="A2908" s="25" t="s">
        <v>189</v>
      </c>
      <c r="B2908" t="s">
        <v>198</v>
      </c>
      <c r="C2908">
        <v>15043.99482820043</v>
      </c>
      <c r="D2908">
        <v>9900</v>
      </c>
      <c r="E2908">
        <v>500</v>
      </c>
      <c r="F2908">
        <v>200000</v>
      </c>
      <c r="G2908">
        <v>2148</v>
      </c>
      <c r="H2908">
        <v>9516</v>
      </c>
    </row>
    <row r="2909" spans="1:8">
      <c r="A2909" s="25" t="s">
        <v>189</v>
      </c>
      <c r="B2909" t="s">
        <v>199</v>
      </c>
      <c r="C2909">
        <v>22802.703963651529</v>
      </c>
      <c r="D2909">
        <v>17500</v>
      </c>
      <c r="E2909">
        <v>100</v>
      </c>
      <c r="F2909">
        <v>330000</v>
      </c>
      <c r="G2909">
        <v>7368</v>
      </c>
      <c r="H2909">
        <v>9516</v>
      </c>
    </row>
    <row r="2910" spans="1:8">
      <c r="A2910" s="25" t="s">
        <v>192</v>
      </c>
      <c r="B2910" t="s">
        <v>192</v>
      </c>
      <c r="C2910">
        <v>21307.923456082859</v>
      </c>
      <c r="D2910">
        <v>15300</v>
      </c>
      <c r="E2910">
        <v>100</v>
      </c>
      <c r="F2910">
        <v>330000</v>
      </c>
      <c r="G2910">
        <v>9516</v>
      </c>
      <c r="H2910">
        <v>9516</v>
      </c>
    </row>
    <row r="2912" spans="1:8" ht="43.5">
      <c r="A2912" s="25" t="s">
        <v>967</v>
      </c>
    </row>
    <row r="2913" spans="1:8">
      <c r="A2913" s="25" t="s">
        <v>181</v>
      </c>
      <c r="B2913" t="s">
        <v>182</v>
      </c>
      <c r="C2913" t="s">
        <v>183</v>
      </c>
      <c r="D2913" t="s">
        <v>184</v>
      </c>
      <c r="E2913" t="s">
        <v>185</v>
      </c>
      <c r="F2913" t="s">
        <v>186</v>
      </c>
      <c r="G2913" t="s">
        <v>187</v>
      </c>
      <c r="H2913" t="s">
        <v>188</v>
      </c>
    </row>
    <row r="2914" spans="1:8">
      <c r="A2914" s="25" t="s">
        <v>189</v>
      </c>
      <c r="B2914" t="s">
        <v>201</v>
      </c>
      <c r="C2914">
        <v>22737.047778387721</v>
      </c>
      <c r="D2914">
        <v>16860</v>
      </c>
      <c r="E2914">
        <v>850</v>
      </c>
      <c r="F2914">
        <v>101000</v>
      </c>
      <c r="G2914">
        <v>713</v>
      </c>
      <c r="H2914">
        <v>9516</v>
      </c>
    </row>
    <row r="2915" spans="1:8">
      <c r="A2915" s="25" t="s">
        <v>189</v>
      </c>
      <c r="B2915" t="s">
        <v>202</v>
      </c>
      <c r="C2915">
        <v>18387.376358641352</v>
      </c>
      <c r="D2915">
        <v>15000</v>
      </c>
      <c r="E2915">
        <v>860</v>
      </c>
      <c r="F2915">
        <v>100000</v>
      </c>
      <c r="G2915">
        <v>98</v>
      </c>
      <c r="H2915">
        <v>9516</v>
      </c>
    </row>
    <row r="2916" spans="1:8">
      <c r="A2916" s="25" t="s">
        <v>189</v>
      </c>
      <c r="B2916" t="s">
        <v>203</v>
      </c>
      <c r="C2916">
        <v>19611.50730435253</v>
      </c>
      <c r="D2916">
        <v>14056</v>
      </c>
      <c r="E2916">
        <v>100</v>
      </c>
      <c r="F2916">
        <v>300000</v>
      </c>
      <c r="G2916">
        <v>7400</v>
      </c>
      <c r="H2916">
        <v>9516</v>
      </c>
    </row>
    <row r="2917" spans="1:8">
      <c r="A2917" s="25" t="s">
        <v>189</v>
      </c>
      <c r="B2917" t="s">
        <v>204</v>
      </c>
      <c r="C2917">
        <v>19305.178917933641</v>
      </c>
      <c r="D2917">
        <v>19500</v>
      </c>
      <c r="E2917">
        <v>3000</v>
      </c>
      <c r="F2917">
        <v>50000</v>
      </c>
      <c r="G2917">
        <v>25</v>
      </c>
      <c r="H2917">
        <v>9516</v>
      </c>
    </row>
    <row r="2918" spans="1:8">
      <c r="A2918" s="25" t="s">
        <v>189</v>
      </c>
      <c r="B2918" t="s">
        <v>205</v>
      </c>
      <c r="C2918">
        <v>31018.833080280641</v>
      </c>
      <c r="D2918">
        <v>25000</v>
      </c>
      <c r="E2918">
        <v>500</v>
      </c>
      <c r="F2918">
        <v>330000</v>
      </c>
      <c r="G2918">
        <v>1280</v>
      </c>
      <c r="H2918">
        <v>9516</v>
      </c>
    </row>
    <row r="2919" spans="1:8">
      <c r="A2919" s="25" t="s">
        <v>192</v>
      </c>
      <c r="B2919" t="s">
        <v>192</v>
      </c>
      <c r="C2919">
        <v>21307.923456082859</v>
      </c>
      <c r="D2919">
        <v>15300</v>
      </c>
      <c r="E2919">
        <v>100</v>
      </c>
      <c r="F2919">
        <v>330000</v>
      </c>
      <c r="G2919">
        <v>9516</v>
      </c>
      <c r="H2919">
        <v>9516</v>
      </c>
    </row>
    <row r="2921" spans="1:8" ht="43.5">
      <c r="A2921" s="25" t="s">
        <v>968</v>
      </c>
    </row>
    <row r="2922" spans="1:8">
      <c r="A2922" s="25" t="s">
        <v>181</v>
      </c>
      <c r="B2922" t="s">
        <v>182</v>
      </c>
      <c r="C2922" t="s">
        <v>183</v>
      </c>
      <c r="D2922" t="s">
        <v>184</v>
      </c>
      <c r="E2922" t="s">
        <v>185</v>
      </c>
      <c r="F2922" t="s">
        <v>186</v>
      </c>
      <c r="G2922" t="s">
        <v>187</v>
      </c>
      <c r="H2922" t="s">
        <v>188</v>
      </c>
    </row>
    <row r="2923" spans="1:8">
      <c r="A2923" s="25" t="s">
        <v>189</v>
      </c>
      <c r="B2923" t="s">
        <v>207</v>
      </c>
      <c r="C2923">
        <v>24022.489082443011</v>
      </c>
      <c r="D2923">
        <v>19000</v>
      </c>
      <c r="E2923">
        <v>100</v>
      </c>
      <c r="F2923">
        <v>330000</v>
      </c>
      <c r="G2923">
        <v>6574</v>
      </c>
      <c r="H2923">
        <v>9516</v>
      </c>
    </row>
    <row r="2924" spans="1:8">
      <c r="A2924" s="25" t="s">
        <v>189</v>
      </c>
      <c r="B2924" t="s">
        <v>208</v>
      </c>
      <c r="C2924">
        <v>10340.90859136801</v>
      </c>
      <c r="D2924">
        <v>6500</v>
      </c>
      <c r="E2924">
        <v>300</v>
      </c>
      <c r="F2924">
        <v>250000</v>
      </c>
      <c r="G2924">
        <v>2070</v>
      </c>
      <c r="H2924">
        <v>9516</v>
      </c>
    </row>
    <row r="2925" spans="1:8">
      <c r="A2925" s="25" t="s">
        <v>189</v>
      </c>
      <c r="B2925" t="s">
        <v>209</v>
      </c>
      <c r="C2925">
        <v>29247.956777021729</v>
      </c>
      <c r="D2925">
        <v>25200</v>
      </c>
      <c r="E2925">
        <v>800</v>
      </c>
      <c r="F2925">
        <v>200000</v>
      </c>
      <c r="G2925">
        <v>872</v>
      </c>
      <c r="H2925">
        <v>9516</v>
      </c>
    </row>
    <row r="2926" spans="1:8">
      <c r="A2926" s="25" t="s">
        <v>192</v>
      </c>
      <c r="B2926" t="s">
        <v>192</v>
      </c>
      <c r="C2926">
        <v>21307.923456082859</v>
      </c>
      <c r="D2926">
        <v>15300</v>
      </c>
      <c r="E2926">
        <v>100</v>
      </c>
      <c r="F2926">
        <v>330000</v>
      </c>
      <c r="G2926">
        <v>9516</v>
      </c>
      <c r="H2926">
        <v>9516</v>
      </c>
    </row>
    <row r="2928" spans="1:8" ht="43.5">
      <c r="A2928" s="25" t="s">
        <v>969</v>
      </c>
    </row>
    <row r="2929" spans="1:8">
      <c r="A2929" s="25" t="s">
        <v>181</v>
      </c>
      <c r="B2929" t="s">
        <v>182</v>
      </c>
      <c r="C2929" t="s">
        <v>183</v>
      </c>
      <c r="D2929" t="s">
        <v>184</v>
      </c>
      <c r="E2929" t="s">
        <v>185</v>
      </c>
      <c r="F2929" t="s">
        <v>186</v>
      </c>
      <c r="G2929" t="s">
        <v>187</v>
      </c>
      <c r="H2929" t="s">
        <v>188</v>
      </c>
    </row>
    <row r="2930" spans="1:8">
      <c r="A2930" s="25" t="s">
        <v>189</v>
      </c>
      <c r="B2930" t="s">
        <v>296</v>
      </c>
      <c r="C2930">
        <v>28307.763342876318</v>
      </c>
      <c r="D2930">
        <v>24000</v>
      </c>
      <c r="E2930">
        <v>400</v>
      </c>
      <c r="F2930">
        <v>200000</v>
      </c>
      <c r="G2930">
        <v>3166</v>
      </c>
      <c r="H2930">
        <v>9516</v>
      </c>
    </row>
    <row r="2931" spans="1:8">
      <c r="A2931" s="25" t="s">
        <v>189</v>
      </c>
      <c r="B2931" t="s">
        <v>297</v>
      </c>
      <c r="C2931">
        <v>18052.5349717514</v>
      </c>
      <c r="D2931">
        <v>12000</v>
      </c>
      <c r="E2931">
        <v>100</v>
      </c>
      <c r="F2931">
        <v>330000</v>
      </c>
      <c r="G2931">
        <v>6350</v>
      </c>
      <c r="H2931">
        <v>9516</v>
      </c>
    </row>
    <row r="2932" spans="1:8">
      <c r="A2932" s="25" t="s">
        <v>192</v>
      </c>
      <c r="B2932" t="s">
        <v>192</v>
      </c>
      <c r="C2932">
        <v>21307.923456082859</v>
      </c>
      <c r="D2932">
        <v>15300</v>
      </c>
      <c r="E2932">
        <v>100</v>
      </c>
      <c r="F2932">
        <v>330000</v>
      </c>
      <c r="G2932">
        <v>9516</v>
      </c>
      <c r="H2932">
        <v>9516</v>
      </c>
    </row>
    <row r="2934" spans="1:8" ht="43.5">
      <c r="A2934" s="25" t="s">
        <v>970</v>
      </c>
    </row>
    <row r="2935" spans="1:8">
      <c r="A2935" s="25" t="s">
        <v>181</v>
      </c>
      <c r="B2935" t="s">
        <v>182</v>
      </c>
      <c r="C2935" t="s">
        <v>183</v>
      </c>
      <c r="D2935" t="s">
        <v>184</v>
      </c>
      <c r="E2935" t="s">
        <v>185</v>
      </c>
      <c r="F2935" t="s">
        <v>186</v>
      </c>
      <c r="G2935" t="s">
        <v>187</v>
      </c>
      <c r="H2935" t="s">
        <v>188</v>
      </c>
    </row>
    <row r="2936" spans="1:8">
      <c r="A2936" s="25" t="s">
        <v>189</v>
      </c>
      <c r="B2936" t="s">
        <v>211</v>
      </c>
      <c r="C2936">
        <v>25400.125372066381</v>
      </c>
      <c r="D2936">
        <v>20000</v>
      </c>
      <c r="E2936">
        <v>100</v>
      </c>
      <c r="F2936">
        <v>200000</v>
      </c>
      <c r="G2936">
        <v>4480</v>
      </c>
      <c r="H2936">
        <v>9516</v>
      </c>
    </row>
    <row r="2937" spans="1:8">
      <c r="A2937" s="25" t="s">
        <v>189</v>
      </c>
      <c r="B2937" t="s">
        <v>212</v>
      </c>
      <c r="C2937">
        <v>14036.251578780801</v>
      </c>
      <c r="D2937">
        <v>9500</v>
      </c>
      <c r="E2937">
        <v>300</v>
      </c>
      <c r="F2937">
        <v>330000</v>
      </c>
      <c r="G2937">
        <v>3148</v>
      </c>
      <c r="H2937">
        <v>9516</v>
      </c>
    </row>
    <row r="2938" spans="1:8">
      <c r="A2938" s="25" t="s">
        <v>189</v>
      </c>
      <c r="B2938" t="s">
        <v>213</v>
      </c>
      <c r="C2938">
        <v>23361.85124223803</v>
      </c>
      <c r="D2938">
        <v>16800</v>
      </c>
      <c r="E2938">
        <v>300</v>
      </c>
      <c r="F2938">
        <v>300000</v>
      </c>
      <c r="G2938">
        <v>1888</v>
      </c>
      <c r="H2938">
        <v>9516</v>
      </c>
    </row>
    <row r="2939" spans="1:8">
      <c r="A2939" s="25" t="s">
        <v>192</v>
      </c>
      <c r="B2939" t="s">
        <v>192</v>
      </c>
      <c r="C2939">
        <v>21307.923456082859</v>
      </c>
      <c r="D2939">
        <v>15300</v>
      </c>
      <c r="E2939">
        <v>100</v>
      </c>
      <c r="F2939">
        <v>330000</v>
      </c>
      <c r="G2939">
        <v>9516</v>
      </c>
      <c r="H2939">
        <v>9516</v>
      </c>
    </row>
    <row r="2941" spans="1:8" ht="43.5">
      <c r="A2941" s="25" t="s">
        <v>971</v>
      </c>
    </row>
    <row r="2942" spans="1:8">
      <c r="A2942" s="25" t="s">
        <v>182</v>
      </c>
      <c r="B2942" t="s">
        <v>219</v>
      </c>
      <c r="C2942" t="s">
        <v>181</v>
      </c>
      <c r="D2942" t="s">
        <v>188</v>
      </c>
      <c r="E2942" t="s">
        <v>241</v>
      </c>
      <c r="F2942" t="s">
        <v>220</v>
      </c>
      <c r="G2942" t="s">
        <v>243</v>
      </c>
      <c r="H2942" t="s">
        <v>221</v>
      </c>
    </row>
    <row r="2943" spans="1:8">
      <c r="A2943" s="25" t="s">
        <v>190</v>
      </c>
      <c r="B2943">
        <v>4903</v>
      </c>
      <c r="C2943" t="s">
        <v>189</v>
      </c>
      <c r="D2943">
        <v>10434</v>
      </c>
      <c r="E2943" s="1">
        <v>5.0000000000000001E-4</v>
      </c>
      <c r="F2943" s="1">
        <v>0.90480000000000005</v>
      </c>
      <c r="G2943" s="1">
        <v>5.5999999999999999E-3</v>
      </c>
      <c r="H2943" s="1">
        <v>8.9099999999999999E-2</v>
      </c>
    </row>
    <row r="2944" spans="1:8">
      <c r="A2944" s="25" t="s">
        <v>191</v>
      </c>
      <c r="B2944">
        <v>5474</v>
      </c>
      <c r="C2944" t="s">
        <v>189</v>
      </c>
      <c r="D2944">
        <v>10434</v>
      </c>
      <c r="E2944" s="1">
        <v>2.3999999999999998E-3</v>
      </c>
      <c r="F2944" s="1">
        <v>0.89900000000000002</v>
      </c>
      <c r="G2944" s="1">
        <v>1.6999999999999999E-3</v>
      </c>
      <c r="H2944" s="1">
        <v>9.7000000000000003E-2</v>
      </c>
    </row>
    <row r="2945" spans="1:8">
      <c r="A2945" s="25" t="s">
        <v>192</v>
      </c>
      <c r="B2945">
        <v>10434</v>
      </c>
      <c r="C2945" t="s">
        <v>192</v>
      </c>
      <c r="D2945">
        <v>10434</v>
      </c>
      <c r="E2945" s="1">
        <v>1.6999999999999999E-3</v>
      </c>
      <c r="F2945" s="1">
        <v>0.9012</v>
      </c>
      <c r="G2945" s="1">
        <v>3.2000000000000002E-3</v>
      </c>
      <c r="H2945" s="1">
        <v>9.3899999999999997E-2</v>
      </c>
    </row>
    <row r="2947" spans="1:8" ht="43.5">
      <c r="A2947" s="25" t="s">
        <v>972</v>
      </c>
    </row>
    <row r="2948" spans="1:8">
      <c r="A2948" s="25" t="s">
        <v>182</v>
      </c>
      <c r="B2948" t="s">
        <v>219</v>
      </c>
      <c r="C2948" t="s">
        <v>181</v>
      </c>
      <c r="D2948" t="s">
        <v>188</v>
      </c>
      <c r="E2948" t="s">
        <v>241</v>
      </c>
      <c r="F2948" t="s">
        <v>220</v>
      </c>
      <c r="G2948" t="s">
        <v>243</v>
      </c>
      <c r="H2948" t="s">
        <v>221</v>
      </c>
    </row>
    <row r="2949" spans="1:8" ht="29.1">
      <c r="A2949" s="25" t="s">
        <v>194</v>
      </c>
      <c r="B2949">
        <v>5954</v>
      </c>
      <c r="C2949" t="s">
        <v>189</v>
      </c>
      <c r="D2949">
        <v>10434</v>
      </c>
      <c r="E2949" s="1">
        <v>2E-3</v>
      </c>
      <c r="F2949" s="1">
        <v>0.90959999999999996</v>
      </c>
      <c r="G2949" s="1">
        <v>3.2000000000000002E-3</v>
      </c>
      <c r="H2949" s="1">
        <v>8.5199999999999998E-2</v>
      </c>
    </row>
    <row r="2950" spans="1:8" ht="29.1">
      <c r="A2950" s="25" t="s">
        <v>195</v>
      </c>
      <c r="B2950">
        <v>2703</v>
      </c>
      <c r="C2950" t="s">
        <v>189</v>
      </c>
      <c r="D2950">
        <v>10434</v>
      </c>
      <c r="E2950" s="1">
        <v>8.0000000000000004E-4</v>
      </c>
      <c r="F2950" s="1">
        <v>0.88939999999999997</v>
      </c>
      <c r="G2950" s="1">
        <v>4.3E-3</v>
      </c>
      <c r="H2950" s="1">
        <v>0.1055</v>
      </c>
    </row>
    <row r="2951" spans="1:8" ht="29.1">
      <c r="A2951" s="25" t="s">
        <v>196</v>
      </c>
      <c r="B2951">
        <v>1720</v>
      </c>
      <c r="C2951" t="s">
        <v>189</v>
      </c>
      <c r="D2951">
        <v>10434</v>
      </c>
      <c r="E2951" s="1">
        <v>6.9999999999999999E-4</v>
      </c>
      <c r="F2951" s="1">
        <v>0.86170000000000002</v>
      </c>
      <c r="G2951" s="1">
        <v>5.0000000000000001E-4</v>
      </c>
      <c r="H2951" s="1">
        <v>0.1371</v>
      </c>
    </row>
    <row r="2952" spans="1:8">
      <c r="A2952" s="25" t="s">
        <v>192</v>
      </c>
      <c r="B2952">
        <v>10434</v>
      </c>
      <c r="C2952" t="s">
        <v>192</v>
      </c>
      <c r="D2952">
        <v>10434</v>
      </c>
      <c r="E2952" s="1">
        <v>1.6999999999999999E-3</v>
      </c>
      <c r="F2952" s="1">
        <v>0.9012</v>
      </c>
      <c r="G2952" s="1">
        <v>3.2000000000000002E-3</v>
      </c>
      <c r="H2952" s="1">
        <v>9.3899999999999997E-2</v>
      </c>
    </row>
    <row r="2954" spans="1:8" ht="43.5">
      <c r="A2954" s="25" t="s">
        <v>973</v>
      </c>
    </row>
    <row r="2955" spans="1:8">
      <c r="A2955" s="25" t="s">
        <v>182</v>
      </c>
      <c r="B2955" t="s">
        <v>219</v>
      </c>
      <c r="C2955" t="s">
        <v>181</v>
      </c>
      <c r="D2955" t="s">
        <v>188</v>
      </c>
      <c r="E2955" t="s">
        <v>241</v>
      </c>
      <c r="F2955" t="s">
        <v>220</v>
      </c>
      <c r="G2955" t="s">
        <v>243</v>
      </c>
      <c r="H2955" t="s">
        <v>221</v>
      </c>
    </row>
    <row r="2956" spans="1:8">
      <c r="A2956" s="25" t="s">
        <v>198</v>
      </c>
      <c r="B2956">
        <v>2264</v>
      </c>
      <c r="C2956" t="s">
        <v>189</v>
      </c>
      <c r="D2956">
        <v>10434</v>
      </c>
      <c r="E2956" s="1">
        <v>1.9E-3</v>
      </c>
      <c r="F2956" s="1">
        <v>0.86409999999999998</v>
      </c>
      <c r="G2956" s="1">
        <v>4.5999999999999999E-3</v>
      </c>
      <c r="H2956" s="1">
        <v>0.12939999999999999</v>
      </c>
    </row>
    <row r="2957" spans="1:8">
      <c r="A2957" s="25" t="s">
        <v>199</v>
      </c>
      <c r="B2957">
        <v>8170</v>
      </c>
      <c r="C2957" t="s">
        <v>189</v>
      </c>
      <c r="D2957">
        <v>10434</v>
      </c>
      <c r="E2957" s="1">
        <v>1.6000000000000001E-3</v>
      </c>
      <c r="F2957" s="1">
        <v>0.90959999999999996</v>
      </c>
      <c r="G2957" s="1">
        <v>2.8E-3</v>
      </c>
      <c r="H2957" s="1">
        <v>8.5999999999999993E-2</v>
      </c>
    </row>
    <row r="2958" spans="1:8">
      <c r="A2958" s="25" t="s">
        <v>192</v>
      </c>
      <c r="B2958">
        <v>10434</v>
      </c>
      <c r="C2958" t="s">
        <v>192</v>
      </c>
      <c r="D2958">
        <v>10434</v>
      </c>
      <c r="E2958" s="1">
        <v>1.6999999999999999E-3</v>
      </c>
      <c r="F2958" s="1">
        <v>0.9012</v>
      </c>
      <c r="G2958" s="1">
        <v>3.2000000000000002E-3</v>
      </c>
      <c r="H2958" s="1">
        <v>9.3899999999999997E-2</v>
      </c>
    </row>
    <row r="2960" spans="1:8" ht="43.5">
      <c r="A2960" s="25" t="s">
        <v>974</v>
      </c>
    </row>
    <row r="2961" spans="1:8">
      <c r="A2961" s="25" t="s">
        <v>182</v>
      </c>
      <c r="B2961" t="s">
        <v>219</v>
      </c>
      <c r="C2961" t="s">
        <v>181</v>
      </c>
      <c r="D2961" t="s">
        <v>188</v>
      </c>
      <c r="E2961" t="s">
        <v>241</v>
      </c>
      <c r="F2961" t="s">
        <v>220</v>
      </c>
      <c r="G2961" t="s">
        <v>243</v>
      </c>
      <c r="H2961" t="s">
        <v>221</v>
      </c>
    </row>
    <row r="2962" spans="1:8">
      <c r="A2962" s="25" t="s">
        <v>201</v>
      </c>
      <c r="B2962">
        <v>767</v>
      </c>
      <c r="C2962" t="s">
        <v>189</v>
      </c>
      <c r="D2962">
        <v>10434</v>
      </c>
      <c r="F2962" s="1">
        <v>0.88060000000000005</v>
      </c>
      <c r="H2962" s="1">
        <v>0.11940000000000001</v>
      </c>
    </row>
    <row r="2963" spans="1:8">
      <c r="A2963" s="25" t="s">
        <v>202</v>
      </c>
      <c r="B2963">
        <v>110</v>
      </c>
      <c r="C2963" t="s">
        <v>189</v>
      </c>
      <c r="D2963">
        <v>10434</v>
      </c>
      <c r="E2963" s="1">
        <v>2.5000000000000001E-3</v>
      </c>
      <c r="F2963" s="1">
        <v>0.67869999999999997</v>
      </c>
      <c r="G2963" s="1">
        <v>2.5999999999999999E-3</v>
      </c>
      <c r="H2963" s="1">
        <v>0.31630000000000003</v>
      </c>
    </row>
    <row r="2964" spans="1:8">
      <c r="A2964" s="25" t="s">
        <v>203</v>
      </c>
      <c r="B2964">
        <v>8042</v>
      </c>
      <c r="C2964" t="s">
        <v>189</v>
      </c>
      <c r="D2964">
        <v>10434</v>
      </c>
      <c r="E2964" s="1">
        <v>5.9999999999999995E-4</v>
      </c>
      <c r="F2964" s="1">
        <v>0.9103</v>
      </c>
      <c r="G2964" s="1">
        <v>3.3999999999999998E-3</v>
      </c>
      <c r="H2964" s="1">
        <v>8.5699999999999998E-2</v>
      </c>
    </row>
    <row r="2965" spans="1:8">
      <c r="A2965" s="25" t="s">
        <v>204</v>
      </c>
      <c r="B2965">
        <v>31</v>
      </c>
      <c r="C2965" t="s">
        <v>189</v>
      </c>
      <c r="D2965">
        <v>10434</v>
      </c>
      <c r="F2965" s="1">
        <v>0.93589999999999995</v>
      </c>
      <c r="G2965" s="1">
        <v>2.2499999999999999E-2</v>
      </c>
      <c r="H2965" s="1">
        <v>4.1599999999999998E-2</v>
      </c>
    </row>
    <row r="2966" spans="1:8">
      <c r="A2966" s="25" t="s">
        <v>205</v>
      </c>
      <c r="B2966">
        <v>1484</v>
      </c>
      <c r="C2966" t="s">
        <v>189</v>
      </c>
      <c r="D2966">
        <v>10434</v>
      </c>
      <c r="E2966" s="1">
        <v>8.3000000000000001E-3</v>
      </c>
      <c r="F2966" s="1">
        <v>0.86860000000000004</v>
      </c>
      <c r="G2966" s="1">
        <v>3.3999999999999998E-3</v>
      </c>
      <c r="H2966" s="1">
        <v>0.1197</v>
      </c>
    </row>
    <row r="2967" spans="1:8">
      <c r="A2967" s="25" t="s">
        <v>192</v>
      </c>
      <c r="B2967">
        <v>10434</v>
      </c>
      <c r="C2967" t="s">
        <v>192</v>
      </c>
      <c r="D2967">
        <v>10434</v>
      </c>
      <c r="E2967" s="1">
        <v>1.6999999999999999E-3</v>
      </c>
      <c r="F2967" s="1">
        <v>0.9012</v>
      </c>
      <c r="G2967" s="1">
        <v>3.2000000000000002E-3</v>
      </c>
      <c r="H2967" s="1">
        <v>9.3899999999999997E-2</v>
      </c>
    </row>
    <row r="2969" spans="1:8" ht="43.5">
      <c r="A2969" s="25" t="s">
        <v>975</v>
      </c>
    </row>
    <row r="2970" spans="1:8">
      <c r="A2970" s="25" t="s">
        <v>182</v>
      </c>
      <c r="B2970" t="s">
        <v>219</v>
      </c>
      <c r="C2970" t="s">
        <v>181</v>
      </c>
      <c r="D2970" t="s">
        <v>188</v>
      </c>
      <c r="E2970" t="s">
        <v>241</v>
      </c>
      <c r="F2970" t="s">
        <v>220</v>
      </c>
      <c r="G2970" t="s">
        <v>243</v>
      </c>
      <c r="H2970" t="s">
        <v>221</v>
      </c>
    </row>
    <row r="2971" spans="1:8">
      <c r="A2971" s="25" t="s">
        <v>207</v>
      </c>
      <c r="B2971">
        <v>7254</v>
      </c>
      <c r="C2971" t="s">
        <v>189</v>
      </c>
      <c r="D2971">
        <v>10434</v>
      </c>
      <c r="E2971" s="1">
        <v>2.3E-3</v>
      </c>
      <c r="F2971" s="1">
        <v>0.89729999999999999</v>
      </c>
      <c r="G2971" s="1">
        <v>3.5999999999999999E-3</v>
      </c>
      <c r="H2971" s="1">
        <v>9.6799999999999997E-2</v>
      </c>
    </row>
    <row r="2972" spans="1:8">
      <c r="A2972" s="25" t="s">
        <v>208</v>
      </c>
      <c r="B2972">
        <v>2245</v>
      </c>
      <c r="C2972" t="s">
        <v>189</v>
      </c>
      <c r="D2972">
        <v>10434</v>
      </c>
      <c r="F2972" s="1">
        <v>0.92379999999999995</v>
      </c>
      <c r="G2972" s="1">
        <v>2.2000000000000001E-3</v>
      </c>
      <c r="H2972" s="1">
        <v>7.3999999999999996E-2</v>
      </c>
    </row>
    <row r="2973" spans="1:8">
      <c r="A2973" s="25" t="s">
        <v>209</v>
      </c>
      <c r="B2973">
        <v>935</v>
      </c>
      <c r="C2973" t="s">
        <v>189</v>
      </c>
      <c r="D2973">
        <v>10434</v>
      </c>
      <c r="E2973" s="1">
        <v>2.9999999999999997E-4</v>
      </c>
      <c r="F2973" s="1">
        <v>0.87190000000000001</v>
      </c>
      <c r="G2973" s="1">
        <v>2E-3</v>
      </c>
      <c r="H2973" s="1">
        <v>0.12570000000000001</v>
      </c>
    </row>
    <row r="2974" spans="1:8">
      <c r="A2974" s="25" t="s">
        <v>192</v>
      </c>
      <c r="B2974">
        <v>10434</v>
      </c>
      <c r="C2974" t="s">
        <v>192</v>
      </c>
      <c r="D2974">
        <v>10434</v>
      </c>
      <c r="E2974" s="1">
        <v>1.6999999999999999E-3</v>
      </c>
      <c r="F2974" s="1">
        <v>0.9012</v>
      </c>
      <c r="G2974" s="1">
        <v>3.2000000000000002E-3</v>
      </c>
      <c r="H2974" s="1">
        <v>9.3899999999999997E-2</v>
      </c>
    </row>
    <row r="2976" spans="1:8" ht="43.5">
      <c r="A2976" s="25" t="s">
        <v>976</v>
      </c>
    </row>
    <row r="2977" spans="1:20">
      <c r="A2977" s="25" t="s">
        <v>182</v>
      </c>
      <c r="B2977" t="s">
        <v>219</v>
      </c>
      <c r="C2977" t="s">
        <v>181</v>
      </c>
      <c r="D2977" t="s">
        <v>188</v>
      </c>
      <c r="E2977" t="s">
        <v>241</v>
      </c>
      <c r="F2977" t="s">
        <v>220</v>
      </c>
      <c r="G2977" t="s">
        <v>243</v>
      </c>
      <c r="H2977" t="s">
        <v>221</v>
      </c>
    </row>
    <row r="2978" spans="1:20">
      <c r="A2978" s="25" t="s">
        <v>211</v>
      </c>
      <c r="B2978">
        <v>4972</v>
      </c>
      <c r="C2978" t="s">
        <v>189</v>
      </c>
      <c r="D2978">
        <v>10434</v>
      </c>
      <c r="E2978" s="1">
        <v>1.4E-3</v>
      </c>
      <c r="F2978" s="1">
        <v>0.91520000000000001</v>
      </c>
      <c r="G2978" s="1">
        <v>2.7000000000000001E-3</v>
      </c>
      <c r="H2978" s="1">
        <v>8.0699999999999994E-2</v>
      </c>
    </row>
    <row r="2979" spans="1:20">
      <c r="A2979" s="25" t="s">
        <v>212</v>
      </c>
      <c r="B2979">
        <v>3376</v>
      </c>
      <c r="C2979" t="s">
        <v>189</v>
      </c>
      <c r="D2979">
        <v>10434</v>
      </c>
      <c r="E2979" s="1">
        <v>5.9999999999999995E-4</v>
      </c>
      <c r="F2979" s="1">
        <v>0.88349999999999995</v>
      </c>
      <c r="G2979" s="1">
        <v>3.0000000000000001E-3</v>
      </c>
      <c r="H2979" s="1">
        <v>0.1128</v>
      </c>
    </row>
    <row r="2980" spans="1:20">
      <c r="A2980" s="25" t="s">
        <v>213</v>
      </c>
      <c r="B2980">
        <v>2086</v>
      </c>
      <c r="C2980" t="s">
        <v>189</v>
      </c>
      <c r="D2980">
        <v>10434</v>
      </c>
      <c r="E2980" s="1">
        <v>3.7000000000000002E-3</v>
      </c>
      <c r="F2980" s="1">
        <v>0.89659999999999995</v>
      </c>
      <c r="G2980" s="1">
        <v>4.3E-3</v>
      </c>
      <c r="H2980" s="1">
        <v>9.5500000000000002E-2</v>
      </c>
    </row>
    <row r="2981" spans="1:20">
      <c r="A2981" s="25" t="s">
        <v>192</v>
      </c>
      <c r="B2981">
        <v>10434</v>
      </c>
      <c r="C2981" t="s">
        <v>192</v>
      </c>
      <c r="D2981">
        <v>10434</v>
      </c>
      <c r="E2981" s="1">
        <v>1.6999999999999999E-3</v>
      </c>
      <c r="F2981" s="1">
        <v>0.9012</v>
      </c>
      <c r="G2981" s="1">
        <v>3.2000000000000002E-3</v>
      </c>
      <c r="H2981" s="1">
        <v>9.3899999999999997E-2</v>
      </c>
    </row>
    <row r="2983" spans="1:20" ht="43.5">
      <c r="A2983" s="25" t="s">
        <v>977</v>
      </c>
    </row>
    <row r="2984" spans="1:20">
      <c r="A2984" s="25" t="s">
        <v>182</v>
      </c>
      <c r="B2984" t="s">
        <v>219</v>
      </c>
      <c r="C2984" t="s">
        <v>181</v>
      </c>
      <c r="D2984" t="s">
        <v>188</v>
      </c>
      <c r="E2984" t="s">
        <v>241</v>
      </c>
      <c r="F2984" t="s">
        <v>978</v>
      </c>
      <c r="G2984" t="s">
        <v>979</v>
      </c>
      <c r="H2984" t="s">
        <v>980</v>
      </c>
      <c r="I2984" t="s">
        <v>981</v>
      </c>
      <c r="J2984" t="s">
        <v>982</v>
      </c>
      <c r="K2984" t="s">
        <v>983</v>
      </c>
      <c r="L2984" t="s">
        <v>984</v>
      </c>
      <c r="M2984" t="s">
        <v>985</v>
      </c>
      <c r="N2984" t="s">
        <v>269</v>
      </c>
      <c r="O2984" t="s">
        <v>243</v>
      </c>
      <c r="P2984" t="s">
        <v>986</v>
      </c>
      <c r="Q2984" t="s">
        <v>987</v>
      </c>
      <c r="R2984" t="s">
        <v>988</v>
      </c>
      <c r="S2984" t="s">
        <v>989</v>
      </c>
      <c r="T2984" t="s">
        <v>990</v>
      </c>
    </row>
    <row r="2985" spans="1:20">
      <c r="A2985" s="25" t="s">
        <v>190</v>
      </c>
      <c r="B2985">
        <v>509</v>
      </c>
      <c r="C2985" t="s">
        <v>189</v>
      </c>
      <c r="D2985">
        <v>1149</v>
      </c>
      <c r="E2985" s="1">
        <v>6.7000000000000002E-3</v>
      </c>
      <c r="F2985" s="1">
        <v>0.1699</v>
      </c>
      <c r="G2985" s="1">
        <v>0.26989999999999997</v>
      </c>
      <c r="H2985" s="1">
        <v>6.9599999999999995E-2</v>
      </c>
      <c r="I2985" s="1">
        <v>6.6000000000000003E-2</v>
      </c>
      <c r="J2985" s="1">
        <v>0.51139999999999997</v>
      </c>
      <c r="K2985" s="1">
        <v>8.9999999999999993E-3</v>
      </c>
      <c r="L2985" s="1">
        <v>3.6900000000000002E-2</v>
      </c>
      <c r="M2985" s="1">
        <v>8.5000000000000006E-3</v>
      </c>
      <c r="N2985" s="1">
        <v>1.24E-2</v>
      </c>
      <c r="O2985" s="1">
        <v>9.4000000000000004E-3</v>
      </c>
      <c r="P2985" s="1">
        <v>1.15E-2</v>
      </c>
      <c r="Q2985" s="1">
        <v>3.5099999999999999E-2</v>
      </c>
      <c r="R2985" s="1">
        <v>1.6000000000000001E-3</v>
      </c>
      <c r="S2985" s="1">
        <v>3.3500000000000002E-2</v>
      </c>
      <c r="T2985" s="1">
        <v>9.4999999999999998E-3</v>
      </c>
    </row>
    <row r="2986" spans="1:20">
      <c r="A2986" s="25" t="s">
        <v>191</v>
      </c>
      <c r="B2986">
        <v>637</v>
      </c>
      <c r="C2986" t="s">
        <v>189</v>
      </c>
      <c r="D2986">
        <v>1149</v>
      </c>
      <c r="E2986" s="1">
        <v>2.2000000000000001E-3</v>
      </c>
      <c r="F2986" s="1">
        <v>0.16819999999999999</v>
      </c>
      <c r="G2986" s="1">
        <v>0.31140000000000001</v>
      </c>
      <c r="H2986" s="1">
        <v>6.3600000000000004E-2</v>
      </c>
      <c r="I2986" s="1">
        <v>9.5000000000000001E-2</v>
      </c>
      <c r="J2986" s="1">
        <v>0.37540000000000001</v>
      </c>
      <c r="K2986" s="1">
        <v>5.5999999999999999E-3</v>
      </c>
      <c r="L2986" s="1">
        <v>7.5800000000000006E-2</v>
      </c>
      <c r="M2986" s="1">
        <v>8.8000000000000005E-3</v>
      </c>
      <c r="N2986" s="1">
        <v>1.9800000000000002E-2</v>
      </c>
      <c r="O2986" s="1">
        <v>9.4999999999999998E-3</v>
      </c>
      <c r="P2986" s="1">
        <v>2.76E-2</v>
      </c>
      <c r="Q2986" s="1">
        <v>6.93E-2</v>
      </c>
      <c r="R2986" s="1">
        <v>2.8E-3</v>
      </c>
      <c r="S2986" s="1">
        <v>2.0799999999999999E-2</v>
      </c>
      <c r="T2986" s="1">
        <v>3.44E-2</v>
      </c>
    </row>
    <row r="2987" spans="1:20">
      <c r="A2987" s="25" t="s">
        <v>192</v>
      </c>
      <c r="B2987">
        <v>1149</v>
      </c>
      <c r="C2987" t="s">
        <v>192</v>
      </c>
      <c r="D2987">
        <v>1149</v>
      </c>
      <c r="E2987" s="1">
        <v>3.8E-3</v>
      </c>
      <c r="F2987" s="1">
        <v>0.16869999999999999</v>
      </c>
      <c r="G2987" s="1">
        <v>0.2964</v>
      </c>
      <c r="H2987" s="1">
        <v>6.5699999999999995E-2</v>
      </c>
      <c r="I2987" s="1">
        <v>8.4699999999999998E-2</v>
      </c>
      <c r="J2987" s="1">
        <v>0.4244</v>
      </c>
      <c r="K2987" s="1">
        <v>6.7999999999999996E-3</v>
      </c>
      <c r="L2987" s="1">
        <v>6.1699999999999998E-2</v>
      </c>
      <c r="M2987" s="1">
        <v>8.6999999999999994E-3</v>
      </c>
      <c r="N2987" s="1">
        <v>1.7100000000000001E-2</v>
      </c>
      <c r="O2987" s="1">
        <v>9.4000000000000004E-3</v>
      </c>
      <c r="P2987" s="1">
        <v>2.18E-2</v>
      </c>
      <c r="Q2987" s="1">
        <v>5.6899999999999999E-2</v>
      </c>
      <c r="R2987" s="1">
        <v>2.3E-3</v>
      </c>
      <c r="S2987" s="1">
        <v>2.5399999999999999E-2</v>
      </c>
      <c r="T2987" s="1">
        <v>2.5399999999999999E-2</v>
      </c>
    </row>
    <row r="2989" spans="1:20" ht="43.5">
      <c r="A2989" s="25" t="s">
        <v>991</v>
      </c>
    </row>
    <row r="2990" spans="1:20">
      <c r="A2990" s="25" t="s">
        <v>182</v>
      </c>
      <c r="B2990" t="s">
        <v>219</v>
      </c>
      <c r="C2990" t="s">
        <v>181</v>
      </c>
      <c r="D2990" t="s">
        <v>188</v>
      </c>
      <c r="E2990" t="s">
        <v>241</v>
      </c>
      <c r="F2990" t="s">
        <v>978</v>
      </c>
      <c r="G2990" t="s">
        <v>979</v>
      </c>
      <c r="H2990" t="s">
        <v>980</v>
      </c>
      <c r="I2990" t="s">
        <v>981</v>
      </c>
      <c r="J2990" t="s">
        <v>982</v>
      </c>
      <c r="K2990" t="s">
        <v>983</v>
      </c>
      <c r="L2990" t="s">
        <v>984</v>
      </c>
      <c r="M2990" t="s">
        <v>985</v>
      </c>
      <c r="N2990" t="s">
        <v>269</v>
      </c>
      <c r="O2990" t="s">
        <v>243</v>
      </c>
      <c r="P2990" t="s">
        <v>986</v>
      </c>
      <c r="Q2990" t="s">
        <v>987</v>
      </c>
      <c r="R2990" t="s">
        <v>988</v>
      </c>
      <c r="S2990" t="s">
        <v>989</v>
      </c>
      <c r="T2990" t="s">
        <v>990</v>
      </c>
    </row>
    <row r="2991" spans="1:20" ht="29.1">
      <c r="A2991" s="25" t="s">
        <v>194</v>
      </c>
      <c r="B2991">
        <v>533</v>
      </c>
      <c r="C2991" t="s">
        <v>189</v>
      </c>
      <c r="D2991">
        <v>1149</v>
      </c>
      <c r="E2991" s="1">
        <v>3.3E-3</v>
      </c>
      <c r="F2991" s="1">
        <v>0.14249999999999999</v>
      </c>
      <c r="G2991" s="1">
        <v>0.27010000000000001</v>
      </c>
      <c r="H2991" s="1">
        <v>8.0500000000000002E-2</v>
      </c>
      <c r="I2991" s="1">
        <v>0.1021</v>
      </c>
      <c r="J2991" s="1">
        <v>0.44700000000000001</v>
      </c>
      <c r="K2991" s="1">
        <v>2.3999999999999998E-3</v>
      </c>
      <c r="L2991" s="1">
        <v>7.2700000000000001E-2</v>
      </c>
      <c r="M2991" s="1">
        <v>7.3000000000000001E-3</v>
      </c>
      <c r="N2991" s="1">
        <v>1.95E-2</v>
      </c>
      <c r="O2991" s="1">
        <v>1.26E-2</v>
      </c>
      <c r="P2991" s="1">
        <v>2.4E-2</v>
      </c>
      <c r="Q2991" s="1">
        <v>5.74E-2</v>
      </c>
      <c r="R2991" s="1">
        <v>1.5E-3</v>
      </c>
      <c r="S2991" s="1">
        <v>2.1700000000000001E-2</v>
      </c>
      <c r="T2991" s="1">
        <v>2.0899999999999998E-2</v>
      </c>
    </row>
    <row r="2992" spans="1:20" ht="29.1">
      <c r="A2992" s="25" t="s">
        <v>195</v>
      </c>
      <c r="B2992">
        <v>342</v>
      </c>
      <c r="C2992" t="s">
        <v>189</v>
      </c>
      <c r="D2992">
        <v>1149</v>
      </c>
      <c r="E2992" s="1">
        <v>3.2000000000000002E-3</v>
      </c>
      <c r="F2992" s="1">
        <v>0.26740000000000003</v>
      </c>
      <c r="G2992" s="1">
        <v>0.30449999999999999</v>
      </c>
      <c r="H2992" s="1">
        <v>3.3500000000000002E-2</v>
      </c>
      <c r="I2992" s="1">
        <v>4.5900000000000003E-2</v>
      </c>
      <c r="J2992" s="1">
        <v>0.35920000000000002</v>
      </c>
      <c r="K2992" s="1">
        <v>2.4500000000000001E-2</v>
      </c>
      <c r="L2992" s="1">
        <v>4.5400000000000003E-2</v>
      </c>
      <c r="M2992" s="1">
        <v>1.5699999999999999E-2</v>
      </c>
      <c r="N2992" s="1">
        <v>6.1000000000000004E-3</v>
      </c>
      <c r="O2992" s="1">
        <v>3.7000000000000002E-3</v>
      </c>
      <c r="P2992" s="1">
        <v>1.7999999999999999E-2</v>
      </c>
      <c r="Q2992" s="1">
        <v>4.9000000000000002E-2</v>
      </c>
      <c r="R2992" s="1">
        <v>2.9999999999999997E-4</v>
      </c>
      <c r="S2992" s="1">
        <v>3.7900000000000003E-2</v>
      </c>
      <c r="T2992" s="1">
        <v>3.6200000000000003E-2</v>
      </c>
    </row>
    <row r="2993" spans="1:20" ht="29.1">
      <c r="A2993" s="25" t="s">
        <v>196</v>
      </c>
      <c r="B2993">
        <v>271</v>
      </c>
      <c r="C2993" t="s">
        <v>189</v>
      </c>
      <c r="D2993">
        <v>1149</v>
      </c>
      <c r="E2993" s="1">
        <v>7.1999999999999998E-3</v>
      </c>
      <c r="F2993" s="1">
        <v>0.13800000000000001</v>
      </c>
      <c r="G2993" s="1">
        <v>0.40849999999999997</v>
      </c>
      <c r="H2993" s="1">
        <v>4.6800000000000001E-2</v>
      </c>
      <c r="I2993" s="1">
        <v>6.1800000000000001E-2</v>
      </c>
      <c r="J2993" s="1">
        <v>0.4214</v>
      </c>
      <c r="L2993" s="1">
        <v>3.56E-2</v>
      </c>
      <c r="M2993" s="1">
        <v>4.1999999999999997E-3</v>
      </c>
      <c r="N2993" s="1">
        <v>2.3E-2</v>
      </c>
      <c r="O2993" s="1">
        <v>3.5999999999999999E-3</v>
      </c>
      <c r="P2993" s="1">
        <v>1.7500000000000002E-2</v>
      </c>
      <c r="Q2993" s="1">
        <v>6.6799999999999998E-2</v>
      </c>
      <c r="R2993" s="1">
        <v>9.4000000000000004E-3</v>
      </c>
      <c r="S2993" s="1">
        <v>2.3400000000000001E-2</v>
      </c>
      <c r="T2993" s="1">
        <v>2.9399999999999999E-2</v>
      </c>
    </row>
    <row r="2994" spans="1:20">
      <c r="A2994" s="25" t="s">
        <v>192</v>
      </c>
      <c r="B2994">
        <v>1149</v>
      </c>
      <c r="C2994" t="s">
        <v>192</v>
      </c>
      <c r="D2994">
        <v>1149</v>
      </c>
      <c r="E2994" s="1">
        <v>3.8E-3</v>
      </c>
      <c r="F2994" s="1">
        <v>0.16869999999999999</v>
      </c>
      <c r="G2994" s="1">
        <v>0.2964</v>
      </c>
      <c r="H2994" s="1">
        <v>6.5699999999999995E-2</v>
      </c>
      <c r="I2994" s="1">
        <v>8.4699999999999998E-2</v>
      </c>
      <c r="J2994" s="1">
        <v>0.4244</v>
      </c>
      <c r="K2994" s="1">
        <v>6.7999999999999996E-3</v>
      </c>
      <c r="L2994" s="1">
        <v>6.1699999999999998E-2</v>
      </c>
      <c r="M2994" s="1">
        <v>8.6999999999999994E-3</v>
      </c>
      <c r="N2994" s="1">
        <v>1.7100000000000001E-2</v>
      </c>
      <c r="O2994" s="1">
        <v>9.4000000000000004E-3</v>
      </c>
      <c r="P2994" s="1">
        <v>2.18E-2</v>
      </c>
      <c r="Q2994" s="1">
        <v>5.6899999999999999E-2</v>
      </c>
      <c r="R2994" s="1">
        <v>2.3E-3</v>
      </c>
      <c r="S2994" s="1">
        <v>2.5399999999999999E-2</v>
      </c>
      <c r="T2994" s="1">
        <v>2.5399999999999999E-2</v>
      </c>
    </row>
    <row r="2996" spans="1:20" ht="43.5">
      <c r="A2996" s="25" t="s">
        <v>992</v>
      </c>
    </row>
    <row r="2997" spans="1:20">
      <c r="A2997" s="25" t="s">
        <v>182</v>
      </c>
      <c r="B2997" t="s">
        <v>219</v>
      </c>
      <c r="C2997" t="s">
        <v>181</v>
      </c>
      <c r="D2997" t="s">
        <v>188</v>
      </c>
      <c r="E2997" t="s">
        <v>241</v>
      </c>
      <c r="F2997" t="s">
        <v>978</v>
      </c>
      <c r="G2997" t="s">
        <v>979</v>
      </c>
      <c r="H2997" t="s">
        <v>980</v>
      </c>
      <c r="I2997" t="s">
        <v>981</v>
      </c>
      <c r="J2997" t="s">
        <v>982</v>
      </c>
      <c r="K2997" t="s">
        <v>983</v>
      </c>
      <c r="L2997" t="s">
        <v>984</v>
      </c>
      <c r="M2997" t="s">
        <v>985</v>
      </c>
      <c r="N2997" t="s">
        <v>269</v>
      </c>
      <c r="O2997" t="s">
        <v>243</v>
      </c>
      <c r="P2997" t="s">
        <v>986</v>
      </c>
      <c r="Q2997" t="s">
        <v>987</v>
      </c>
      <c r="R2997" t="s">
        <v>988</v>
      </c>
      <c r="S2997" t="s">
        <v>989</v>
      </c>
      <c r="T2997" t="s">
        <v>990</v>
      </c>
    </row>
    <row r="2998" spans="1:20">
      <c r="A2998" s="25" t="s">
        <v>198</v>
      </c>
      <c r="B2998">
        <v>321</v>
      </c>
      <c r="C2998" t="s">
        <v>189</v>
      </c>
      <c r="D2998">
        <v>1149</v>
      </c>
      <c r="E2998" s="1">
        <v>2.2000000000000001E-3</v>
      </c>
      <c r="F2998" s="1">
        <v>0.13139999999999999</v>
      </c>
      <c r="G2998" s="1">
        <v>0.29620000000000002</v>
      </c>
      <c r="H2998" s="1">
        <v>3.1300000000000001E-2</v>
      </c>
      <c r="I2998" s="1">
        <v>5.2999999999999999E-2</v>
      </c>
      <c r="J2998" s="1">
        <v>0.68669999999999998</v>
      </c>
      <c r="K2998" s="1">
        <v>1.15E-2</v>
      </c>
      <c r="L2998" s="1">
        <v>1.9300000000000001E-2</v>
      </c>
      <c r="M2998" s="1">
        <v>8.0000000000000002E-3</v>
      </c>
      <c r="N2998" s="1">
        <v>1.61E-2</v>
      </c>
      <c r="O2998" s="1">
        <v>2.2000000000000001E-3</v>
      </c>
      <c r="P2998" s="1">
        <v>2.0999999999999999E-3</v>
      </c>
      <c r="Q2998" s="1">
        <v>6.9900000000000004E-2</v>
      </c>
      <c r="R2998" s="1">
        <v>4.8999999999999998E-3</v>
      </c>
      <c r="S2998" s="1">
        <v>4.9799999999999997E-2</v>
      </c>
      <c r="T2998" s="1">
        <v>2.0199999999999999E-2</v>
      </c>
    </row>
    <row r="2999" spans="1:20">
      <c r="A2999" s="25" t="s">
        <v>199</v>
      </c>
      <c r="B2999">
        <v>828</v>
      </c>
      <c r="C2999" t="s">
        <v>189</v>
      </c>
      <c r="D2999">
        <v>1149</v>
      </c>
      <c r="E2999" s="1">
        <v>4.3E-3</v>
      </c>
      <c r="F2999" s="1">
        <v>0.18129999999999999</v>
      </c>
      <c r="G2999" s="1">
        <v>0.29649999999999999</v>
      </c>
      <c r="H2999" s="1">
        <v>7.7399999999999997E-2</v>
      </c>
      <c r="I2999" s="1">
        <v>9.5500000000000002E-2</v>
      </c>
      <c r="J2999" s="1">
        <v>0.33589999999999998</v>
      </c>
      <c r="K2999" s="1">
        <v>5.3E-3</v>
      </c>
      <c r="L2999" s="1">
        <v>7.5999999999999998E-2</v>
      </c>
      <c r="M2999" s="1">
        <v>8.9999999999999993E-3</v>
      </c>
      <c r="N2999" s="1">
        <v>1.7399999999999999E-2</v>
      </c>
      <c r="O2999" s="1">
        <v>1.1900000000000001E-2</v>
      </c>
      <c r="P2999" s="1">
        <v>2.8400000000000002E-2</v>
      </c>
      <c r="Q2999" s="1">
        <v>5.2499999999999998E-2</v>
      </c>
      <c r="R2999" s="1">
        <v>1.5E-3</v>
      </c>
      <c r="S2999" s="1">
        <v>1.72E-2</v>
      </c>
      <c r="T2999" s="1">
        <v>2.7099999999999999E-2</v>
      </c>
    </row>
    <row r="3000" spans="1:20">
      <c r="A3000" s="25" t="s">
        <v>192</v>
      </c>
      <c r="B3000">
        <v>1149</v>
      </c>
      <c r="C3000" t="s">
        <v>192</v>
      </c>
      <c r="D3000">
        <v>1149</v>
      </c>
      <c r="E3000" s="1">
        <v>3.8E-3</v>
      </c>
      <c r="F3000" s="1">
        <v>0.16869999999999999</v>
      </c>
      <c r="G3000" s="1">
        <v>0.2964</v>
      </c>
      <c r="H3000" s="1">
        <v>6.5699999999999995E-2</v>
      </c>
      <c r="I3000" s="1">
        <v>8.4699999999999998E-2</v>
      </c>
      <c r="J3000" s="1">
        <v>0.4244</v>
      </c>
      <c r="K3000" s="1">
        <v>6.7999999999999996E-3</v>
      </c>
      <c r="L3000" s="1">
        <v>6.1699999999999998E-2</v>
      </c>
      <c r="M3000" s="1">
        <v>8.6999999999999994E-3</v>
      </c>
      <c r="N3000" s="1">
        <v>1.7100000000000001E-2</v>
      </c>
      <c r="O3000" s="1">
        <v>9.4000000000000004E-3</v>
      </c>
      <c r="P3000" s="1">
        <v>2.18E-2</v>
      </c>
      <c r="Q3000" s="1">
        <v>5.6899999999999999E-2</v>
      </c>
      <c r="R3000" s="1">
        <v>2.3E-3</v>
      </c>
      <c r="S3000" s="1">
        <v>2.5399999999999999E-2</v>
      </c>
      <c r="T3000" s="1">
        <v>2.5399999999999999E-2</v>
      </c>
    </row>
    <row r="3002" spans="1:20" ht="43.5">
      <c r="A3002" s="25" t="s">
        <v>993</v>
      </c>
    </row>
    <row r="3003" spans="1:20">
      <c r="A3003" s="25" t="s">
        <v>182</v>
      </c>
      <c r="B3003" t="s">
        <v>219</v>
      </c>
      <c r="C3003" t="s">
        <v>181</v>
      </c>
      <c r="D3003" t="s">
        <v>188</v>
      </c>
      <c r="E3003" t="s">
        <v>241</v>
      </c>
      <c r="F3003" t="s">
        <v>978</v>
      </c>
      <c r="G3003" t="s">
        <v>979</v>
      </c>
      <c r="H3003" t="s">
        <v>980</v>
      </c>
      <c r="I3003" t="s">
        <v>981</v>
      </c>
      <c r="J3003" t="s">
        <v>982</v>
      </c>
      <c r="K3003" t="s">
        <v>983</v>
      </c>
      <c r="L3003" t="s">
        <v>984</v>
      </c>
      <c r="M3003" t="s">
        <v>985</v>
      </c>
      <c r="N3003" t="s">
        <v>269</v>
      </c>
      <c r="O3003" t="s">
        <v>243</v>
      </c>
      <c r="P3003" t="s">
        <v>986</v>
      </c>
      <c r="Q3003" t="s">
        <v>987</v>
      </c>
      <c r="R3003" t="s">
        <v>988</v>
      </c>
      <c r="S3003" t="s">
        <v>989</v>
      </c>
      <c r="T3003" t="s">
        <v>990</v>
      </c>
    </row>
    <row r="3004" spans="1:20">
      <c r="A3004" s="25" t="s">
        <v>201</v>
      </c>
      <c r="B3004">
        <v>116</v>
      </c>
      <c r="C3004" t="s">
        <v>189</v>
      </c>
      <c r="D3004">
        <v>1149</v>
      </c>
      <c r="F3004" s="1">
        <v>0.17219999999999999</v>
      </c>
      <c r="G3004" s="1">
        <v>0.3856</v>
      </c>
      <c r="H3004" s="1">
        <v>0.11260000000000001</v>
      </c>
      <c r="I3004" s="1">
        <v>5.0700000000000002E-2</v>
      </c>
      <c r="J3004" s="1">
        <v>0.35370000000000001</v>
      </c>
      <c r="L3004" s="1">
        <v>2.1100000000000001E-2</v>
      </c>
      <c r="M3004" s="1">
        <v>3.4599999999999999E-2</v>
      </c>
      <c r="N3004" s="1">
        <v>3.2800000000000003E-2</v>
      </c>
      <c r="P3004" s="1">
        <v>3.4500000000000003E-2</v>
      </c>
      <c r="Q3004" s="1">
        <v>1.6899999999999998E-2</v>
      </c>
      <c r="R3004" s="1">
        <v>9.4000000000000004E-3</v>
      </c>
      <c r="S3004" s="1">
        <v>1.4999999999999999E-2</v>
      </c>
      <c r="T3004" s="1">
        <v>0.1014</v>
      </c>
    </row>
    <row r="3005" spans="1:20">
      <c r="A3005" s="25" t="s">
        <v>202</v>
      </c>
      <c r="B3005">
        <v>35</v>
      </c>
      <c r="C3005" t="s">
        <v>189</v>
      </c>
      <c r="D3005">
        <v>1149</v>
      </c>
      <c r="E3005" s="1">
        <v>2.98E-2</v>
      </c>
      <c r="F3005" s="1">
        <v>0.12959999999999999</v>
      </c>
      <c r="G3005" s="1">
        <v>0.377</v>
      </c>
      <c r="H3005" s="1">
        <v>2.1100000000000001E-2</v>
      </c>
      <c r="I3005" s="1">
        <v>4.8800000000000003E-2</v>
      </c>
      <c r="J3005" s="1">
        <v>0.53790000000000004</v>
      </c>
      <c r="L3005" s="1">
        <v>9.7999999999999997E-3</v>
      </c>
      <c r="M3005" s="1">
        <v>2.1100000000000001E-2</v>
      </c>
      <c r="P3005" s="1">
        <v>4.0899999999999999E-2</v>
      </c>
      <c r="Q3005" s="1">
        <v>9.7199999999999995E-2</v>
      </c>
      <c r="R3005" s="1">
        <v>4.9500000000000002E-2</v>
      </c>
      <c r="S3005" s="1">
        <v>2.2499999999999999E-2</v>
      </c>
      <c r="T3005" s="1">
        <v>2.5499999999999998E-2</v>
      </c>
    </row>
    <row r="3006" spans="1:20">
      <c r="A3006" s="25" t="s">
        <v>203</v>
      </c>
      <c r="B3006">
        <v>772</v>
      </c>
      <c r="C3006" t="s">
        <v>189</v>
      </c>
      <c r="D3006">
        <v>1149</v>
      </c>
      <c r="E3006" s="1">
        <v>4.4999999999999997E-3</v>
      </c>
      <c r="F3006" s="1">
        <v>0.16220000000000001</v>
      </c>
      <c r="G3006" s="1">
        <v>0.30370000000000003</v>
      </c>
      <c r="H3006" s="1">
        <v>6.7199999999999996E-2</v>
      </c>
      <c r="I3006" s="1">
        <v>7.0699999999999999E-2</v>
      </c>
      <c r="J3006" s="1">
        <v>0.4511</v>
      </c>
      <c r="K3006" s="1">
        <v>6.4999999999999997E-3</v>
      </c>
      <c r="L3006" s="1">
        <v>4.9500000000000002E-2</v>
      </c>
      <c r="M3006" s="1">
        <v>7.0000000000000001E-3</v>
      </c>
      <c r="N3006" s="1">
        <v>1.04E-2</v>
      </c>
      <c r="O3006" s="1">
        <v>1.2500000000000001E-2</v>
      </c>
      <c r="P3006" s="1">
        <v>2.4299999999999999E-2</v>
      </c>
      <c r="Q3006" s="1">
        <v>5.91E-2</v>
      </c>
      <c r="S3006" s="1">
        <v>2.29E-2</v>
      </c>
      <c r="T3006" s="1">
        <v>1.6000000000000001E-3</v>
      </c>
    </row>
    <row r="3007" spans="1:20">
      <c r="A3007" s="25" t="s">
        <v>204</v>
      </c>
      <c r="B3007">
        <v>4</v>
      </c>
      <c r="C3007" t="s">
        <v>189</v>
      </c>
      <c r="D3007">
        <v>1149</v>
      </c>
      <c r="G3007" s="1">
        <v>0.81459999999999999</v>
      </c>
      <c r="I3007" s="1">
        <v>0.2601</v>
      </c>
      <c r="J3007" s="1">
        <v>0.44550000000000001</v>
      </c>
    </row>
    <row r="3008" spans="1:20">
      <c r="A3008" s="25" t="s">
        <v>205</v>
      </c>
      <c r="B3008">
        <v>222</v>
      </c>
      <c r="C3008" t="s">
        <v>189</v>
      </c>
      <c r="D3008">
        <v>1149</v>
      </c>
      <c r="F3008" s="1">
        <v>0.1986</v>
      </c>
      <c r="G3008" s="1">
        <v>0.2107</v>
      </c>
      <c r="H3008" s="1">
        <v>4.1399999999999999E-2</v>
      </c>
      <c r="I3008" s="1">
        <v>0.16220000000000001</v>
      </c>
      <c r="J3008" s="1">
        <v>0.33860000000000001</v>
      </c>
      <c r="K3008" s="1">
        <v>1.24E-2</v>
      </c>
      <c r="L3008" s="1">
        <v>0.13819999999999999</v>
      </c>
      <c r="M3008" s="1">
        <v>1.4E-3</v>
      </c>
      <c r="N3008" s="1">
        <v>3.8199999999999998E-2</v>
      </c>
      <c r="O3008" s="1">
        <v>2.8E-3</v>
      </c>
      <c r="P3008" s="1">
        <v>3.0999999999999999E-3</v>
      </c>
      <c r="Q3008" s="1">
        <v>6.3500000000000001E-2</v>
      </c>
      <c r="R3008" s="1">
        <v>3.0999999999999999E-3</v>
      </c>
      <c r="S3008" s="1">
        <v>4.1099999999999998E-2</v>
      </c>
      <c r="T3008" s="1">
        <v>8.4099999999999994E-2</v>
      </c>
    </row>
    <row r="3009" spans="1:20">
      <c r="A3009" s="25" t="s">
        <v>192</v>
      </c>
      <c r="B3009">
        <v>1149</v>
      </c>
      <c r="C3009" t="s">
        <v>192</v>
      </c>
      <c r="D3009">
        <v>1149</v>
      </c>
      <c r="E3009" s="1">
        <v>3.8E-3</v>
      </c>
      <c r="F3009" s="1">
        <v>0.16869999999999999</v>
      </c>
      <c r="G3009" s="1">
        <v>0.2964</v>
      </c>
      <c r="H3009" s="1">
        <v>6.5699999999999995E-2</v>
      </c>
      <c r="I3009" s="1">
        <v>8.4699999999999998E-2</v>
      </c>
      <c r="J3009" s="1">
        <v>0.4244</v>
      </c>
      <c r="K3009" s="1">
        <v>6.7999999999999996E-3</v>
      </c>
      <c r="L3009" s="1">
        <v>6.1699999999999998E-2</v>
      </c>
      <c r="M3009" s="1">
        <v>8.6999999999999994E-3</v>
      </c>
      <c r="N3009" s="1">
        <v>1.7100000000000001E-2</v>
      </c>
      <c r="O3009" s="1">
        <v>9.4000000000000004E-3</v>
      </c>
      <c r="P3009" s="1">
        <v>2.18E-2</v>
      </c>
      <c r="Q3009" s="1">
        <v>5.6899999999999999E-2</v>
      </c>
      <c r="R3009" s="1">
        <v>2.3E-3</v>
      </c>
      <c r="S3009" s="1">
        <v>2.5399999999999999E-2</v>
      </c>
      <c r="T3009" s="1">
        <v>2.5399999999999999E-2</v>
      </c>
    </row>
    <row r="3011" spans="1:20" ht="43.5">
      <c r="A3011" s="25" t="s">
        <v>994</v>
      </c>
    </row>
    <row r="3012" spans="1:20">
      <c r="A3012" s="25" t="s">
        <v>182</v>
      </c>
      <c r="B3012" t="s">
        <v>219</v>
      </c>
      <c r="C3012" t="s">
        <v>181</v>
      </c>
      <c r="D3012" t="s">
        <v>188</v>
      </c>
      <c r="E3012" t="s">
        <v>241</v>
      </c>
      <c r="F3012" t="s">
        <v>978</v>
      </c>
      <c r="G3012" t="s">
        <v>979</v>
      </c>
      <c r="H3012" t="s">
        <v>980</v>
      </c>
      <c r="I3012" t="s">
        <v>981</v>
      </c>
      <c r="J3012" t="s">
        <v>982</v>
      </c>
      <c r="K3012" t="s">
        <v>983</v>
      </c>
      <c r="L3012" t="s">
        <v>984</v>
      </c>
      <c r="M3012" t="s">
        <v>985</v>
      </c>
      <c r="N3012" t="s">
        <v>269</v>
      </c>
      <c r="O3012" t="s">
        <v>243</v>
      </c>
      <c r="P3012" t="s">
        <v>986</v>
      </c>
      <c r="Q3012" t="s">
        <v>987</v>
      </c>
      <c r="R3012" t="s">
        <v>988</v>
      </c>
      <c r="S3012" t="s">
        <v>989</v>
      </c>
      <c r="T3012" t="s">
        <v>990</v>
      </c>
    </row>
    <row r="3013" spans="1:20">
      <c r="A3013" s="25" t="s">
        <v>207</v>
      </c>
      <c r="B3013">
        <v>801</v>
      </c>
      <c r="C3013" t="s">
        <v>189</v>
      </c>
      <c r="D3013">
        <v>1149</v>
      </c>
      <c r="E3013" s="1">
        <v>3.8E-3</v>
      </c>
      <c r="F3013" s="1">
        <v>0.18099999999999999</v>
      </c>
      <c r="G3013" s="1">
        <v>0.29039999999999999</v>
      </c>
      <c r="H3013" s="1">
        <v>7.6799999999999993E-2</v>
      </c>
      <c r="I3013" s="1">
        <v>8.0699999999999994E-2</v>
      </c>
      <c r="J3013" s="1">
        <v>0.40310000000000001</v>
      </c>
      <c r="K3013" s="1">
        <v>9.2999999999999992E-3</v>
      </c>
      <c r="L3013" s="1">
        <v>6.2E-2</v>
      </c>
      <c r="M3013" s="1">
        <v>8.2000000000000007E-3</v>
      </c>
      <c r="N3013" s="1">
        <v>1.66E-2</v>
      </c>
      <c r="O3013" s="1">
        <v>8.6E-3</v>
      </c>
      <c r="P3013" s="1">
        <v>2.98E-2</v>
      </c>
      <c r="Q3013" s="1">
        <v>4.4600000000000001E-2</v>
      </c>
      <c r="R3013" s="1">
        <v>2.2000000000000001E-3</v>
      </c>
      <c r="S3013" s="1">
        <v>1.0200000000000001E-2</v>
      </c>
      <c r="T3013" s="1">
        <v>1.8599999999999998E-2</v>
      </c>
    </row>
    <row r="3014" spans="1:20">
      <c r="A3014" s="25" t="s">
        <v>208</v>
      </c>
      <c r="B3014">
        <v>194</v>
      </c>
      <c r="C3014" t="s">
        <v>189</v>
      </c>
      <c r="D3014">
        <v>1149</v>
      </c>
      <c r="E3014" s="1">
        <v>4.7999999999999996E-3</v>
      </c>
      <c r="F3014" s="1">
        <v>9.8100000000000007E-2</v>
      </c>
      <c r="G3014" s="1">
        <v>0.32029999999999997</v>
      </c>
      <c r="H3014" s="1">
        <v>5.7000000000000002E-3</v>
      </c>
      <c r="I3014" s="1">
        <v>0.1133</v>
      </c>
      <c r="J3014" s="1">
        <v>0.42299999999999999</v>
      </c>
      <c r="K3014" s="1">
        <v>1E-3</v>
      </c>
      <c r="L3014" s="1">
        <v>5.3900000000000003E-2</v>
      </c>
      <c r="M3014" s="1">
        <v>1.2200000000000001E-2</v>
      </c>
      <c r="N3014" s="1">
        <v>1.9400000000000001E-2</v>
      </c>
      <c r="O3014" s="1">
        <v>1.83E-2</v>
      </c>
      <c r="Q3014" s="1">
        <v>9.8699999999999996E-2</v>
      </c>
      <c r="S3014" s="1">
        <v>7.2099999999999997E-2</v>
      </c>
      <c r="T3014" s="1">
        <v>6.2899999999999998E-2</v>
      </c>
    </row>
    <row r="3015" spans="1:20">
      <c r="A3015" s="25" t="s">
        <v>209</v>
      </c>
      <c r="B3015">
        <v>154</v>
      </c>
      <c r="C3015" t="s">
        <v>189</v>
      </c>
      <c r="D3015">
        <v>1149</v>
      </c>
      <c r="E3015" s="1">
        <v>2.0999999999999999E-3</v>
      </c>
      <c r="F3015" s="1">
        <v>0.2041</v>
      </c>
      <c r="G3015" s="1">
        <v>0.29759999999999998</v>
      </c>
      <c r="H3015" s="1">
        <v>9.1300000000000006E-2</v>
      </c>
      <c r="I3015" s="1">
        <v>6.3899999999999998E-2</v>
      </c>
      <c r="J3015" s="1">
        <v>0.57250000000000001</v>
      </c>
      <c r="L3015" s="1">
        <v>7.3200000000000001E-2</v>
      </c>
      <c r="M3015" s="1">
        <v>6.1000000000000004E-3</v>
      </c>
      <c r="N3015" s="1">
        <v>1.67E-2</v>
      </c>
      <c r="P3015" s="1">
        <v>3.8999999999999998E-3</v>
      </c>
      <c r="Q3015" s="1">
        <v>7.0199999999999999E-2</v>
      </c>
      <c r="R3015" s="1">
        <v>6.7999999999999996E-3</v>
      </c>
      <c r="S3015" s="1">
        <v>5.04E-2</v>
      </c>
      <c r="T3015" s="1">
        <v>8.2000000000000007E-3</v>
      </c>
    </row>
    <row r="3016" spans="1:20">
      <c r="A3016" s="25" t="s">
        <v>192</v>
      </c>
      <c r="B3016">
        <v>1149</v>
      </c>
      <c r="C3016" t="s">
        <v>192</v>
      </c>
      <c r="D3016">
        <v>1149</v>
      </c>
      <c r="E3016" s="1">
        <v>3.8E-3</v>
      </c>
      <c r="F3016" s="1">
        <v>0.16869999999999999</v>
      </c>
      <c r="G3016" s="1">
        <v>0.2964</v>
      </c>
      <c r="H3016" s="1">
        <v>6.5699999999999995E-2</v>
      </c>
      <c r="I3016" s="1">
        <v>8.4699999999999998E-2</v>
      </c>
      <c r="J3016" s="1">
        <v>0.4244</v>
      </c>
      <c r="K3016" s="1">
        <v>6.7999999999999996E-3</v>
      </c>
      <c r="L3016" s="1">
        <v>6.1699999999999998E-2</v>
      </c>
      <c r="M3016" s="1">
        <v>8.6999999999999994E-3</v>
      </c>
      <c r="N3016" s="1">
        <v>1.7100000000000001E-2</v>
      </c>
      <c r="O3016" s="1">
        <v>9.4000000000000004E-3</v>
      </c>
      <c r="P3016" s="1">
        <v>2.18E-2</v>
      </c>
      <c r="Q3016" s="1">
        <v>5.6899999999999999E-2</v>
      </c>
      <c r="R3016" s="1">
        <v>2.3E-3</v>
      </c>
      <c r="S3016" s="1">
        <v>2.5399999999999999E-2</v>
      </c>
      <c r="T3016" s="1">
        <v>2.5399999999999999E-2</v>
      </c>
    </row>
    <row r="3018" spans="1:20" ht="43.5">
      <c r="A3018" s="25" t="s">
        <v>995</v>
      </c>
    </row>
    <row r="3019" spans="1:20">
      <c r="A3019" s="25" t="s">
        <v>182</v>
      </c>
      <c r="B3019" t="s">
        <v>219</v>
      </c>
      <c r="C3019" t="s">
        <v>181</v>
      </c>
      <c r="D3019" t="s">
        <v>188</v>
      </c>
      <c r="E3019" t="s">
        <v>241</v>
      </c>
      <c r="F3019" t="s">
        <v>978</v>
      </c>
      <c r="G3019" t="s">
        <v>979</v>
      </c>
      <c r="H3019" t="s">
        <v>980</v>
      </c>
      <c r="I3019" t="s">
        <v>981</v>
      </c>
      <c r="J3019" t="s">
        <v>982</v>
      </c>
      <c r="K3019" t="s">
        <v>983</v>
      </c>
      <c r="L3019" t="s">
        <v>984</v>
      </c>
      <c r="M3019" t="s">
        <v>985</v>
      </c>
      <c r="N3019" t="s">
        <v>269</v>
      </c>
      <c r="O3019" t="s">
        <v>243</v>
      </c>
      <c r="P3019" t="s">
        <v>986</v>
      </c>
      <c r="Q3019" t="s">
        <v>987</v>
      </c>
      <c r="R3019" t="s">
        <v>988</v>
      </c>
      <c r="S3019" t="s">
        <v>989</v>
      </c>
      <c r="T3019" t="s">
        <v>990</v>
      </c>
    </row>
    <row r="3020" spans="1:20">
      <c r="A3020" s="25" t="s">
        <v>211</v>
      </c>
      <c r="B3020">
        <v>504</v>
      </c>
      <c r="C3020" t="s">
        <v>189</v>
      </c>
      <c r="D3020">
        <v>1149</v>
      </c>
      <c r="E3020" s="1">
        <v>7.0000000000000001E-3</v>
      </c>
      <c r="F3020" s="1">
        <v>0.18820000000000001</v>
      </c>
      <c r="G3020" s="1">
        <v>0.22989999999999999</v>
      </c>
      <c r="H3020" s="1">
        <v>8.2900000000000001E-2</v>
      </c>
      <c r="I3020" s="1">
        <v>7.2700000000000001E-2</v>
      </c>
      <c r="J3020" s="1">
        <v>0.38829999999999998</v>
      </c>
      <c r="K3020" s="1">
        <v>1.35E-2</v>
      </c>
      <c r="L3020" s="1">
        <v>0.1011</v>
      </c>
      <c r="M3020" s="1">
        <v>1.4E-2</v>
      </c>
      <c r="N3020" s="1">
        <v>1.4200000000000001E-2</v>
      </c>
      <c r="O3020" s="1">
        <v>8.6999999999999994E-3</v>
      </c>
      <c r="P3020" s="1">
        <v>5.0299999999999997E-2</v>
      </c>
      <c r="Q3020" s="1">
        <v>5.3199999999999997E-2</v>
      </c>
      <c r="R3020" s="1">
        <v>4.4000000000000003E-3</v>
      </c>
      <c r="S3020" s="1">
        <v>2.3400000000000001E-2</v>
      </c>
      <c r="T3020" s="1">
        <v>2.18E-2</v>
      </c>
    </row>
    <row r="3021" spans="1:20">
      <c r="A3021" s="25" t="s">
        <v>212</v>
      </c>
      <c r="B3021">
        <v>430</v>
      </c>
      <c r="C3021" t="s">
        <v>189</v>
      </c>
      <c r="D3021">
        <v>1149</v>
      </c>
      <c r="E3021" s="1">
        <v>1.1999999999999999E-3</v>
      </c>
      <c r="F3021" s="1">
        <v>0.13880000000000001</v>
      </c>
      <c r="G3021" s="1">
        <v>0.3669</v>
      </c>
      <c r="H3021" s="1">
        <v>3.2500000000000001E-2</v>
      </c>
      <c r="I3021" s="1">
        <v>7.0300000000000001E-2</v>
      </c>
      <c r="J3021" s="1">
        <v>0.49640000000000001</v>
      </c>
      <c r="K3021" s="1">
        <v>3.2000000000000002E-3</v>
      </c>
      <c r="L3021" s="1">
        <v>3.1300000000000001E-2</v>
      </c>
      <c r="M3021" s="1">
        <v>7.1000000000000004E-3</v>
      </c>
      <c r="N3021" s="1">
        <v>2.63E-2</v>
      </c>
      <c r="O3021" s="1">
        <v>8.3999999999999995E-3</v>
      </c>
      <c r="P3021" s="1">
        <v>8.0000000000000004E-4</v>
      </c>
      <c r="Q3021" s="1">
        <v>5.5800000000000002E-2</v>
      </c>
      <c r="R3021" s="1">
        <v>6.9999999999999999E-4</v>
      </c>
      <c r="S3021" s="1">
        <v>1.03E-2</v>
      </c>
      <c r="T3021" s="1">
        <v>3.5000000000000003E-2</v>
      </c>
    </row>
    <row r="3022" spans="1:20">
      <c r="A3022" s="25" t="s">
        <v>213</v>
      </c>
      <c r="B3022">
        <v>215</v>
      </c>
      <c r="C3022" t="s">
        <v>189</v>
      </c>
      <c r="D3022">
        <v>1149</v>
      </c>
      <c r="E3022" s="1">
        <v>2.3E-3</v>
      </c>
      <c r="F3022" s="1">
        <v>0.18360000000000001</v>
      </c>
      <c r="G3022" s="1">
        <v>0.2989</v>
      </c>
      <c r="H3022" s="1">
        <v>9.0300000000000005E-2</v>
      </c>
      <c r="I3022" s="1">
        <v>0.1308</v>
      </c>
      <c r="J3022" s="1">
        <v>0.36909999999999998</v>
      </c>
      <c r="K3022" s="1">
        <v>8.0000000000000004E-4</v>
      </c>
      <c r="L3022" s="1">
        <v>4.1200000000000001E-2</v>
      </c>
      <c r="M3022" s="1">
        <v>1.8E-3</v>
      </c>
      <c r="N3022" s="1">
        <v>7.0000000000000001E-3</v>
      </c>
      <c r="O3022" s="1">
        <v>1.26E-2</v>
      </c>
      <c r="P3022" s="1">
        <v>5.1999999999999998E-3</v>
      </c>
      <c r="Q3022" s="1">
        <v>6.5199999999999994E-2</v>
      </c>
      <c r="R3022" s="1">
        <v>1.4E-3</v>
      </c>
      <c r="S3022" s="1">
        <v>5.4300000000000001E-2</v>
      </c>
      <c r="T3022" s="1">
        <v>1.5699999999999999E-2</v>
      </c>
    </row>
    <row r="3023" spans="1:20">
      <c r="A3023" s="25" t="s">
        <v>192</v>
      </c>
      <c r="B3023">
        <v>1149</v>
      </c>
      <c r="C3023" t="s">
        <v>192</v>
      </c>
      <c r="D3023">
        <v>1149</v>
      </c>
      <c r="E3023" s="1">
        <v>3.8E-3</v>
      </c>
      <c r="F3023" s="1">
        <v>0.16869999999999999</v>
      </c>
      <c r="G3023" s="1">
        <v>0.2964</v>
      </c>
      <c r="H3023" s="1">
        <v>6.5699999999999995E-2</v>
      </c>
      <c r="I3023" s="1">
        <v>8.4699999999999998E-2</v>
      </c>
      <c r="J3023" s="1">
        <v>0.4244</v>
      </c>
      <c r="K3023" s="1">
        <v>6.7999999999999996E-3</v>
      </c>
      <c r="L3023" s="1">
        <v>6.1699999999999998E-2</v>
      </c>
      <c r="M3023" s="1">
        <v>8.6999999999999994E-3</v>
      </c>
      <c r="N3023" s="1">
        <v>1.7100000000000001E-2</v>
      </c>
      <c r="O3023" s="1">
        <v>9.4000000000000004E-3</v>
      </c>
      <c r="P3023" s="1">
        <v>2.18E-2</v>
      </c>
      <c r="Q3023" s="1">
        <v>5.6899999999999999E-2</v>
      </c>
      <c r="R3023" s="1">
        <v>2.3E-3</v>
      </c>
      <c r="S3023" s="1">
        <v>2.5399999999999999E-2</v>
      </c>
      <c r="T3023" s="1">
        <v>2.5399999999999999E-2</v>
      </c>
    </row>
    <row r="3025" spans="1:20" ht="43.5">
      <c r="A3025" s="25" t="s">
        <v>996</v>
      </c>
    </row>
    <row r="3026" spans="1:20">
      <c r="A3026" s="25" t="s">
        <v>182</v>
      </c>
      <c r="B3026" t="s">
        <v>219</v>
      </c>
      <c r="C3026" t="s">
        <v>181</v>
      </c>
      <c r="D3026" t="s">
        <v>188</v>
      </c>
      <c r="E3026" t="s">
        <v>997</v>
      </c>
      <c r="F3026" t="s">
        <v>998</v>
      </c>
      <c r="G3026" t="s">
        <v>999</v>
      </c>
      <c r="H3026" t="s">
        <v>241</v>
      </c>
      <c r="I3026" t="s">
        <v>1000</v>
      </c>
      <c r="J3026" t="s">
        <v>1001</v>
      </c>
      <c r="K3026" t="s">
        <v>1002</v>
      </c>
      <c r="L3026" t="s">
        <v>1003</v>
      </c>
      <c r="M3026" t="s">
        <v>1004</v>
      </c>
      <c r="N3026" t="s">
        <v>1005</v>
      </c>
      <c r="O3026" t="s">
        <v>1006</v>
      </c>
      <c r="P3026" t="s">
        <v>324</v>
      </c>
      <c r="Q3026" t="s">
        <v>269</v>
      </c>
      <c r="R3026" t="s">
        <v>1007</v>
      </c>
      <c r="S3026" t="s">
        <v>243</v>
      </c>
      <c r="T3026" t="s">
        <v>1008</v>
      </c>
    </row>
    <row r="3027" spans="1:20">
      <c r="A3027" s="25" t="s">
        <v>190</v>
      </c>
      <c r="B3027">
        <v>4879</v>
      </c>
      <c r="C3027" t="s">
        <v>189</v>
      </c>
      <c r="D3027">
        <v>10387</v>
      </c>
      <c r="E3027" s="1">
        <v>2.5999999999999999E-3</v>
      </c>
      <c r="F3027" s="1">
        <v>2.24E-2</v>
      </c>
      <c r="G3027" s="1">
        <v>4.2599999999999999E-2</v>
      </c>
      <c r="H3027" s="1">
        <v>3.0000000000000001E-3</v>
      </c>
      <c r="I3027" s="1">
        <v>5.0000000000000001E-4</v>
      </c>
      <c r="J3027" s="1">
        <v>9.7000000000000003E-3</v>
      </c>
      <c r="K3027" s="1">
        <v>1.37E-2</v>
      </c>
      <c r="M3027" s="1">
        <v>2.8E-3</v>
      </c>
      <c r="N3027" s="1">
        <v>0.1105</v>
      </c>
      <c r="O3027" s="1">
        <v>4.7999999999999996E-3</v>
      </c>
      <c r="P3027" s="1">
        <v>0.82369999999999999</v>
      </c>
      <c r="Q3027" s="1">
        <v>6.0000000000000001E-3</v>
      </c>
      <c r="R3027" s="1">
        <v>1.4E-3</v>
      </c>
      <c r="S3027" s="1">
        <v>2.2000000000000001E-3</v>
      </c>
      <c r="T3027" s="1">
        <v>2.6700000000000002E-2</v>
      </c>
    </row>
    <row r="3028" spans="1:20">
      <c r="A3028" s="25" t="s">
        <v>191</v>
      </c>
      <c r="B3028">
        <v>5451</v>
      </c>
      <c r="C3028" t="s">
        <v>189</v>
      </c>
      <c r="D3028">
        <v>10387</v>
      </c>
      <c r="E3028" s="1">
        <v>2.3E-3</v>
      </c>
      <c r="F3028" s="1">
        <v>7.1999999999999998E-3</v>
      </c>
      <c r="G3028" s="1">
        <v>3.8600000000000002E-2</v>
      </c>
      <c r="H3028" s="1">
        <v>1.1999999999999999E-3</v>
      </c>
      <c r="I3028" s="1">
        <v>3.3E-3</v>
      </c>
      <c r="J3028" s="1">
        <v>2.41E-2</v>
      </c>
      <c r="K3028" s="1">
        <v>2.5499999999999998E-2</v>
      </c>
      <c r="L3028" s="1">
        <v>1.9E-3</v>
      </c>
      <c r="M3028" s="1">
        <v>1.03E-2</v>
      </c>
      <c r="N3028" s="1">
        <v>3.0800000000000001E-2</v>
      </c>
      <c r="O3028" s="1">
        <v>5.7999999999999996E-3</v>
      </c>
      <c r="P3028" s="1">
        <v>0.87770000000000004</v>
      </c>
      <c r="Q3028" s="1">
        <v>3.8999999999999998E-3</v>
      </c>
      <c r="R3028" s="1">
        <v>4.0000000000000002E-4</v>
      </c>
      <c r="S3028" s="1">
        <v>1E-4</v>
      </c>
      <c r="T3028" s="1">
        <v>3.0000000000000001E-3</v>
      </c>
    </row>
    <row r="3029" spans="1:20">
      <c r="A3029" s="25" t="s">
        <v>192</v>
      </c>
      <c r="B3029">
        <v>10387</v>
      </c>
      <c r="C3029" t="s">
        <v>192</v>
      </c>
      <c r="D3029">
        <v>10387</v>
      </c>
      <c r="E3029" s="1">
        <v>2.3999999999999998E-3</v>
      </c>
      <c r="F3029" s="1">
        <v>1.2999999999999999E-2</v>
      </c>
      <c r="G3029" s="1">
        <v>4.02E-2</v>
      </c>
      <c r="H3029" s="1">
        <v>1.9E-3</v>
      </c>
      <c r="I3029" s="1">
        <v>2.2000000000000001E-3</v>
      </c>
      <c r="J3029" s="1">
        <v>1.8599999999999998E-2</v>
      </c>
      <c r="K3029" s="1">
        <v>2.1000000000000001E-2</v>
      </c>
      <c r="L3029" s="1">
        <v>1.1999999999999999E-3</v>
      </c>
      <c r="M3029" s="1">
        <v>7.4000000000000003E-3</v>
      </c>
      <c r="N3029" s="1">
        <v>6.1100000000000002E-2</v>
      </c>
      <c r="O3029" s="1">
        <v>5.4000000000000003E-3</v>
      </c>
      <c r="P3029" s="1">
        <v>0.85709999999999997</v>
      </c>
      <c r="Q3029" s="1">
        <v>4.7000000000000002E-3</v>
      </c>
      <c r="R3029" s="1">
        <v>8.0000000000000004E-4</v>
      </c>
      <c r="S3029" s="1">
        <v>8.9999999999999998E-4</v>
      </c>
      <c r="T3029" s="1">
        <v>1.2E-2</v>
      </c>
    </row>
    <row r="3031" spans="1:20" ht="43.5">
      <c r="A3031" s="25" t="s">
        <v>1009</v>
      </c>
    </row>
    <row r="3032" spans="1:20">
      <c r="A3032" s="25" t="s">
        <v>182</v>
      </c>
      <c r="B3032" t="s">
        <v>219</v>
      </c>
      <c r="C3032" t="s">
        <v>181</v>
      </c>
      <c r="D3032" t="s">
        <v>188</v>
      </c>
      <c r="E3032" t="s">
        <v>997</v>
      </c>
      <c r="F3032" t="s">
        <v>998</v>
      </c>
      <c r="G3032" t="s">
        <v>999</v>
      </c>
      <c r="H3032" t="s">
        <v>241</v>
      </c>
      <c r="I3032" t="s">
        <v>1000</v>
      </c>
      <c r="J3032" t="s">
        <v>1001</v>
      </c>
      <c r="K3032" t="s">
        <v>1002</v>
      </c>
      <c r="L3032" t="s">
        <v>1003</v>
      </c>
      <c r="M3032" t="s">
        <v>1004</v>
      </c>
      <c r="N3032" t="s">
        <v>1005</v>
      </c>
      <c r="O3032" t="s">
        <v>1006</v>
      </c>
      <c r="P3032" t="s">
        <v>324</v>
      </c>
      <c r="Q3032" t="s">
        <v>269</v>
      </c>
      <c r="R3032" t="s">
        <v>1007</v>
      </c>
      <c r="S3032" t="s">
        <v>243</v>
      </c>
      <c r="T3032" t="s">
        <v>1008</v>
      </c>
    </row>
    <row r="3033" spans="1:20" ht="29.1">
      <c r="A3033" s="25" t="s">
        <v>194</v>
      </c>
      <c r="B3033">
        <v>5937</v>
      </c>
      <c r="C3033" t="s">
        <v>189</v>
      </c>
      <c r="D3033">
        <v>10387</v>
      </c>
      <c r="E3033" s="1">
        <v>6.9999999999999999E-4</v>
      </c>
      <c r="F3033" s="1">
        <v>1.2699999999999999E-2</v>
      </c>
      <c r="G3033" s="1">
        <v>3.7499999999999999E-2</v>
      </c>
      <c r="H3033" s="1">
        <v>2.2000000000000001E-3</v>
      </c>
      <c r="I3033" s="1">
        <v>2.3E-3</v>
      </c>
      <c r="J3033" s="1">
        <v>4.0000000000000002E-4</v>
      </c>
      <c r="K3033" s="1">
        <v>2.0999999999999999E-3</v>
      </c>
      <c r="L3033" s="1">
        <v>2.0000000000000001E-4</v>
      </c>
      <c r="M3033" s="1">
        <v>3.7000000000000002E-3</v>
      </c>
      <c r="N3033" s="1">
        <v>6.1499999999999999E-2</v>
      </c>
      <c r="O3033" s="1">
        <v>4.4000000000000003E-3</v>
      </c>
      <c r="P3033" s="1">
        <v>0.88290000000000002</v>
      </c>
      <c r="Q3033" s="1">
        <v>3.5999999999999999E-3</v>
      </c>
      <c r="R3033" s="1">
        <v>6.9999999999999999E-4</v>
      </c>
      <c r="S3033" s="1">
        <v>1.1999999999999999E-3</v>
      </c>
      <c r="T3033" s="1">
        <v>1.1299999999999999E-2</v>
      </c>
    </row>
    <row r="3034" spans="1:20" ht="29.1">
      <c r="A3034" s="25" t="s">
        <v>195</v>
      </c>
      <c r="B3034">
        <v>2687</v>
      </c>
      <c r="C3034" t="s">
        <v>189</v>
      </c>
      <c r="D3034">
        <v>10387</v>
      </c>
      <c r="E3034" s="1">
        <v>2E-3</v>
      </c>
      <c r="F3034" s="1">
        <v>1.4E-2</v>
      </c>
      <c r="G3034" s="1">
        <v>4.9299999999999997E-2</v>
      </c>
      <c r="H3034" s="1">
        <v>5.9999999999999995E-4</v>
      </c>
      <c r="I3034" s="1">
        <v>2.0000000000000001E-4</v>
      </c>
      <c r="J3034" s="1">
        <v>1.5800000000000002E-2</v>
      </c>
      <c r="K3034" s="1">
        <v>2.5700000000000001E-2</v>
      </c>
      <c r="L3034" s="1">
        <v>3.0000000000000001E-3</v>
      </c>
      <c r="M3034" s="1">
        <v>1.18E-2</v>
      </c>
      <c r="N3034" s="1">
        <v>6.9199999999999998E-2</v>
      </c>
      <c r="O3034" s="1">
        <v>6.8999999999999999E-3</v>
      </c>
      <c r="P3034" s="1">
        <v>0.84130000000000005</v>
      </c>
      <c r="Q3034" s="1">
        <v>3.5999999999999999E-3</v>
      </c>
      <c r="R3034" s="1">
        <v>1.6000000000000001E-3</v>
      </c>
      <c r="S3034" s="1">
        <v>2.0000000000000001E-4</v>
      </c>
      <c r="T3034" s="1">
        <v>1.61E-2</v>
      </c>
    </row>
    <row r="3035" spans="1:20" ht="29.1">
      <c r="A3035" s="25" t="s">
        <v>196</v>
      </c>
      <c r="B3035">
        <v>1706</v>
      </c>
      <c r="C3035" t="s">
        <v>189</v>
      </c>
      <c r="D3035">
        <v>10387</v>
      </c>
      <c r="E3035" s="1">
        <v>1.6799999999999999E-2</v>
      </c>
      <c r="F3035" s="1">
        <v>1.32E-2</v>
      </c>
      <c r="G3035" s="1">
        <v>4.1500000000000002E-2</v>
      </c>
      <c r="H3035" s="1">
        <v>1.9E-3</v>
      </c>
      <c r="I3035" s="1">
        <v>5.5999999999999999E-3</v>
      </c>
      <c r="J3035" s="1">
        <v>0.1641</v>
      </c>
      <c r="K3035" s="1">
        <v>0.15590000000000001</v>
      </c>
      <c r="L3035" s="1">
        <v>5.1000000000000004E-3</v>
      </c>
      <c r="M3035" s="1">
        <v>2.69E-2</v>
      </c>
      <c r="N3035" s="1">
        <v>4.2500000000000003E-2</v>
      </c>
      <c r="O3035" s="1">
        <v>1.01E-2</v>
      </c>
      <c r="P3035" s="1">
        <v>0.69210000000000005</v>
      </c>
      <c r="Q3035" s="1">
        <v>1.5299999999999999E-2</v>
      </c>
      <c r="R3035" s="1">
        <v>2.0000000000000001E-4</v>
      </c>
      <c r="T3035" s="1">
        <v>8.9999999999999993E-3</v>
      </c>
    </row>
    <row r="3036" spans="1:20">
      <c r="A3036" s="25" t="s">
        <v>192</v>
      </c>
      <c r="B3036">
        <v>10387</v>
      </c>
      <c r="C3036" t="s">
        <v>192</v>
      </c>
      <c r="D3036">
        <v>10387</v>
      </c>
      <c r="E3036" s="1">
        <v>2.3999999999999998E-3</v>
      </c>
      <c r="F3036" s="1">
        <v>1.2999999999999999E-2</v>
      </c>
      <c r="G3036" s="1">
        <v>4.02E-2</v>
      </c>
      <c r="H3036" s="1">
        <v>1.9E-3</v>
      </c>
      <c r="I3036" s="1">
        <v>2.2000000000000001E-3</v>
      </c>
      <c r="J3036" s="1">
        <v>1.8599999999999998E-2</v>
      </c>
      <c r="K3036" s="1">
        <v>2.1000000000000001E-2</v>
      </c>
      <c r="L3036" s="1">
        <v>1.1999999999999999E-3</v>
      </c>
      <c r="M3036" s="1">
        <v>7.4000000000000003E-3</v>
      </c>
      <c r="N3036" s="1">
        <v>6.1100000000000002E-2</v>
      </c>
      <c r="O3036" s="1">
        <v>5.4000000000000003E-3</v>
      </c>
      <c r="P3036" s="1">
        <v>0.85709999999999997</v>
      </c>
      <c r="Q3036" s="1">
        <v>4.7000000000000002E-3</v>
      </c>
      <c r="R3036" s="1">
        <v>8.0000000000000004E-4</v>
      </c>
      <c r="S3036" s="1">
        <v>8.9999999999999998E-4</v>
      </c>
      <c r="T3036" s="1">
        <v>1.2E-2</v>
      </c>
    </row>
    <row r="3038" spans="1:20" ht="43.5">
      <c r="A3038" s="25" t="s">
        <v>1010</v>
      </c>
    </row>
    <row r="3039" spans="1:20">
      <c r="A3039" s="25" t="s">
        <v>182</v>
      </c>
      <c r="B3039" t="s">
        <v>219</v>
      </c>
      <c r="C3039" t="s">
        <v>181</v>
      </c>
      <c r="D3039" t="s">
        <v>188</v>
      </c>
      <c r="E3039" t="s">
        <v>997</v>
      </c>
      <c r="F3039" t="s">
        <v>998</v>
      </c>
      <c r="G3039" t="s">
        <v>999</v>
      </c>
      <c r="H3039" t="s">
        <v>241</v>
      </c>
      <c r="I3039" t="s">
        <v>1000</v>
      </c>
      <c r="J3039" t="s">
        <v>1001</v>
      </c>
      <c r="K3039" t="s">
        <v>1002</v>
      </c>
      <c r="L3039" t="s">
        <v>1003</v>
      </c>
      <c r="M3039" t="s">
        <v>1004</v>
      </c>
      <c r="N3039" t="s">
        <v>1005</v>
      </c>
      <c r="O3039" t="s">
        <v>1006</v>
      </c>
      <c r="P3039" t="s">
        <v>324</v>
      </c>
      <c r="Q3039" t="s">
        <v>269</v>
      </c>
      <c r="R3039" t="s">
        <v>1007</v>
      </c>
      <c r="S3039" t="s">
        <v>243</v>
      </c>
      <c r="T3039" t="s">
        <v>1008</v>
      </c>
    </row>
    <row r="3040" spans="1:20">
      <c r="A3040" s="25" t="s">
        <v>198</v>
      </c>
      <c r="B3040">
        <v>2254</v>
      </c>
      <c r="C3040" t="s">
        <v>189</v>
      </c>
      <c r="D3040">
        <v>10387</v>
      </c>
      <c r="E3040" s="1">
        <v>4.1000000000000003E-3</v>
      </c>
      <c r="F3040" s="1">
        <v>2.0899999999999998E-2</v>
      </c>
      <c r="G3040" s="1">
        <v>0.16259999999999999</v>
      </c>
      <c r="H3040" s="1">
        <v>2.8999999999999998E-3</v>
      </c>
      <c r="I3040" s="1">
        <v>1E-3</v>
      </c>
      <c r="J3040" s="1">
        <v>2.0199999999999999E-2</v>
      </c>
      <c r="K3040" s="1">
        <v>2.3E-2</v>
      </c>
      <c r="L3040" s="1">
        <v>1.2999999999999999E-3</v>
      </c>
      <c r="M3040" s="1">
        <v>6.8999999999999999E-3</v>
      </c>
      <c r="N3040" s="1">
        <v>0.1128</v>
      </c>
      <c r="O3040" s="1">
        <v>9.9000000000000008E-3</v>
      </c>
      <c r="P3040" s="1">
        <v>0.70109999999999995</v>
      </c>
      <c r="Q3040" s="1">
        <v>5.7999999999999996E-3</v>
      </c>
      <c r="R3040" s="1">
        <v>3.8E-3</v>
      </c>
      <c r="S3040" s="1">
        <v>6.9999999999999999E-4</v>
      </c>
      <c r="T3040" s="1">
        <v>2.2700000000000001E-2</v>
      </c>
    </row>
    <row r="3041" spans="1:20">
      <c r="A3041" s="25" t="s">
        <v>199</v>
      </c>
      <c r="B3041">
        <v>8133</v>
      </c>
      <c r="C3041" t="s">
        <v>189</v>
      </c>
      <c r="D3041">
        <v>10387</v>
      </c>
      <c r="E3041" s="1">
        <v>2.0999999999999999E-3</v>
      </c>
      <c r="F3041" s="1">
        <v>1.12E-2</v>
      </c>
      <c r="G3041" s="1">
        <v>1.26E-2</v>
      </c>
      <c r="H3041" s="1">
        <v>1.6000000000000001E-3</v>
      </c>
      <c r="I3041" s="1">
        <v>2.5000000000000001E-3</v>
      </c>
      <c r="J3041" s="1">
        <v>1.8200000000000001E-2</v>
      </c>
      <c r="K3041" s="1">
        <v>2.06E-2</v>
      </c>
      <c r="L3041" s="1">
        <v>1.1000000000000001E-3</v>
      </c>
      <c r="M3041" s="1">
        <v>7.4999999999999997E-3</v>
      </c>
      <c r="N3041" s="1">
        <v>4.9500000000000002E-2</v>
      </c>
      <c r="O3041" s="1">
        <v>4.4000000000000003E-3</v>
      </c>
      <c r="P3041" s="1">
        <v>0.89219999999999999</v>
      </c>
      <c r="Q3041" s="1">
        <v>4.4000000000000003E-3</v>
      </c>
      <c r="R3041" s="1">
        <v>1E-4</v>
      </c>
      <c r="S3041" s="1">
        <v>8.9999999999999998E-4</v>
      </c>
      <c r="T3041" s="1">
        <v>9.5999999999999992E-3</v>
      </c>
    </row>
    <row r="3042" spans="1:20">
      <c r="A3042" s="25" t="s">
        <v>192</v>
      </c>
      <c r="B3042">
        <v>10387</v>
      </c>
      <c r="C3042" t="s">
        <v>192</v>
      </c>
      <c r="D3042">
        <v>10387</v>
      </c>
      <c r="E3042" s="1">
        <v>2.3999999999999998E-3</v>
      </c>
      <c r="F3042" s="1">
        <v>1.2999999999999999E-2</v>
      </c>
      <c r="G3042" s="1">
        <v>4.02E-2</v>
      </c>
      <c r="H3042" s="1">
        <v>1.9E-3</v>
      </c>
      <c r="I3042" s="1">
        <v>2.2000000000000001E-3</v>
      </c>
      <c r="J3042" s="1">
        <v>1.8599999999999998E-2</v>
      </c>
      <c r="K3042" s="1">
        <v>2.1000000000000001E-2</v>
      </c>
      <c r="L3042" s="1">
        <v>1.1999999999999999E-3</v>
      </c>
      <c r="M3042" s="1">
        <v>7.4000000000000003E-3</v>
      </c>
      <c r="N3042" s="1">
        <v>6.1100000000000002E-2</v>
      </c>
      <c r="O3042" s="1">
        <v>5.4000000000000003E-3</v>
      </c>
      <c r="P3042" s="1">
        <v>0.85709999999999997</v>
      </c>
      <c r="Q3042" s="1">
        <v>4.7000000000000002E-3</v>
      </c>
      <c r="R3042" s="1">
        <v>8.0000000000000004E-4</v>
      </c>
      <c r="S3042" s="1">
        <v>8.9999999999999998E-4</v>
      </c>
      <c r="T3042" s="1">
        <v>1.2E-2</v>
      </c>
    </row>
    <row r="3044" spans="1:20" ht="43.5">
      <c r="A3044" s="25" t="s">
        <v>1011</v>
      </c>
    </row>
    <row r="3045" spans="1:20">
      <c r="A3045" s="25" t="s">
        <v>182</v>
      </c>
      <c r="B3045" t="s">
        <v>219</v>
      </c>
      <c r="C3045" t="s">
        <v>181</v>
      </c>
      <c r="D3045" t="s">
        <v>188</v>
      </c>
      <c r="E3045" t="s">
        <v>997</v>
      </c>
      <c r="F3045" t="s">
        <v>998</v>
      </c>
      <c r="G3045" t="s">
        <v>999</v>
      </c>
      <c r="H3045" t="s">
        <v>241</v>
      </c>
      <c r="I3045" t="s">
        <v>1000</v>
      </c>
      <c r="J3045" t="s">
        <v>1001</v>
      </c>
      <c r="K3045" t="s">
        <v>1002</v>
      </c>
      <c r="L3045" t="s">
        <v>1003</v>
      </c>
      <c r="M3045" t="s">
        <v>1004</v>
      </c>
      <c r="N3045" t="s">
        <v>1005</v>
      </c>
      <c r="O3045" t="s">
        <v>1006</v>
      </c>
      <c r="P3045" t="s">
        <v>324</v>
      </c>
      <c r="Q3045" t="s">
        <v>269</v>
      </c>
      <c r="R3045" t="s">
        <v>1007</v>
      </c>
      <c r="S3045" t="s">
        <v>243</v>
      </c>
      <c r="T3045" t="s">
        <v>1008</v>
      </c>
    </row>
    <row r="3046" spans="1:20">
      <c r="A3046" s="25" t="s">
        <v>201</v>
      </c>
      <c r="B3046">
        <v>761</v>
      </c>
      <c r="C3046" t="s">
        <v>189</v>
      </c>
      <c r="D3046">
        <v>10387</v>
      </c>
      <c r="E3046" s="1">
        <v>7.9000000000000008E-3</v>
      </c>
      <c r="F3046" s="1">
        <v>1.17E-2</v>
      </c>
      <c r="G3046" s="1">
        <v>4.5199999999999997E-2</v>
      </c>
      <c r="H3046" s="1">
        <v>1.8E-3</v>
      </c>
      <c r="I3046" s="1">
        <v>6.3E-3</v>
      </c>
      <c r="J3046" s="1">
        <v>2.7799999999999998E-2</v>
      </c>
      <c r="K3046" s="1">
        <v>3.9600000000000003E-2</v>
      </c>
      <c r="M3046" s="1">
        <v>1.9E-3</v>
      </c>
      <c r="N3046" s="1">
        <v>6.83E-2</v>
      </c>
      <c r="O3046" s="1">
        <v>1.4500000000000001E-2</v>
      </c>
      <c r="P3046" s="1">
        <v>0.82689999999999997</v>
      </c>
      <c r="Q3046" s="1">
        <v>4.8999999999999998E-3</v>
      </c>
      <c r="S3046" s="1">
        <v>2E-3</v>
      </c>
      <c r="T3046" s="1">
        <v>1.6400000000000001E-2</v>
      </c>
    </row>
    <row r="3047" spans="1:20">
      <c r="A3047" s="25" t="s">
        <v>202</v>
      </c>
      <c r="B3047">
        <v>110</v>
      </c>
      <c r="C3047" t="s">
        <v>189</v>
      </c>
      <c r="D3047">
        <v>10387</v>
      </c>
      <c r="E3047" s="1">
        <v>1.7299999999999999E-2</v>
      </c>
      <c r="F3047" s="1">
        <v>1.89E-2</v>
      </c>
      <c r="G3047" s="1">
        <v>1.4200000000000001E-2</v>
      </c>
      <c r="H3047" s="1">
        <v>3.0999999999999999E-3</v>
      </c>
      <c r="J3047" s="1">
        <v>0.12820000000000001</v>
      </c>
      <c r="K3047" s="1">
        <v>8.7900000000000006E-2</v>
      </c>
      <c r="N3047" s="1">
        <v>7.7799999999999994E-2</v>
      </c>
      <c r="P3047" s="1">
        <v>0.7883</v>
      </c>
      <c r="Q3047" s="1">
        <v>3.3E-3</v>
      </c>
      <c r="T3047" s="1">
        <v>6.7000000000000002E-3</v>
      </c>
    </row>
    <row r="3048" spans="1:20">
      <c r="A3048" s="25" t="s">
        <v>203</v>
      </c>
      <c r="B3048">
        <v>8012</v>
      </c>
      <c r="C3048" t="s">
        <v>189</v>
      </c>
      <c r="D3048">
        <v>10387</v>
      </c>
      <c r="E3048" s="1">
        <v>1.1999999999999999E-3</v>
      </c>
      <c r="F3048" s="1">
        <v>1.3599999999999999E-2</v>
      </c>
      <c r="G3048" s="1">
        <v>4.3999999999999997E-2</v>
      </c>
      <c r="H3048" s="1">
        <v>2.0999999999999999E-3</v>
      </c>
      <c r="I3048" s="1">
        <v>1.5E-3</v>
      </c>
      <c r="J3048" s="1">
        <v>1.37E-2</v>
      </c>
      <c r="K3048" s="1">
        <v>1.5800000000000002E-2</v>
      </c>
      <c r="L3048" s="1">
        <v>1.2999999999999999E-3</v>
      </c>
      <c r="M3048" s="1">
        <v>6.8999999999999999E-3</v>
      </c>
      <c r="N3048" s="1">
        <v>6.5199999999999994E-2</v>
      </c>
      <c r="O3048" s="1">
        <v>3.8E-3</v>
      </c>
      <c r="P3048" s="1">
        <v>0.85829999999999995</v>
      </c>
      <c r="Q3048" s="1">
        <v>3.0999999999999999E-3</v>
      </c>
      <c r="R3048" s="1">
        <v>1E-3</v>
      </c>
      <c r="S3048" s="1">
        <v>8.0000000000000004E-4</v>
      </c>
      <c r="T3048" s="1">
        <v>1.2699999999999999E-2</v>
      </c>
    </row>
    <row r="3049" spans="1:20">
      <c r="A3049" s="25" t="s">
        <v>204</v>
      </c>
      <c r="B3049">
        <v>31</v>
      </c>
      <c r="C3049" t="s">
        <v>189</v>
      </c>
      <c r="D3049">
        <v>10387</v>
      </c>
      <c r="E3049" s="1">
        <v>7.7000000000000002E-3</v>
      </c>
      <c r="F3049" s="1">
        <v>1.8499999999999999E-2</v>
      </c>
      <c r="G3049" s="1">
        <v>1.0800000000000001E-2</v>
      </c>
      <c r="H3049" s="1">
        <v>1.23E-2</v>
      </c>
      <c r="J3049" s="1">
        <v>7.7000000000000002E-3</v>
      </c>
      <c r="K3049" s="1">
        <v>7.7000000000000002E-3</v>
      </c>
      <c r="N3049" s="1">
        <v>8.0399999999999999E-2</v>
      </c>
      <c r="O3049" s="1">
        <v>1.0800000000000001E-2</v>
      </c>
      <c r="P3049" s="1">
        <v>0.81640000000000001</v>
      </c>
      <c r="S3049" s="1">
        <v>7.2400000000000006E-2</v>
      </c>
    </row>
    <row r="3050" spans="1:20">
      <c r="A3050" s="25" t="s">
        <v>205</v>
      </c>
      <c r="B3050">
        <v>1473</v>
      </c>
      <c r="C3050" t="s">
        <v>189</v>
      </c>
      <c r="D3050">
        <v>10387</v>
      </c>
      <c r="E3050" s="1">
        <v>5.8999999999999999E-3</v>
      </c>
      <c r="F3050" s="1">
        <v>9.9000000000000008E-3</v>
      </c>
      <c r="G3050" s="1">
        <v>1.7100000000000001E-2</v>
      </c>
      <c r="H3050" s="1">
        <v>2.0000000000000001E-4</v>
      </c>
      <c r="I3050" s="1">
        <v>4.1000000000000003E-3</v>
      </c>
      <c r="J3050" s="1">
        <v>3.7699999999999997E-2</v>
      </c>
      <c r="K3050" s="1">
        <v>3.9100000000000003E-2</v>
      </c>
      <c r="L3050" s="1">
        <v>1E-3</v>
      </c>
      <c r="M3050" s="1">
        <v>1.34E-2</v>
      </c>
      <c r="N3050" s="1">
        <v>3.3399999999999999E-2</v>
      </c>
      <c r="O3050" s="1">
        <v>1.0200000000000001E-2</v>
      </c>
      <c r="P3050" s="1">
        <v>0.86919999999999997</v>
      </c>
      <c r="Q3050" s="1">
        <v>1.35E-2</v>
      </c>
      <c r="R3050" s="1">
        <v>2.0000000000000001E-4</v>
      </c>
      <c r="T3050" s="1">
        <v>6.1999999999999998E-3</v>
      </c>
    </row>
    <row r="3051" spans="1:20">
      <c r="A3051" s="25" t="s">
        <v>192</v>
      </c>
      <c r="B3051">
        <v>10387</v>
      </c>
      <c r="C3051" t="s">
        <v>192</v>
      </c>
      <c r="D3051">
        <v>10387</v>
      </c>
      <c r="E3051" s="1">
        <v>2.3999999999999998E-3</v>
      </c>
      <c r="F3051" s="1">
        <v>1.2999999999999999E-2</v>
      </c>
      <c r="G3051" s="1">
        <v>4.02E-2</v>
      </c>
      <c r="H3051" s="1">
        <v>1.9E-3</v>
      </c>
      <c r="I3051" s="1">
        <v>2.2000000000000001E-3</v>
      </c>
      <c r="J3051" s="1">
        <v>1.8599999999999998E-2</v>
      </c>
      <c r="K3051" s="1">
        <v>2.1000000000000001E-2</v>
      </c>
      <c r="L3051" s="1">
        <v>1.1999999999999999E-3</v>
      </c>
      <c r="M3051" s="1">
        <v>7.4000000000000003E-3</v>
      </c>
      <c r="N3051" s="1">
        <v>6.1100000000000002E-2</v>
      </c>
      <c r="O3051" s="1">
        <v>5.4000000000000003E-3</v>
      </c>
      <c r="P3051" s="1">
        <v>0.85709999999999997</v>
      </c>
      <c r="Q3051" s="1">
        <v>4.7000000000000002E-3</v>
      </c>
      <c r="R3051" s="1">
        <v>8.0000000000000004E-4</v>
      </c>
      <c r="S3051" s="1">
        <v>8.9999999999999998E-4</v>
      </c>
      <c r="T3051" s="1">
        <v>1.2E-2</v>
      </c>
    </row>
    <row r="3053" spans="1:20" ht="43.5">
      <c r="A3053" s="25" t="s">
        <v>1012</v>
      </c>
    </row>
    <row r="3054" spans="1:20">
      <c r="A3054" s="25" t="s">
        <v>182</v>
      </c>
      <c r="B3054" t="s">
        <v>219</v>
      </c>
      <c r="C3054" t="s">
        <v>181</v>
      </c>
      <c r="D3054" t="s">
        <v>188</v>
      </c>
      <c r="E3054" t="s">
        <v>997</v>
      </c>
      <c r="F3054" t="s">
        <v>998</v>
      </c>
      <c r="G3054" t="s">
        <v>999</v>
      </c>
      <c r="H3054" t="s">
        <v>241</v>
      </c>
      <c r="I3054" t="s">
        <v>1000</v>
      </c>
      <c r="J3054" t="s">
        <v>1001</v>
      </c>
      <c r="K3054" t="s">
        <v>1002</v>
      </c>
      <c r="L3054" t="s">
        <v>1003</v>
      </c>
      <c r="M3054" t="s">
        <v>1004</v>
      </c>
      <c r="N3054" t="s">
        <v>1005</v>
      </c>
      <c r="O3054" t="s">
        <v>1006</v>
      </c>
      <c r="P3054" t="s">
        <v>324</v>
      </c>
      <c r="Q3054" t="s">
        <v>269</v>
      </c>
      <c r="R3054" t="s">
        <v>1007</v>
      </c>
      <c r="S3054" t="s">
        <v>243</v>
      </c>
      <c r="T3054" t="s">
        <v>1008</v>
      </c>
    </row>
    <row r="3055" spans="1:20">
      <c r="A3055" s="25" t="s">
        <v>207</v>
      </c>
      <c r="B3055">
        <v>7226</v>
      </c>
      <c r="C3055" t="s">
        <v>189</v>
      </c>
      <c r="D3055">
        <v>10387</v>
      </c>
      <c r="E3055" s="1">
        <v>2.8E-3</v>
      </c>
      <c r="F3055" s="1">
        <v>1.46E-2</v>
      </c>
      <c r="G3055" s="1">
        <v>2.9000000000000001E-2</v>
      </c>
      <c r="H3055" s="1">
        <v>1.8E-3</v>
      </c>
      <c r="I3055" s="1">
        <v>1.2999999999999999E-3</v>
      </c>
      <c r="J3055" s="1">
        <v>2.1100000000000001E-2</v>
      </c>
      <c r="K3055" s="1">
        <v>2.1899999999999999E-2</v>
      </c>
      <c r="L3055" s="1">
        <v>1.1000000000000001E-3</v>
      </c>
      <c r="M3055" s="1">
        <v>8.8999999999999999E-3</v>
      </c>
      <c r="N3055" s="1">
        <v>5.2600000000000001E-2</v>
      </c>
      <c r="O3055" s="1">
        <v>6.7999999999999996E-3</v>
      </c>
      <c r="P3055" s="1">
        <v>0.87039999999999995</v>
      </c>
      <c r="Q3055" s="1">
        <v>4.4999999999999997E-3</v>
      </c>
      <c r="R3055" s="1">
        <v>8.0000000000000004E-4</v>
      </c>
      <c r="S3055" s="1">
        <v>8.9999999999999998E-4</v>
      </c>
      <c r="T3055" s="1">
        <v>1.0500000000000001E-2</v>
      </c>
    </row>
    <row r="3056" spans="1:20">
      <c r="A3056" s="25" t="s">
        <v>208</v>
      </c>
      <c r="B3056">
        <v>2232</v>
      </c>
      <c r="C3056" t="s">
        <v>189</v>
      </c>
      <c r="D3056">
        <v>10387</v>
      </c>
      <c r="E3056" s="1">
        <v>1.1999999999999999E-3</v>
      </c>
      <c r="F3056" s="1">
        <v>7.7999999999999996E-3</v>
      </c>
      <c r="G3056" s="1">
        <v>8.5400000000000004E-2</v>
      </c>
      <c r="H3056" s="1">
        <v>1.6999999999999999E-3</v>
      </c>
      <c r="I3056" s="1">
        <v>4.4000000000000003E-3</v>
      </c>
      <c r="J3056" s="1">
        <v>1.3899999999999999E-2</v>
      </c>
      <c r="K3056" s="1">
        <v>1.9699999999999999E-2</v>
      </c>
      <c r="L3056" s="1">
        <v>1.6000000000000001E-3</v>
      </c>
      <c r="M3056" s="1">
        <v>4.3E-3</v>
      </c>
      <c r="N3056" s="1">
        <v>8.5300000000000001E-2</v>
      </c>
      <c r="P3056" s="1">
        <v>0.80669999999999997</v>
      </c>
      <c r="Q3056" s="1">
        <v>6.1000000000000004E-3</v>
      </c>
      <c r="R3056" s="1">
        <v>5.0000000000000001E-4</v>
      </c>
      <c r="S3056" s="1">
        <v>1.1999999999999999E-3</v>
      </c>
      <c r="T3056" s="1">
        <v>1.4999999999999999E-2</v>
      </c>
    </row>
    <row r="3057" spans="1:20">
      <c r="A3057" s="25" t="s">
        <v>209</v>
      </c>
      <c r="B3057">
        <v>929</v>
      </c>
      <c r="C3057" t="s">
        <v>189</v>
      </c>
      <c r="D3057">
        <v>10387</v>
      </c>
      <c r="E3057" s="1">
        <v>2.7000000000000001E-3</v>
      </c>
      <c r="F3057" s="1">
        <v>1.3299999999999999E-2</v>
      </c>
      <c r="G3057" s="1">
        <v>1.0200000000000001E-2</v>
      </c>
      <c r="H3057" s="1">
        <v>2.8999999999999998E-3</v>
      </c>
      <c r="I3057" s="1">
        <v>3.8999999999999998E-3</v>
      </c>
      <c r="J3057" s="1">
        <v>1.01E-2</v>
      </c>
      <c r="K3057" s="1">
        <v>1.6799999999999999E-2</v>
      </c>
      <c r="L3057" s="1">
        <v>2.0000000000000001E-4</v>
      </c>
      <c r="M3057" s="1">
        <v>3.0000000000000001E-3</v>
      </c>
      <c r="N3057" s="1">
        <v>6.83E-2</v>
      </c>
      <c r="O3057" s="1">
        <v>8.9999999999999993E-3</v>
      </c>
      <c r="P3057" s="1">
        <v>0.88390000000000002</v>
      </c>
      <c r="Q3057" s="1">
        <v>2.7000000000000001E-3</v>
      </c>
      <c r="R3057" s="1">
        <v>1.6000000000000001E-3</v>
      </c>
      <c r="T3057" s="1">
        <v>1.6500000000000001E-2</v>
      </c>
    </row>
    <row r="3058" spans="1:20">
      <c r="A3058" s="25" t="s">
        <v>192</v>
      </c>
      <c r="B3058">
        <v>10387</v>
      </c>
      <c r="C3058" t="s">
        <v>192</v>
      </c>
      <c r="D3058">
        <v>10387</v>
      </c>
      <c r="E3058" s="1">
        <v>2.3999999999999998E-3</v>
      </c>
      <c r="F3058" s="1">
        <v>1.2999999999999999E-2</v>
      </c>
      <c r="G3058" s="1">
        <v>4.02E-2</v>
      </c>
      <c r="H3058" s="1">
        <v>1.9E-3</v>
      </c>
      <c r="I3058" s="1">
        <v>2.2000000000000001E-3</v>
      </c>
      <c r="J3058" s="1">
        <v>1.8599999999999998E-2</v>
      </c>
      <c r="K3058" s="1">
        <v>2.1000000000000001E-2</v>
      </c>
      <c r="L3058" s="1">
        <v>1.1999999999999999E-3</v>
      </c>
      <c r="M3058" s="1">
        <v>7.4000000000000003E-3</v>
      </c>
      <c r="N3058" s="1">
        <v>6.1100000000000002E-2</v>
      </c>
      <c r="O3058" s="1">
        <v>5.4000000000000003E-3</v>
      </c>
      <c r="P3058" s="1">
        <v>0.85709999999999997</v>
      </c>
      <c r="Q3058" s="1">
        <v>4.7000000000000002E-3</v>
      </c>
      <c r="R3058" s="1">
        <v>8.0000000000000004E-4</v>
      </c>
      <c r="S3058" s="1">
        <v>8.9999999999999998E-4</v>
      </c>
      <c r="T3058" s="1">
        <v>1.2E-2</v>
      </c>
    </row>
    <row r="3060" spans="1:20" ht="43.5">
      <c r="A3060" s="25" t="s">
        <v>1013</v>
      </c>
    </row>
    <row r="3061" spans="1:20">
      <c r="A3061" s="25" t="s">
        <v>182</v>
      </c>
      <c r="B3061" t="s">
        <v>219</v>
      </c>
      <c r="C3061" t="s">
        <v>181</v>
      </c>
      <c r="D3061" t="s">
        <v>188</v>
      </c>
      <c r="E3061" t="s">
        <v>997</v>
      </c>
      <c r="F3061" t="s">
        <v>998</v>
      </c>
      <c r="G3061" t="s">
        <v>999</v>
      </c>
      <c r="H3061" t="s">
        <v>241</v>
      </c>
      <c r="I3061" t="s">
        <v>1000</v>
      </c>
      <c r="J3061" t="s">
        <v>1001</v>
      </c>
      <c r="K3061" t="s">
        <v>1002</v>
      </c>
      <c r="L3061" t="s">
        <v>1003</v>
      </c>
      <c r="M3061" t="s">
        <v>1004</v>
      </c>
      <c r="N3061" t="s">
        <v>1005</v>
      </c>
      <c r="O3061" t="s">
        <v>1006</v>
      </c>
      <c r="P3061" t="s">
        <v>324</v>
      </c>
      <c r="Q3061" t="s">
        <v>269</v>
      </c>
      <c r="R3061" t="s">
        <v>1007</v>
      </c>
      <c r="S3061" t="s">
        <v>243</v>
      </c>
      <c r="T3061" t="s">
        <v>1008</v>
      </c>
    </row>
    <row r="3062" spans="1:20">
      <c r="A3062" s="25" t="s">
        <v>211</v>
      </c>
      <c r="B3062">
        <v>4955</v>
      </c>
      <c r="C3062" t="s">
        <v>189</v>
      </c>
      <c r="D3062">
        <v>10387</v>
      </c>
      <c r="E3062" s="1">
        <v>3.3E-3</v>
      </c>
      <c r="F3062" s="1">
        <v>1.5900000000000001E-2</v>
      </c>
      <c r="G3062" s="1">
        <v>2.7E-2</v>
      </c>
      <c r="H3062" s="1">
        <v>1.5E-3</v>
      </c>
      <c r="I3062" s="1">
        <v>1E-3</v>
      </c>
      <c r="J3062" s="1">
        <v>2.0299999999999999E-2</v>
      </c>
      <c r="K3062" s="1">
        <v>2.0799999999999999E-2</v>
      </c>
      <c r="L3062" s="1">
        <v>8.0000000000000004E-4</v>
      </c>
      <c r="M3062" s="1">
        <v>7.9000000000000008E-3</v>
      </c>
      <c r="N3062" s="1">
        <v>5.2299999999999999E-2</v>
      </c>
      <c r="O3062" s="1">
        <v>5.3E-3</v>
      </c>
      <c r="P3062" s="1">
        <v>0.87360000000000004</v>
      </c>
      <c r="Q3062" s="1">
        <v>3.3999999999999998E-3</v>
      </c>
      <c r="R3062" s="1">
        <v>4.0000000000000002E-4</v>
      </c>
      <c r="S3062" s="1">
        <v>6.9999999999999999E-4</v>
      </c>
      <c r="T3062" s="1">
        <v>1.0699999999999999E-2</v>
      </c>
    </row>
    <row r="3063" spans="1:20">
      <c r="A3063" s="25" t="s">
        <v>212</v>
      </c>
      <c r="B3063">
        <v>3359</v>
      </c>
      <c r="C3063" t="s">
        <v>189</v>
      </c>
      <c r="D3063">
        <v>10387</v>
      </c>
      <c r="E3063" s="1">
        <v>1.5E-3</v>
      </c>
      <c r="F3063" s="1">
        <v>1.32E-2</v>
      </c>
      <c r="G3063" s="1">
        <v>6.4600000000000005E-2</v>
      </c>
      <c r="H3063" s="1">
        <v>1.4E-3</v>
      </c>
      <c r="I3063" s="1">
        <v>1.9E-3</v>
      </c>
      <c r="J3063" s="1">
        <v>1.7500000000000002E-2</v>
      </c>
      <c r="K3063" s="1">
        <v>2.3599999999999999E-2</v>
      </c>
      <c r="L3063" s="1">
        <v>5.0000000000000001E-4</v>
      </c>
      <c r="M3063" s="1">
        <v>5.8999999999999999E-3</v>
      </c>
      <c r="N3063" s="1">
        <v>8.1500000000000003E-2</v>
      </c>
      <c r="O3063" s="1">
        <v>7.1000000000000004E-3</v>
      </c>
      <c r="P3063" s="1">
        <v>0.82079999999999997</v>
      </c>
      <c r="Q3063" s="1">
        <v>3.7000000000000002E-3</v>
      </c>
      <c r="R3063" s="1">
        <v>1.2999999999999999E-3</v>
      </c>
      <c r="S3063" s="1">
        <v>4.0000000000000002E-4</v>
      </c>
      <c r="T3063" s="1">
        <v>1.5800000000000002E-2</v>
      </c>
    </row>
    <row r="3064" spans="1:20">
      <c r="A3064" s="25" t="s">
        <v>213</v>
      </c>
      <c r="B3064">
        <v>2073</v>
      </c>
      <c r="C3064" t="s">
        <v>189</v>
      </c>
      <c r="D3064">
        <v>10387</v>
      </c>
      <c r="E3064" s="1">
        <v>1.9E-3</v>
      </c>
      <c r="F3064" s="1">
        <v>6.4999999999999997E-3</v>
      </c>
      <c r="G3064" s="1">
        <v>3.3799999999999997E-2</v>
      </c>
      <c r="H3064" s="1">
        <v>3.3999999999999998E-3</v>
      </c>
      <c r="I3064" s="1">
        <v>5.1999999999999998E-3</v>
      </c>
      <c r="J3064" s="1">
        <v>1.6500000000000001E-2</v>
      </c>
      <c r="K3064" s="1">
        <v>1.78E-2</v>
      </c>
      <c r="L3064" s="1">
        <v>3.0000000000000001E-3</v>
      </c>
      <c r="M3064" s="1">
        <v>8.3000000000000001E-3</v>
      </c>
      <c r="N3064" s="1">
        <v>5.1299999999999998E-2</v>
      </c>
      <c r="O3064" s="1">
        <v>3.3E-3</v>
      </c>
      <c r="P3064" s="1">
        <v>0.87339999999999995</v>
      </c>
      <c r="Q3064" s="1">
        <v>8.8000000000000005E-3</v>
      </c>
      <c r="R3064" s="1">
        <v>1.1000000000000001E-3</v>
      </c>
      <c r="S3064" s="1">
        <v>2E-3</v>
      </c>
      <c r="T3064" s="1">
        <v>9.4999999999999998E-3</v>
      </c>
    </row>
    <row r="3065" spans="1:20">
      <c r="A3065" s="25" t="s">
        <v>192</v>
      </c>
      <c r="B3065">
        <v>10387</v>
      </c>
      <c r="C3065" t="s">
        <v>192</v>
      </c>
      <c r="D3065">
        <v>10387</v>
      </c>
      <c r="E3065" s="1">
        <v>2.3999999999999998E-3</v>
      </c>
      <c r="F3065" s="1">
        <v>1.2999999999999999E-2</v>
      </c>
      <c r="G3065" s="1">
        <v>4.02E-2</v>
      </c>
      <c r="H3065" s="1">
        <v>1.9E-3</v>
      </c>
      <c r="I3065" s="1">
        <v>2.2000000000000001E-3</v>
      </c>
      <c r="J3065" s="1">
        <v>1.8599999999999998E-2</v>
      </c>
      <c r="K3065" s="1">
        <v>2.1000000000000001E-2</v>
      </c>
      <c r="L3065" s="1">
        <v>1.1999999999999999E-3</v>
      </c>
      <c r="M3065" s="1">
        <v>7.4000000000000003E-3</v>
      </c>
      <c r="N3065" s="1">
        <v>6.1100000000000002E-2</v>
      </c>
      <c r="O3065" s="1">
        <v>5.4000000000000003E-3</v>
      </c>
      <c r="P3065" s="1">
        <v>0.85709999999999997</v>
      </c>
      <c r="Q3065" s="1">
        <v>4.7000000000000002E-3</v>
      </c>
      <c r="R3065" s="1">
        <v>8.0000000000000004E-4</v>
      </c>
      <c r="S3065" s="1">
        <v>8.9999999999999998E-4</v>
      </c>
      <c r="T3065" s="1">
        <v>1.2E-2</v>
      </c>
    </row>
    <row r="3067" spans="1:20" ht="43.5">
      <c r="A3067" s="25" t="s">
        <v>1014</v>
      </c>
    </row>
    <row r="3068" spans="1:20">
      <c r="A3068" s="25" t="s">
        <v>181</v>
      </c>
      <c r="B3068" t="s">
        <v>182</v>
      </c>
      <c r="C3068" t="s">
        <v>1015</v>
      </c>
      <c r="D3068" t="s">
        <v>1016</v>
      </c>
      <c r="E3068" t="s">
        <v>1017</v>
      </c>
      <c r="F3068" t="s">
        <v>1018</v>
      </c>
      <c r="G3068" t="s">
        <v>1019</v>
      </c>
      <c r="H3068" t="s">
        <v>1020</v>
      </c>
      <c r="I3068" t="s">
        <v>1021</v>
      </c>
      <c r="J3068" t="s">
        <v>1022</v>
      </c>
      <c r="K3068" t="s">
        <v>1023</v>
      </c>
      <c r="L3068" t="s">
        <v>1024</v>
      </c>
      <c r="M3068" t="s">
        <v>1025</v>
      </c>
      <c r="N3068" t="s">
        <v>1026</v>
      </c>
      <c r="O3068" t="s">
        <v>219</v>
      </c>
      <c r="P3068" t="s">
        <v>188</v>
      </c>
    </row>
    <row r="3069" spans="1:20">
      <c r="A3069" s="25" t="s">
        <v>189</v>
      </c>
      <c r="B3069" t="s">
        <v>190</v>
      </c>
      <c r="C3069" t="s">
        <v>1027</v>
      </c>
      <c r="D3069" s="1">
        <v>9.4000000000000004E-3</v>
      </c>
      <c r="E3069" s="1">
        <v>5.9700000000000003E-2</v>
      </c>
      <c r="F3069" s="1">
        <v>3.0999999999999999E-3</v>
      </c>
      <c r="G3069" s="1">
        <v>6.0000000000000001E-3</v>
      </c>
      <c r="H3069" s="1">
        <v>1.09E-2</v>
      </c>
      <c r="I3069" s="1">
        <v>9.4000000000000004E-3</v>
      </c>
      <c r="J3069" s="1">
        <v>2.3999999999999998E-3</v>
      </c>
      <c r="K3069" s="1">
        <v>2.8999999999999998E-3</v>
      </c>
      <c r="L3069" s="1">
        <v>1.4E-3</v>
      </c>
      <c r="M3069" s="1">
        <v>8.9999999999999998E-4</v>
      </c>
      <c r="N3069">
        <v>3975</v>
      </c>
      <c r="O3069">
        <v>4903</v>
      </c>
      <c r="P3069">
        <v>10434</v>
      </c>
    </row>
    <row r="3070" spans="1:20">
      <c r="A3070" s="25" t="s">
        <v>189</v>
      </c>
      <c r="B3070" t="s">
        <v>190</v>
      </c>
      <c r="C3070" t="s">
        <v>1028</v>
      </c>
      <c r="D3070" s="1">
        <v>0.93010000000000004</v>
      </c>
      <c r="E3070" s="1">
        <v>0.57869999999999999</v>
      </c>
      <c r="F3070" s="1">
        <v>0.91949999999999998</v>
      </c>
      <c r="G3070" s="1">
        <v>0.79020000000000001</v>
      </c>
      <c r="H3070" s="1">
        <v>0.85389999999999999</v>
      </c>
      <c r="I3070" s="1">
        <v>0.7681</v>
      </c>
      <c r="J3070" s="1">
        <v>0.755</v>
      </c>
      <c r="K3070" s="1">
        <v>0.94259999999999999</v>
      </c>
      <c r="L3070" s="1">
        <v>0.92900000000000005</v>
      </c>
      <c r="M3070" s="1">
        <v>0.97309999999999997</v>
      </c>
      <c r="N3070">
        <v>3975</v>
      </c>
      <c r="O3070">
        <v>4903</v>
      </c>
      <c r="P3070">
        <v>10434</v>
      </c>
    </row>
    <row r="3071" spans="1:20">
      <c r="A3071" s="25" t="s">
        <v>189</v>
      </c>
      <c r="B3071" t="s">
        <v>190</v>
      </c>
      <c r="C3071" t="s">
        <v>1029</v>
      </c>
      <c r="D3071" s="1">
        <v>3.9100000000000003E-2</v>
      </c>
      <c r="E3071" s="1">
        <v>0.1176</v>
      </c>
      <c r="F3071" s="1">
        <v>1.2E-2</v>
      </c>
      <c r="G3071" s="1">
        <v>9.6000000000000002E-2</v>
      </c>
      <c r="H3071" s="1">
        <v>0.12379999999999999</v>
      </c>
      <c r="I3071" s="1">
        <v>1.8200000000000001E-2</v>
      </c>
      <c r="J3071" s="1">
        <v>0.22819999999999999</v>
      </c>
      <c r="K3071" s="1">
        <v>4.8399999999999999E-2</v>
      </c>
      <c r="L3071" s="1">
        <v>4.8800000000000003E-2</v>
      </c>
      <c r="M3071" s="1">
        <v>1.89E-2</v>
      </c>
      <c r="N3071">
        <v>3975</v>
      </c>
      <c r="O3071">
        <v>4903</v>
      </c>
      <c r="P3071">
        <v>10434</v>
      </c>
    </row>
    <row r="3072" spans="1:20">
      <c r="A3072" s="25" t="s">
        <v>189</v>
      </c>
      <c r="B3072" t="s">
        <v>190</v>
      </c>
      <c r="C3072" t="s">
        <v>221</v>
      </c>
      <c r="D3072" s="1">
        <v>2.1299999999999999E-2</v>
      </c>
      <c r="E3072" s="1">
        <v>0.24399999999999999</v>
      </c>
      <c r="F3072" s="1">
        <v>6.5500000000000003E-2</v>
      </c>
      <c r="G3072" s="1">
        <v>0.10780000000000001</v>
      </c>
      <c r="H3072" s="1">
        <v>1.14E-2</v>
      </c>
      <c r="I3072" s="1">
        <v>0.20430000000000001</v>
      </c>
      <c r="J3072" s="1">
        <v>1.44E-2</v>
      </c>
      <c r="K3072" s="1">
        <v>6.1000000000000004E-3</v>
      </c>
      <c r="L3072" s="1">
        <v>2.0799999999999999E-2</v>
      </c>
      <c r="M3072" s="1">
        <v>7.1000000000000004E-3</v>
      </c>
      <c r="N3072">
        <v>3975</v>
      </c>
      <c r="O3072">
        <v>4903</v>
      </c>
      <c r="P3072">
        <v>10434</v>
      </c>
    </row>
    <row r="3073" spans="1:16">
      <c r="A3073" s="25" t="s">
        <v>189</v>
      </c>
      <c r="B3073" t="s">
        <v>191</v>
      </c>
      <c r="C3073" t="s">
        <v>1027</v>
      </c>
      <c r="D3073" s="1">
        <v>1.0500000000000001E-2</v>
      </c>
      <c r="E3073" s="1">
        <v>5.8200000000000002E-2</v>
      </c>
      <c r="F3073" s="1">
        <v>2.5999999999999999E-3</v>
      </c>
      <c r="G3073" s="1">
        <v>8.0000000000000002E-3</v>
      </c>
      <c r="H3073" s="1">
        <v>7.7999999999999996E-3</v>
      </c>
      <c r="I3073" s="1">
        <v>1.01E-2</v>
      </c>
      <c r="J3073" s="1">
        <v>2.8E-3</v>
      </c>
      <c r="K3073" s="1">
        <v>2.7000000000000001E-3</v>
      </c>
      <c r="L3073" s="1">
        <v>1.4E-3</v>
      </c>
      <c r="M3073" s="1">
        <v>1.1000000000000001E-3</v>
      </c>
      <c r="N3073">
        <v>6447</v>
      </c>
      <c r="O3073">
        <v>5474</v>
      </c>
      <c r="P3073">
        <v>10434</v>
      </c>
    </row>
    <row r="3074" spans="1:16">
      <c r="A3074" s="25" t="s">
        <v>189</v>
      </c>
      <c r="B3074" t="s">
        <v>191</v>
      </c>
      <c r="C3074" t="s">
        <v>1028</v>
      </c>
      <c r="D3074" s="1">
        <v>0.91879999999999995</v>
      </c>
      <c r="E3074" s="1">
        <v>0.61770000000000003</v>
      </c>
      <c r="F3074" s="1">
        <v>0.93489999999999995</v>
      </c>
      <c r="G3074" s="1">
        <v>0.77859999999999996</v>
      </c>
      <c r="H3074" s="1">
        <v>0.84250000000000003</v>
      </c>
      <c r="I3074" s="1">
        <v>0.78720000000000001</v>
      </c>
      <c r="J3074" s="1">
        <v>0.74850000000000005</v>
      </c>
      <c r="K3074" s="1">
        <v>0.90239999999999998</v>
      </c>
      <c r="L3074" s="1">
        <v>0.92820000000000003</v>
      </c>
      <c r="M3074" s="1">
        <v>0.97050000000000003</v>
      </c>
      <c r="N3074">
        <v>6447</v>
      </c>
      <c r="O3074">
        <v>5474</v>
      </c>
      <c r="P3074">
        <v>10434</v>
      </c>
    </row>
    <row r="3075" spans="1:16">
      <c r="A3075" s="25" t="s">
        <v>189</v>
      </c>
      <c r="B3075" t="s">
        <v>191</v>
      </c>
      <c r="C3075" t="s">
        <v>1029</v>
      </c>
      <c r="D3075" s="1">
        <v>4.3099999999999999E-2</v>
      </c>
      <c r="E3075" s="1">
        <v>0.10489999999999999</v>
      </c>
      <c r="F3075" s="1">
        <v>1.7600000000000001E-2</v>
      </c>
      <c r="G3075" s="1">
        <v>8.1900000000000001E-2</v>
      </c>
      <c r="H3075" s="1">
        <v>0.13819999999999999</v>
      </c>
      <c r="I3075" s="1">
        <v>2.0400000000000001E-2</v>
      </c>
      <c r="J3075" s="1">
        <v>0.2288</v>
      </c>
      <c r="K3075" s="1">
        <v>9.0899999999999995E-2</v>
      </c>
      <c r="L3075" s="1">
        <v>4.8099999999999997E-2</v>
      </c>
      <c r="M3075" s="1">
        <v>1.9199999999999998E-2</v>
      </c>
      <c r="N3075">
        <v>6447</v>
      </c>
      <c r="O3075">
        <v>5474</v>
      </c>
      <c r="P3075">
        <v>10434</v>
      </c>
    </row>
    <row r="3076" spans="1:16">
      <c r="A3076" s="25" t="s">
        <v>189</v>
      </c>
      <c r="B3076" t="s">
        <v>191</v>
      </c>
      <c r="C3076" t="s">
        <v>221</v>
      </c>
      <c r="D3076" s="1">
        <v>2.75E-2</v>
      </c>
      <c r="E3076" s="1">
        <v>0.21920000000000001</v>
      </c>
      <c r="F3076" s="1">
        <v>4.4999999999999998E-2</v>
      </c>
      <c r="G3076" s="1">
        <v>0.13139999999999999</v>
      </c>
      <c r="H3076" s="1">
        <v>1.15E-2</v>
      </c>
      <c r="I3076" s="1">
        <v>0.18229999999999999</v>
      </c>
      <c r="J3076" s="1">
        <v>1.9900000000000001E-2</v>
      </c>
      <c r="K3076" s="1">
        <v>4.1000000000000003E-3</v>
      </c>
      <c r="L3076" s="1">
        <v>2.24E-2</v>
      </c>
      <c r="M3076" s="1">
        <v>9.2999999999999992E-3</v>
      </c>
      <c r="N3076">
        <v>6447</v>
      </c>
      <c r="O3076">
        <v>5474</v>
      </c>
      <c r="P3076">
        <v>10434</v>
      </c>
    </row>
    <row r="3077" spans="1:16">
      <c r="A3077" s="25" t="s">
        <v>192</v>
      </c>
      <c r="B3077" t="s">
        <v>192</v>
      </c>
      <c r="C3077" t="s">
        <v>1027</v>
      </c>
      <c r="D3077" s="1">
        <v>1.0200000000000001E-2</v>
      </c>
      <c r="E3077" s="1">
        <v>5.8799999999999998E-2</v>
      </c>
      <c r="F3077" s="1">
        <v>2.8E-3</v>
      </c>
      <c r="G3077" s="1">
        <v>7.1999999999999998E-3</v>
      </c>
      <c r="H3077" s="1">
        <v>8.9999999999999993E-3</v>
      </c>
      <c r="I3077" s="1">
        <v>9.7999999999999997E-3</v>
      </c>
      <c r="J3077" s="1">
        <v>2.5999999999999999E-3</v>
      </c>
      <c r="K3077" s="1">
        <v>2.8E-3</v>
      </c>
      <c r="L3077" s="1">
        <v>1.4E-3</v>
      </c>
      <c r="M3077" s="1">
        <v>1E-3</v>
      </c>
      <c r="N3077">
        <v>10434</v>
      </c>
      <c r="O3077">
        <v>10434</v>
      </c>
      <c r="P3077">
        <v>10434</v>
      </c>
    </row>
    <row r="3078" spans="1:16">
      <c r="A3078" s="25" t="s">
        <v>192</v>
      </c>
      <c r="B3078" t="s">
        <v>192</v>
      </c>
      <c r="C3078" t="s">
        <v>1028</v>
      </c>
      <c r="D3078" s="1">
        <v>0.92300000000000004</v>
      </c>
      <c r="E3078" s="1">
        <v>0.60250000000000004</v>
      </c>
      <c r="F3078" s="1">
        <v>0.92900000000000005</v>
      </c>
      <c r="G3078" s="1">
        <v>0.78280000000000005</v>
      </c>
      <c r="H3078" s="1">
        <v>0.8468</v>
      </c>
      <c r="I3078" s="1">
        <v>0.77969999999999995</v>
      </c>
      <c r="J3078" s="1">
        <v>0.75109999999999999</v>
      </c>
      <c r="K3078" s="1">
        <v>0.91769999999999996</v>
      </c>
      <c r="L3078" s="1">
        <v>0.92849999999999999</v>
      </c>
      <c r="M3078" s="1">
        <v>0.97150000000000003</v>
      </c>
      <c r="N3078">
        <v>10434</v>
      </c>
      <c r="O3078">
        <v>10434</v>
      </c>
      <c r="P3078">
        <v>10434</v>
      </c>
    </row>
    <row r="3079" spans="1:16">
      <c r="A3079" s="25" t="s">
        <v>192</v>
      </c>
      <c r="B3079" t="s">
        <v>192</v>
      </c>
      <c r="C3079" t="s">
        <v>1029</v>
      </c>
      <c r="D3079" s="1">
        <v>4.1700000000000001E-2</v>
      </c>
      <c r="E3079" s="1">
        <v>0.10979999999999999</v>
      </c>
      <c r="F3079" s="1">
        <v>1.54E-2</v>
      </c>
      <c r="G3079" s="1">
        <v>8.7400000000000005E-2</v>
      </c>
      <c r="H3079" s="1">
        <v>0.13270000000000001</v>
      </c>
      <c r="I3079" s="1">
        <v>1.95E-2</v>
      </c>
      <c r="J3079" s="1">
        <v>0.22839999999999999</v>
      </c>
      <c r="K3079" s="1">
        <v>7.4700000000000003E-2</v>
      </c>
      <c r="L3079" s="1">
        <v>4.8300000000000003E-2</v>
      </c>
      <c r="M3079" s="1">
        <v>1.9099999999999999E-2</v>
      </c>
      <c r="N3079">
        <v>10434</v>
      </c>
      <c r="O3079">
        <v>10434</v>
      </c>
      <c r="P3079">
        <v>10434</v>
      </c>
    </row>
    <row r="3080" spans="1:16">
      <c r="A3080" s="25" t="s">
        <v>192</v>
      </c>
      <c r="B3080" t="s">
        <v>192</v>
      </c>
      <c r="C3080" t="s">
        <v>221</v>
      </c>
      <c r="D3080" s="1">
        <v>2.52E-2</v>
      </c>
      <c r="E3080" s="1">
        <v>0.22889999999999999</v>
      </c>
      <c r="F3080" s="1">
        <v>5.28E-2</v>
      </c>
      <c r="G3080" s="1">
        <v>0.1226</v>
      </c>
      <c r="H3080" s="1">
        <v>1.15E-2</v>
      </c>
      <c r="I3080" s="1">
        <v>0.19089999999999999</v>
      </c>
      <c r="J3080" s="1">
        <v>1.7899999999999999E-2</v>
      </c>
      <c r="K3080" s="1">
        <v>4.7999999999999996E-3</v>
      </c>
      <c r="L3080" s="1">
        <v>2.18E-2</v>
      </c>
      <c r="M3080" s="1">
        <v>8.3999999999999995E-3</v>
      </c>
      <c r="N3080">
        <v>10434</v>
      </c>
      <c r="O3080">
        <v>10434</v>
      </c>
      <c r="P3080">
        <v>10434</v>
      </c>
    </row>
    <row r="3082" spans="1:16" ht="43.5">
      <c r="A3082" s="25" t="s">
        <v>1030</v>
      </c>
    </row>
    <row r="3083" spans="1:16">
      <c r="A3083" s="25" t="s">
        <v>181</v>
      </c>
      <c r="B3083" t="s">
        <v>182</v>
      </c>
      <c r="C3083" t="s">
        <v>1015</v>
      </c>
      <c r="D3083" t="s">
        <v>1016</v>
      </c>
      <c r="E3083" t="s">
        <v>1017</v>
      </c>
      <c r="F3083" t="s">
        <v>1018</v>
      </c>
      <c r="G3083" t="s">
        <v>1019</v>
      </c>
      <c r="H3083" t="s">
        <v>1020</v>
      </c>
      <c r="I3083" t="s">
        <v>1021</v>
      </c>
      <c r="J3083" t="s">
        <v>1022</v>
      </c>
      <c r="K3083" t="s">
        <v>1023</v>
      </c>
      <c r="L3083" t="s">
        <v>1024</v>
      </c>
      <c r="M3083" t="s">
        <v>1025</v>
      </c>
      <c r="N3083" t="s">
        <v>1026</v>
      </c>
      <c r="O3083" t="s">
        <v>219</v>
      </c>
      <c r="P3083" t="s">
        <v>188</v>
      </c>
    </row>
    <row r="3084" spans="1:16">
      <c r="A3084" s="25" t="s">
        <v>189</v>
      </c>
      <c r="B3084" t="s">
        <v>194</v>
      </c>
      <c r="C3084" t="s">
        <v>1027</v>
      </c>
      <c r="D3084" s="1">
        <v>1.12E-2</v>
      </c>
      <c r="E3084" s="1">
        <v>5.5E-2</v>
      </c>
      <c r="F3084" s="1">
        <v>2.3999999999999998E-3</v>
      </c>
      <c r="G3084" s="1">
        <v>6.8999999999999999E-3</v>
      </c>
      <c r="H3084" s="1">
        <v>8.6E-3</v>
      </c>
      <c r="I3084" s="1">
        <v>1.09E-2</v>
      </c>
      <c r="J3084" s="1">
        <v>2.7000000000000001E-3</v>
      </c>
      <c r="K3084" s="1">
        <v>2.8E-3</v>
      </c>
      <c r="L3084" s="1">
        <v>1.6000000000000001E-3</v>
      </c>
      <c r="M3084" s="1">
        <v>1.1999999999999999E-3</v>
      </c>
      <c r="N3084">
        <v>7440</v>
      </c>
      <c r="O3084">
        <v>5954</v>
      </c>
      <c r="P3084">
        <v>10434</v>
      </c>
    </row>
    <row r="3085" spans="1:16">
      <c r="A3085" s="25" t="s">
        <v>189</v>
      </c>
      <c r="B3085" t="s">
        <v>194</v>
      </c>
      <c r="C3085" t="s">
        <v>1028</v>
      </c>
      <c r="D3085" s="1">
        <v>0.92649999999999999</v>
      </c>
      <c r="E3085" s="1">
        <v>0.63859999999999995</v>
      </c>
      <c r="F3085" s="1">
        <v>0.93700000000000006</v>
      </c>
      <c r="G3085" s="1">
        <v>0.80730000000000002</v>
      </c>
      <c r="H3085" s="1">
        <v>0.84730000000000005</v>
      </c>
      <c r="I3085" s="1">
        <v>0.80310000000000004</v>
      </c>
      <c r="J3085" s="1">
        <v>0.78620000000000001</v>
      </c>
      <c r="K3085" s="1">
        <v>0.92110000000000003</v>
      </c>
      <c r="L3085" s="1">
        <v>0.93279999999999996</v>
      </c>
      <c r="M3085" s="1">
        <v>0.97</v>
      </c>
      <c r="N3085">
        <v>7440</v>
      </c>
      <c r="O3085">
        <v>5954</v>
      </c>
      <c r="P3085">
        <v>10434</v>
      </c>
    </row>
    <row r="3086" spans="1:16">
      <c r="A3086" s="25" t="s">
        <v>189</v>
      </c>
      <c r="B3086" t="s">
        <v>194</v>
      </c>
      <c r="C3086" t="s">
        <v>1029</v>
      </c>
      <c r="D3086" s="1">
        <v>4.1000000000000002E-2</v>
      </c>
      <c r="E3086" s="1">
        <v>0.1038</v>
      </c>
      <c r="F3086" s="1">
        <v>1.9E-2</v>
      </c>
      <c r="G3086" s="1">
        <v>8.5099999999999995E-2</v>
      </c>
      <c r="H3086" s="1">
        <v>0.13500000000000001</v>
      </c>
      <c r="I3086" s="1">
        <v>2.5100000000000001E-2</v>
      </c>
      <c r="J3086" s="1">
        <v>0.1986</v>
      </c>
      <c r="K3086" s="1">
        <v>7.0099999999999996E-2</v>
      </c>
      <c r="L3086" s="1">
        <v>4.5600000000000002E-2</v>
      </c>
      <c r="M3086" s="1">
        <v>2.0899999999999998E-2</v>
      </c>
      <c r="N3086">
        <v>7440</v>
      </c>
      <c r="O3086">
        <v>5954</v>
      </c>
      <c r="P3086">
        <v>10434</v>
      </c>
    </row>
    <row r="3087" spans="1:16">
      <c r="A3087" s="25" t="s">
        <v>189</v>
      </c>
      <c r="B3087" t="s">
        <v>194</v>
      </c>
      <c r="C3087" t="s">
        <v>221</v>
      </c>
      <c r="D3087" s="1">
        <v>2.1299999999999999E-2</v>
      </c>
      <c r="E3087" s="1">
        <v>0.2026</v>
      </c>
      <c r="F3087" s="1">
        <v>4.1500000000000002E-2</v>
      </c>
      <c r="G3087" s="1">
        <v>0.1007</v>
      </c>
      <c r="H3087" s="1">
        <v>9.1000000000000004E-3</v>
      </c>
      <c r="I3087" s="1">
        <v>0.16089999999999999</v>
      </c>
      <c r="J3087" s="1">
        <v>1.2500000000000001E-2</v>
      </c>
      <c r="K3087" s="1">
        <v>6.0000000000000001E-3</v>
      </c>
      <c r="L3087" s="1">
        <v>0.02</v>
      </c>
      <c r="M3087" s="1">
        <v>7.7999999999999996E-3</v>
      </c>
      <c r="N3087">
        <v>7440</v>
      </c>
      <c r="O3087">
        <v>5954</v>
      </c>
      <c r="P3087">
        <v>10434</v>
      </c>
    </row>
    <row r="3088" spans="1:16">
      <c r="A3088" s="25" t="s">
        <v>189</v>
      </c>
      <c r="B3088" t="s">
        <v>195</v>
      </c>
      <c r="C3088" t="s">
        <v>1027</v>
      </c>
      <c r="D3088" s="1">
        <v>6.4999999999999997E-3</v>
      </c>
      <c r="E3088" s="1">
        <v>6.9400000000000003E-2</v>
      </c>
      <c r="F3088" s="1">
        <v>1.8E-3</v>
      </c>
      <c r="G3088" s="1">
        <v>5.7999999999999996E-3</v>
      </c>
      <c r="H3088" s="1">
        <v>8.9999999999999993E-3</v>
      </c>
      <c r="I3088" s="1">
        <v>7.1999999999999998E-3</v>
      </c>
      <c r="J3088" s="1">
        <v>1.2999999999999999E-3</v>
      </c>
      <c r="K3088" s="1">
        <v>2.5000000000000001E-3</v>
      </c>
      <c r="L3088" s="1">
        <v>8.9999999999999998E-4</v>
      </c>
      <c r="M3088" s="1">
        <v>2.0000000000000001E-4</v>
      </c>
      <c r="N3088">
        <v>2004</v>
      </c>
      <c r="O3088">
        <v>2703</v>
      </c>
      <c r="P3088">
        <v>10434</v>
      </c>
    </row>
    <row r="3089" spans="1:16">
      <c r="A3089" s="25" t="s">
        <v>189</v>
      </c>
      <c r="B3089" t="s">
        <v>195</v>
      </c>
      <c r="C3089" t="s">
        <v>1028</v>
      </c>
      <c r="D3089" s="1">
        <v>0.93559999999999999</v>
      </c>
      <c r="E3089" s="1">
        <v>0.57279999999999998</v>
      </c>
      <c r="F3089" s="1">
        <v>0.92630000000000001</v>
      </c>
      <c r="G3089" s="1">
        <v>0.75639999999999996</v>
      </c>
      <c r="H3089" s="1">
        <v>0.85840000000000005</v>
      </c>
      <c r="I3089" s="1">
        <v>0.76539999999999997</v>
      </c>
      <c r="J3089" s="1">
        <v>0.65</v>
      </c>
      <c r="K3089" s="1">
        <v>0.92359999999999998</v>
      </c>
      <c r="L3089" s="1">
        <v>0.92530000000000001</v>
      </c>
      <c r="M3089" s="1">
        <v>0.97829999999999995</v>
      </c>
      <c r="N3089">
        <v>2004</v>
      </c>
      <c r="O3089">
        <v>2703</v>
      </c>
      <c r="P3089">
        <v>10434</v>
      </c>
    </row>
    <row r="3090" spans="1:16">
      <c r="A3090" s="25" t="s">
        <v>189</v>
      </c>
      <c r="B3090" t="s">
        <v>195</v>
      </c>
      <c r="C3090" t="s">
        <v>1029</v>
      </c>
      <c r="D3090" s="1">
        <v>2.8899999999999999E-2</v>
      </c>
      <c r="E3090" s="1">
        <v>0.12479999999999999</v>
      </c>
      <c r="F3090" s="1">
        <v>4.8999999999999998E-3</v>
      </c>
      <c r="G3090" s="1">
        <v>8.4400000000000003E-2</v>
      </c>
      <c r="H3090" s="1">
        <v>0.1191</v>
      </c>
      <c r="I3090" s="1">
        <v>5.0000000000000001E-3</v>
      </c>
      <c r="J3090" s="1">
        <v>0.3256</v>
      </c>
      <c r="K3090" s="1">
        <v>7.2499999999999995E-2</v>
      </c>
      <c r="L3090" s="1">
        <v>5.45E-2</v>
      </c>
      <c r="M3090" s="1">
        <v>1.4500000000000001E-2</v>
      </c>
      <c r="N3090">
        <v>2004</v>
      </c>
      <c r="O3090">
        <v>2703</v>
      </c>
      <c r="P3090">
        <v>10434</v>
      </c>
    </row>
    <row r="3091" spans="1:16">
      <c r="A3091" s="25" t="s">
        <v>189</v>
      </c>
      <c r="B3091" t="s">
        <v>195</v>
      </c>
      <c r="C3091" t="s">
        <v>221</v>
      </c>
      <c r="D3091" s="1">
        <v>2.9000000000000001E-2</v>
      </c>
      <c r="E3091" s="1">
        <v>0.2329</v>
      </c>
      <c r="F3091" s="1">
        <v>6.7000000000000004E-2</v>
      </c>
      <c r="G3091" s="1">
        <v>0.1535</v>
      </c>
      <c r="H3091" s="1">
        <v>1.35E-2</v>
      </c>
      <c r="I3091" s="1">
        <v>0.22239999999999999</v>
      </c>
      <c r="J3091" s="1">
        <v>2.3099999999999999E-2</v>
      </c>
      <c r="K3091" s="1">
        <v>1.2999999999999999E-3</v>
      </c>
      <c r="L3091" s="1">
        <v>1.9300000000000001E-2</v>
      </c>
      <c r="M3091" s="1">
        <v>7.0000000000000001E-3</v>
      </c>
      <c r="N3091">
        <v>2004</v>
      </c>
      <c r="O3091">
        <v>2703</v>
      </c>
      <c r="P3091">
        <v>10434</v>
      </c>
    </row>
    <row r="3092" spans="1:16">
      <c r="A3092" s="25" t="s">
        <v>189</v>
      </c>
      <c r="B3092" t="s">
        <v>196</v>
      </c>
      <c r="C3092" t="s">
        <v>1027</v>
      </c>
      <c r="D3092" s="1">
        <v>9.5999999999999992E-3</v>
      </c>
      <c r="E3092" s="1">
        <v>6.5799999999999997E-2</v>
      </c>
      <c r="F3092" s="1">
        <v>7.4999999999999997E-3</v>
      </c>
      <c r="G3092" s="1">
        <v>1.2999999999999999E-2</v>
      </c>
      <c r="H3092" s="1">
        <v>1.2200000000000001E-2</v>
      </c>
      <c r="I3092" s="1">
        <v>7.4000000000000003E-3</v>
      </c>
      <c r="J3092" s="1">
        <v>5.1999999999999998E-3</v>
      </c>
      <c r="K3092" s="1">
        <v>3.3999999999999998E-3</v>
      </c>
      <c r="L3092" s="1">
        <v>8.0000000000000004E-4</v>
      </c>
      <c r="M3092" s="1">
        <v>8.0000000000000004E-4</v>
      </c>
      <c r="N3092">
        <v>978</v>
      </c>
      <c r="O3092">
        <v>1720</v>
      </c>
      <c r="P3092">
        <v>10434</v>
      </c>
    </row>
    <row r="3093" spans="1:16">
      <c r="A3093" s="25" t="s">
        <v>189</v>
      </c>
      <c r="B3093" t="s">
        <v>196</v>
      </c>
      <c r="C3093" t="s">
        <v>1028</v>
      </c>
      <c r="D3093" s="1">
        <v>0.87209999999999999</v>
      </c>
      <c r="E3093" s="1">
        <v>0.39179999999999998</v>
      </c>
      <c r="F3093" s="1">
        <v>0.87339999999999995</v>
      </c>
      <c r="G3093" s="1">
        <v>0.65039999999999998</v>
      </c>
      <c r="H3093" s="1">
        <v>0.81920000000000004</v>
      </c>
      <c r="I3093" s="1">
        <v>0.63319999999999999</v>
      </c>
      <c r="J3093" s="1">
        <v>0.68940000000000001</v>
      </c>
      <c r="K3093" s="1">
        <v>0.87980000000000003</v>
      </c>
      <c r="L3093" s="1">
        <v>0.90239999999999998</v>
      </c>
      <c r="M3093" s="1">
        <v>0.96860000000000002</v>
      </c>
      <c r="N3093">
        <v>978</v>
      </c>
      <c r="O3093">
        <v>1720</v>
      </c>
      <c r="P3093">
        <v>10434</v>
      </c>
    </row>
    <row r="3094" spans="1:16">
      <c r="A3094" s="25" t="s">
        <v>189</v>
      </c>
      <c r="B3094" t="s">
        <v>196</v>
      </c>
      <c r="C3094" t="s">
        <v>1029</v>
      </c>
      <c r="D3094" s="1">
        <v>7.1900000000000006E-2</v>
      </c>
      <c r="E3094" s="1">
        <v>0.1244</v>
      </c>
      <c r="F3094" s="1">
        <v>9.5999999999999992E-3</v>
      </c>
      <c r="G3094" s="1">
        <v>0.1104</v>
      </c>
      <c r="H3094" s="1">
        <v>0.1431</v>
      </c>
      <c r="I3094" s="1">
        <v>7.1000000000000004E-3</v>
      </c>
      <c r="J3094" s="1">
        <v>0.25779999999999997</v>
      </c>
      <c r="K3094" s="1">
        <v>0.1138</v>
      </c>
      <c r="L3094" s="1">
        <v>5.67E-2</v>
      </c>
      <c r="M3094" s="1">
        <v>1.44E-2</v>
      </c>
      <c r="N3094">
        <v>978</v>
      </c>
      <c r="O3094">
        <v>1720</v>
      </c>
      <c r="P3094">
        <v>10434</v>
      </c>
    </row>
    <row r="3095" spans="1:16">
      <c r="A3095" s="25" t="s">
        <v>189</v>
      </c>
      <c r="B3095" t="s">
        <v>196</v>
      </c>
      <c r="C3095" t="s">
        <v>221</v>
      </c>
      <c r="D3095" s="1">
        <v>4.6300000000000001E-2</v>
      </c>
      <c r="E3095" s="1">
        <v>0.41799999999999998</v>
      </c>
      <c r="F3095" s="1">
        <v>0.1095</v>
      </c>
      <c r="G3095" s="1">
        <v>0.22620000000000001</v>
      </c>
      <c r="H3095" s="1">
        <v>2.5399999999999999E-2</v>
      </c>
      <c r="I3095" s="1">
        <v>0.3523</v>
      </c>
      <c r="J3095" s="1">
        <v>4.7600000000000003E-2</v>
      </c>
      <c r="K3095" s="1">
        <v>3.0999999999999999E-3</v>
      </c>
      <c r="L3095" s="1">
        <v>0.04</v>
      </c>
      <c r="M3095" s="1">
        <v>1.6199999999999999E-2</v>
      </c>
      <c r="N3095">
        <v>978</v>
      </c>
      <c r="O3095">
        <v>1720</v>
      </c>
      <c r="P3095">
        <v>10434</v>
      </c>
    </row>
    <row r="3096" spans="1:16">
      <c r="A3096" s="25" t="s">
        <v>192</v>
      </c>
      <c r="B3096" t="s">
        <v>192</v>
      </c>
      <c r="C3096" t="s">
        <v>1027</v>
      </c>
      <c r="D3096" s="1">
        <v>1.0200000000000001E-2</v>
      </c>
      <c r="E3096" s="1">
        <v>5.8799999999999998E-2</v>
      </c>
      <c r="F3096" s="1">
        <v>2.8E-3</v>
      </c>
      <c r="G3096" s="1">
        <v>7.1999999999999998E-3</v>
      </c>
      <c r="H3096" s="1">
        <v>8.9999999999999993E-3</v>
      </c>
      <c r="I3096" s="1">
        <v>9.7999999999999997E-3</v>
      </c>
      <c r="J3096" s="1">
        <v>2.5999999999999999E-3</v>
      </c>
      <c r="K3096" s="1">
        <v>2.8E-3</v>
      </c>
      <c r="L3096" s="1">
        <v>1.4E-3</v>
      </c>
      <c r="M3096" s="1">
        <v>1E-3</v>
      </c>
      <c r="N3096">
        <v>10434</v>
      </c>
      <c r="O3096">
        <v>10434</v>
      </c>
      <c r="P3096">
        <v>10434</v>
      </c>
    </row>
    <row r="3097" spans="1:16">
      <c r="A3097" s="25" t="s">
        <v>192</v>
      </c>
      <c r="B3097" t="s">
        <v>192</v>
      </c>
      <c r="C3097" t="s">
        <v>1028</v>
      </c>
      <c r="D3097" s="1">
        <v>0.92300000000000004</v>
      </c>
      <c r="E3097" s="1">
        <v>0.60250000000000004</v>
      </c>
      <c r="F3097" s="1">
        <v>0.92900000000000005</v>
      </c>
      <c r="G3097" s="1">
        <v>0.78280000000000005</v>
      </c>
      <c r="H3097" s="1">
        <v>0.8468</v>
      </c>
      <c r="I3097" s="1">
        <v>0.77969999999999995</v>
      </c>
      <c r="J3097" s="1">
        <v>0.75109999999999999</v>
      </c>
      <c r="K3097" s="1">
        <v>0.91769999999999996</v>
      </c>
      <c r="L3097" s="1">
        <v>0.92849999999999999</v>
      </c>
      <c r="M3097" s="1">
        <v>0.97150000000000003</v>
      </c>
      <c r="N3097">
        <v>10434</v>
      </c>
      <c r="O3097">
        <v>10434</v>
      </c>
      <c r="P3097">
        <v>10434</v>
      </c>
    </row>
    <row r="3098" spans="1:16">
      <c r="A3098" s="25" t="s">
        <v>192</v>
      </c>
      <c r="B3098" t="s">
        <v>192</v>
      </c>
      <c r="C3098" t="s">
        <v>1029</v>
      </c>
      <c r="D3098" s="1">
        <v>4.1700000000000001E-2</v>
      </c>
      <c r="E3098" s="1">
        <v>0.10979999999999999</v>
      </c>
      <c r="F3098" s="1">
        <v>1.54E-2</v>
      </c>
      <c r="G3098" s="1">
        <v>8.7400000000000005E-2</v>
      </c>
      <c r="H3098" s="1">
        <v>0.13270000000000001</v>
      </c>
      <c r="I3098" s="1">
        <v>1.95E-2</v>
      </c>
      <c r="J3098" s="1">
        <v>0.22839999999999999</v>
      </c>
      <c r="K3098" s="1">
        <v>7.4700000000000003E-2</v>
      </c>
      <c r="L3098" s="1">
        <v>4.8300000000000003E-2</v>
      </c>
      <c r="M3098" s="1">
        <v>1.9099999999999999E-2</v>
      </c>
      <c r="N3098">
        <v>10434</v>
      </c>
      <c r="O3098">
        <v>10434</v>
      </c>
      <c r="P3098">
        <v>10434</v>
      </c>
    </row>
    <row r="3099" spans="1:16">
      <c r="A3099" s="25" t="s">
        <v>192</v>
      </c>
      <c r="B3099" t="s">
        <v>192</v>
      </c>
      <c r="C3099" t="s">
        <v>221</v>
      </c>
      <c r="D3099" s="1">
        <v>2.52E-2</v>
      </c>
      <c r="E3099" s="1">
        <v>0.22889999999999999</v>
      </c>
      <c r="F3099" s="1">
        <v>5.28E-2</v>
      </c>
      <c r="G3099" s="1">
        <v>0.1226</v>
      </c>
      <c r="H3099" s="1">
        <v>1.15E-2</v>
      </c>
      <c r="I3099" s="1">
        <v>0.19089999999999999</v>
      </c>
      <c r="J3099" s="1">
        <v>1.7899999999999999E-2</v>
      </c>
      <c r="K3099" s="1">
        <v>4.7999999999999996E-3</v>
      </c>
      <c r="L3099" s="1">
        <v>2.18E-2</v>
      </c>
      <c r="M3099" s="1">
        <v>8.3999999999999995E-3</v>
      </c>
      <c r="N3099">
        <v>10434</v>
      </c>
      <c r="O3099">
        <v>10434</v>
      </c>
      <c r="P3099">
        <v>10434</v>
      </c>
    </row>
    <row r="3101" spans="1:16" ht="43.5">
      <c r="A3101" s="25" t="s">
        <v>1031</v>
      </c>
    </row>
    <row r="3102" spans="1:16">
      <c r="A3102" s="25" t="s">
        <v>181</v>
      </c>
      <c r="B3102" t="s">
        <v>182</v>
      </c>
      <c r="C3102" t="s">
        <v>1015</v>
      </c>
      <c r="D3102" t="s">
        <v>1016</v>
      </c>
      <c r="E3102" t="s">
        <v>1017</v>
      </c>
      <c r="F3102" t="s">
        <v>1018</v>
      </c>
      <c r="G3102" t="s">
        <v>1019</v>
      </c>
      <c r="H3102" t="s">
        <v>1020</v>
      </c>
      <c r="I3102" t="s">
        <v>1021</v>
      </c>
      <c r="J3102" t="s">
        <v>1022</v>
      </c>
      <c r="K3102" t="s">
        <v>1023</v>
      </c>
      <c r="L3102" t="s">
        <v>1024</v>
      </c>
      <c r="M3102" t="s">
        <v>1025</v>
      </c>
      <c r="N3102" t="s">
        <v>1026</v>
      </c>
      <c r="O3102" t="s">
        <v>219</v>
      </c>
      <c r="P3102" t="s">
        <v>188</v>
      </c>
    </row>
    <row r="3103" spans="1:16">
      <c r="A3103" s="25" t="s">
        <v>189</v>
      </c>
      <c r="B3103" t="s">
        <v>198</v>
      </c>
      <c r="C3103" t="s">
        <v>1027</v>
      </c>
      <c r="D3103" s="1">
        <v>1.9800000000000002E-2</v>
      </c>
      <c r="E3103" s="1">
        <v>7.8100000000000003E-2</v>
      </c>
      <c r="F3103" s="1">
        <v>4.4000000000000003E-3</v>
      </c>
      <c r="G3103" s="1">
        <v>7.1999999999999998E-3</v>
      </c>
      <c r="H3103" s="1">
        <v>1.4500000000000001E-2</v>
      </c>
      <c r="I3103" s="1">
        <v>2.5600000000000001E-2</v>
      </c>
      <c r="J3103" s="1">
        <v>3.8E-3</v>
      </c>
      <c r="K3103" s="1">
        <v>5.1999999999999998E-3</v>
      </c>
      <c r="L3103" s="1">
        <v>2.7000000000000001E-3</v>
      </c>
      <c r="M3103" s="1">
        <v>2.3E-3</v>
      </c>
      <c r="N3103">
        <v>1911</v>
      </c>
      <c r="O3103">
        <v>2264</v>
      </c>
      <c r="P3103">
        <v>10434</v>
      </c>
    </row>
    <row r="3104" spans="1:16">
      <c r="A3104" s="25" t="s">
        <v>189</v>
      </c>
      <c r="B3104" t="s">
        <v>198</v>
      </c>
      <c r="C3104" t="s">
        <v>1028</v>
      </c>
      <c r="D3104" s="1">
        <v>0.84489999999999998</v>
      </c>
      <c r="E3104" s="1">
        <v>0.42159999999999997</v>
      </c>
      <c r="F3104" s="1">
        <v>0.87060000000000004</v>
      </c>
      <c r="G3104" s="1">
        <v>0.68779999999999997</v>
      </c>
      <c r="H3104" s="1">
        <v>0.74370000000000003</v>
      </c>
      <c r="I3104" s="1">
        <v>0.58960000000000001</v>
      </c>
      <c r="J3104" s="1">
        <v>0.63519999999999999</v>
      </c>
      <c r="K3104" s="1">
        <v>0.87490000000000001</v>
      </c>
      <c r="L3104" s="1">
        <v>0.85240000000000005</v>
      </c>
      <c r="M3104" s="1">
        <v>0.94269999999999998</v>
      </c>
      <c r="N3104">
        <v>1911</v>
      </c>
      <c r="O3104">
        <v>2264</v>
      </c>
      <c r="P3104">
        <v>10434</v>
      </c>
    </row>
    <row r="3105" spans="1:16">
      <c r="A3105" s="25" t="s">
        <v>189</v>
      </c>
      <c r="B3105" t="s">
        <v>198</v>
      </c>
      <c r="C3105" t="s">
        <v>1029</v>
      </c>
      <c r="D3105" s="1">
        <v>9.3299999999999994E-2</v>
      </c>
      <c r="E3105" s="1">
        <v>0.2077</v>
      </c>
      <c r="F3105" s="1">
        <v>3.7100000000000001E-2</v>
      </c>
      <c r="G3105" s="1">
        <v>0.18940000000000001</v>
      </c>
      <c r="H3105" s="1">
        <v>0.22420000000000001</v>
      </c>
      <c r="I3105" s="1">
        <v>3.56E-2</v>
      </c>
      <c r="J3105" s="1">
        <v>0.34470000000000001</v>
      </c>
      <c r="K3105" s="1">
        <v>0.1113</v>
      </c>
      <c r="L3105" s="1">
        <v>0.1124</v>
      </c>
      <c r="M3105" s="1">
        <v>3.9699999999999999E-2</v>
      </c>
      <c r="N3105">
        <v>1911</v>
      </c>
      <c r="O3105">
        <v>2264</v>
      </c>
      <c r="P3105">
        <v>10434</v>
      </c>
    </row>
    <row r="3106" spans="1:16">
      <c r="A3106" s="25" t="s">
        <v>189</v>
      </c>
      <c r="B3106" t="s">
        <v>198</v>
      </c>
      <c r="C3106" t="s">
        <v>221</v>
      </c>
      <c r="D3106" s="1">
        <v>4.2000000000000003E-2</v>
      </c>
      <c r="E3106" s="1">
        <v>0.29260000000000003</v>
      </c>
      <c r="F3106" s="1">
        <v>8.7900000000000006E-2</v>
      </c>
      <c r="G3106" s="1">
        <v>0.11559999999999999</v>
      </c>
      <c r="H3106" s="1">
        <v>1.7600000000000001E-2</v>
      </c>
      <c r="I3106" s="1">
        <v>0.3493</v>
      </c>
      <c r="J3106" s="1">
        <v>1.6299999999999999E-2</v>
      </c>
      <c r="K3106" s="1">
        <v>8.6E-3</v>
      </c>
      <c r="L3106" s="1">
        <v>3.2599999999999997E-2</v>
      </c>
      <c r="M3106" s="1">
        <v>1.5299999999999999E-2</v>
      </c>
      <c r="N3106">
        <v>1911</v>
      </c>
      <c r="O3106">
        <v>2264</v>
      </c>
      <c r="P3106">
        <v>10434</v>
      </c>
    </row>
    <row r="3107" spans="1:16">
      <c r="A3107" s="25" t="s">
        <v>189</v>
      </c>
      <c r="B3107" t="s">
        <v>199</v>
      </c>
      <c r="C3107" t="s">
        <v>1027</v>
      </c>
      <c r="D3107" s="1">
        <v>8.0000000000000002E-3</v>
      </c>
      <c r="E3107" s="1">
        <v>5.4399999999999997E-2</v>
      </c>
      <c r="F3107" s="1">
        <v>2.3999999999999998E-3</v>
      </c>
      <c r="G3107" s="1">
        <v>7.3000000000000001E-3</v>
      </c>
      <c r="H3107" s="1">
        <v>7.7000000000000002E-3</v>
      </c>
      <c r="I3107" s="1">
        <v>6.3E-3</v>
      </c>
      <c r="J3107" s="1">
        <v>2.3999999999999998E-3</v>
      </c>
      <c r="K3107" s="1">
        <v>2.2000000000000001E-3</v>
      </c>
      <c r="L3107" s="1">
        <v>1.1000000000000001E-3</v>
      </c>
      <c r="M3107" s="1">
        <v>6.9999999999999999E-4</v>
      </c>
      <c r="N3107">
        <v>8523</v>
      </c>
      <c r="O3107">
        <v>8170</v>
      </c>
      <c r="P3107">
        <v>10434</v>
      </c>
    </row>
    <row r="3108" spans="1:16">
      <c r="A3108" s="25" t="s">
        <v>189</v>
      </c>
      <c r="B3108" t="s">
        <v>199</v>
      </c>
      <c r="C3108" t="s">
        <v>1028</v>
      </c>
      <c r="D3108" s="1">
        <v>0.9405</v>
      </c>
      <c r="E3108" s="1">
        <v>0.6431</v>
      </c>
      <c r="F3108" s="1">
        <v>0.94199999999999995</v>
      </c>
      <c r="G3108" s="1">
        <v>0.80389999999999995</v>
      </c>
      <c r="H3108" s="1">
        <v>0.86990000000000001</v>
      </c>
      <c r="I3108" s="1">
        <v>0.82240000000000002</v>
      </c>
      <c r="J3108" s="1">
        <v>0.77710000000000001</v>
      </c>
      <c r="K3108" s="1">
        <v>0.92730000000000001</v>
      </c>
      <c r="L3108" s="1">
        <v>0.9456</v>
      </c>
      <c r="M3108" s="1">
        <v>0.97789999999999999</v>
      </c>
      <c r="N3108">
        <v>8523</v>
      </c>
      <c r="O3108">
        <v>8170</v>
      </c>
      <c r="P3108">
        <v>10434</v>
      </c>
    </row>
    <row r="3109" spans="1:16">
      <c r="A3109" s="25" t="s">
        <v>189</v>
      </c>
      <c r="B3109" t="s">
        <v>199</v>
      </c>
      <c r="C3109" t="s">
        <v>1029</v>
      </c>
      <c r="D3109" s="1">
        <v>3.0099999999999998E-2</v>
      </c>
      <c r="E3109" s="1">
        <v>8.7800000000000003E-2</v>
      </c>
      <c r="F3109" s="1">
        <v>1.06E-2</v>
      </c>
      <c r="G3109" s="1">
        <v>6.4699999999999994E-2</v>
      </c>
      <c r="H3109" s="1">
        <v>0.11219999999999999</v>
      </c>
      <c r="I3109" s="1">
        <v>1.5900000000000001E-2</v>
      </c>
      <c r="J3109" s="1">
        <v>0.20230000000000001</v>
      </c>
      <c r="K3109" s="1">
        <v>6.6500000000000004E-2</v>
      </c>
      <c r="L3109" s="1">
        <v>3.39E-2</v>
      </c>
      <c r="M3109" s="1">
        <v>1.44E-2</v>
      </c>
      <c r="N3109">
        <v>8523</v>
      </c>
      <c r="O3109">
        <v>8170</v>
      </c>
      <c r="P3109">
        <v>10434</v>
      </c>
    </row>
    <row r="3110" spans="1:16">
      <c r="A3110" s="25" t="s">
        <v>189</v>
      </c>
      <c r="B3110" t="s">
        <v>199</v>
      </c>
      <c r="C3110" t="s">
        <v>221</v>
      </c>
      <c r="D3110" s="1">
        <v>2.1399999999999999E-2</v>
      </c>
      <c r="E3110" s="1">
        <v>0.2147</v>
      </c>
      <c r="F3110" s="1">
        <v>4.4999999999999998E-2</v>
      </c>
      <c r="G3110" s="1">
        <v>0.1241</v>
      </c>
      <c r="H3110" s="1">
        <v>1.01E-2</v>
      </c>
      <c r="I3110" s="1">
        <v>0.15540000000000001</v>
      </c>
      <c r="J3110" s="1">
        <v>1.83E-2</v>
      </c>
      <c r="K3110" s="1">
        <v>4.0000000000000001E-3</v>
      </c>
      <c r="L3110" s="1">
        <v>1.9400000000000001E-2</v>
      </c>
      <c r="M3110" s="1">
        <v>6.8999999999999999E-3</v>
      </c>
      <c r="N3110">
        <v>8523</v>
      </c>
      <c r="O3110">
        <v>8170</v>
      </c>
      <c r="P3110">
        <v>10434</v>
      </c>
    </row>
    <row r="3111" spans="1:16">
      <c r="A3111" s="25" t="s">
        <v>192</v>
      </c>
      <c r="B3111" t="s">
        <v>192</v>
      </c>
      <c r="C3111" t="s">
        <v>1027</v>
      </c>
      <c r="D3111" s="1">
        <v>1.0200000000000001E-2</v>
      </c>
      <c r="E3111" s="1">
        <v>5.8799999999999998E-2</v>
      </c>
      <c r="F3111" s="1">
        <v>2.8E-3</v>
      </c>
      <c r="G3111" s="1">
        <v>7.1999999999999998E-3</v>
      </c>
      <c r="H3111" s="1">
        <v>8.9999999999999993E-3</v>
      </c>
      <c r="I3111" s="1">
        <v>9.7999999999999997E-3</v>
      </c>
      <c r="J3111" s="1">
        <v>2.5999999999999999E-3</v>
      </c>
      <c r="K3111" s="1">
        <v>2.8E-3</v>
      </c>
      <c r="L3111" s="1">
        <v>1.4E-3</v>
      </c>
      <c r="M3111" s="1">
        <v>1E-3</v>
      </c>
      <c r="N3111">
        <v>10434</v>
      </c>
      <c r="O3111">
        <v>10434</v>
      </c>
      <c r="P3111">
        <v>10434</v>
      </c>
    </row>
    <row r="3112" spans="1:16">
      <c r="A3112" s="25" t="s">
        <v>192</v>
      </c>
      <c r="B3112" t="s">
        <v>192</v>
      </c>
      <c r="C3112" t="s">
        <v>1028</v>
      </c>
      <c r="D3112" s="1">
        <v>0.92300000000000004</v>
      </c>
      <c r="E3112" s="1">
        <v>0.60250000000000004</v>
      </c>
      <c r="F3112" s="1">
        <v>0.92900000000000005</v>
      </c>
      <c r="G3112" s="1">
        <v>0.78280000000000005</v>
      </c>
      <c r="H3112" s="1">
        <v>0.8468</v>
      </c>
      <c r="I3112" s="1">
        <v>0.77969999999999995</v>
      </c>
      <c r="J3112" s="1">
        <v>0.75109999999999999</v>
      </c>
      <c r="K3112" s="1">
        <v>0.91769999999999996</v>
      </c>
      <c r="L3112" s="1">
        <v>0.92849999999999999</v>
      </c>
      <c r="M3112" s="1">
        <v>0.97150000000000003</v>
      </c>
      <c r="N3112">
        <v>10434</v>
      </c>
      <c r="O3112">
        <v>10434</v>
      </c>
      <c r="P3112">
        <v>10434</v>
      </c>
    </row>
    <row r="3113" spans="1:16">
      <c r="A3113" s="25" t="s">
        <v>192</v>
      </c>
      <c r="B3113" t="s">
        <v>192</v>
      </c>
      <c r="C3113" t="s">
        <v>1029</v>
      </c>
      <c r="D3113" s="1">
        <v>4.1700000000000001E-2</v>
      </c>
      <c r="E3113" s="1">
        <v>0.10979999999999999</v>
      </c>
      <c r="F3113" s="1">
        <v>1.54E-2</v>
      </c>
      <c r="G3113" s="1">
        <v>8.7400000000000005E-2</v>
      </c>
      <c r="H3113" s="1">
        <v>0.13270000000000001</v>
      </c>
      <c r="I3113" s="1">
        <v>1.95E-2</v>
      </c>
      <c r="J3113" s="1">
        <v>0.22839999999999999</v>
      </c>
      <c r="K3113" s="1">
        <v>7.4700000000000003E-2</v>
      </c>
      <c r="L3113" s="1">
        <v>4.8300000000000003E-2</v>
      </c>
      <c r="M3113" s="1">
        <v>1.9099999999999999E-2</v>
      </c>
      <c r="N3113">
        <v>10434</v>
      </c>
      <c r="O3113">
        <v>10434</v>
      </c>
      <c r="P3113">
        <v>10434</v>
      </c>
    </row>
    <row r="3114" spans="1:16">
      <c r="A3114" s="25" t="s">
        <v>192</v>
      </c>
      <c r="B3114" t="s">
        <v>192</v>
      </c>
      <c r="C3114" t="s">
        <v>221</v>
      </c>
      <c r="D3114" s="1">
        <v>2.52E-2</v>
      </c>
      <c r="E3114" s="1">
        <v>0.22889999999999999</v>
      </c>
      <c r="F3114" s="1">
        <v>5.28E-2</v>
      </c>
      <c r="G3114" s="1">
        <v>0.1226</v>
      </c>
      <c r="H3114" s="1">
        <v>1.15E-2</v>
      </c>
      <c r="I3114" s="1">
        <v>0.19089999999999999</v>
      </c>
      <c r="J3114" s="1">
        <v>1.7899999999999999E-2</v>
      </c>
      <c r="K3114" s="1">
        <v>4.7999999999999996E-3</v>
      </c>
      <c r="L3114" s="1">
        <v>2.18E-2</v>
      </c>
      <c r="M3114" s="1">
        <v>8.3999999999999995E-3</v>
      </c>
      <c r="N3114">
        <v>10434</v>
      </c>
      <c r="O3114">
        <v>10434</v>
      </c>
      <c r="P3114">
        <v>10434</v>
      </c>
    </row>
    <row r="3116" spans="1:16" ht="43.5">
      <c r="A3116" s="25" t="s">
        <v>1032</v>
      </c>
    </row>
    <row r="3117" spans="1:16">
      <c r="A3117" s="25" t="s">
        <v>181</v>
      </c>
      <c r="B3117" t="s">
        <v>182</v>
      </c>
      <c r="C3117" t="s">
        <v>1015</v>
      </c>
      <c r="D3117" t="s">
        <v>1016</v>
      </c>
      <c r="E3117" t="s">
        <v>1017</v>
      </c>
      <c r="F3117" t="s">
        <v>1018</v>
      </c>
      <c r="G3117" t="s">
        <v>1019</v>
      </c>
      <c r="H3117" t="s">
        <v>1020</v>
      </c>
      <c r="I3117" t="s">
        <v>1021</v>
      </c>
      <c r="J3117" t="s">
        <v>1022</v>
      </c>
      <c r="K3117" t="s">
        <v>1023</v>
      </c>
      <c r="L3117" t="s">
        <v>1024</v>
      </c>
      <c r="M3117" t="s">
        <v>1025</v>
      </c>
      <c r="N3117" t="s">
        <v>1026</v>
      </c>
      <c r="O3117" t="s">
        <v>219</v>
      </c>
      <c r="P3117" t="s">
        <v>188</v>
      </c>
    </row>
    <row r="3118" spans="1:16">
      <c r="A3118" s="25" t="s">
        <v>189</v>
      </c>
      <c r="B3118" t="s">
        <v>201</v>
      </c>
      <c r="C3118" t="s">
        <v>1027</v>
      </c>
      <c r="D3118" s="1">
        <v>3.3999999999999998E-3</v>
      </c>
      <c r="E3118" s="1">
        <v>0.1188</v>
      </c>
      <c r="F3118" s="1">
        <v>6.8999999999999999E-3</v>
      </c>
      <c r="G3118" s="1">
        <v>6.6E-3</v>
      </c>
      <c r="H3118" s="1">
        <v>1.2500000000000001E-2</v>
      </c>
      <c r="I3118" s="1">
        <v>1.9E-3</v>
      </c>
      <c r="J3118" s="1">
        <v>2.2000000000000001E-3</v>
      </c>
      <c r="K3118" s="1">
        <v>4.8999999999999998E-3</v>
      </c>
      <c r="L3118" s="1">
        <v>2.3E-3</v>
      </c>
      <c r="N3118">
        <v>725</v>
      </c>
      <c r="O3118">
        <v>767</v>
      </c>
      <c r="P3118">
        <v>10434</v>
      </c>
    </row>
    <row r="3119" spans="1:16">
      <c r="A3119" s="25" t="s">
        <v>189</v>
      </c>
      <c r="B3119" t="s">
        <v>201</v>
      </c>
      <c r="C3119" t="s">
        <v>1028</v>
      </c>
      <c r="D3119" s="1">
        <v>0.80769999999999997</v>
      </c>
      <c r="E3119" s="1">
        <v>0.37119999999999997</v>
      </c>
      <c r="F3119" s="1">
        <v>0.8821</v>
      </c>
      <c r="G3119" s="1">
        <v>0.70399999999999996</v>
      </c>
      <c r="H3119" s="1">
        <v>0.72170000000000001</v>
      </c>
      <c r="I3119" s="1">
        <v>0.69350000000000001</v>
      </c>
      <c r="J3119" s="1">
        <v>0.78720000000000001</v>
      </c>
      <c r="K3119" s="1">
        <v>0.72399999999999998</v>
      </c>
      <c r="L3119" s="1">
        <v>0.89510000000000001</v>
      </c>
      <c r="M3119" s="1">
        <v>0.95730000000000004</v>
      </c>
      <c r="N3119">
        <v>725</v>
      </c>
      <c r="O3119">
        <v>767</v>
      </c>
      <c r="P3119">
        <v>10434</v>
      </c>
    </row>
    <row r="3120" spans="1:16">
      <c r="A3120" s="25" t="s">
        <v>189</v>
      </c>
      <c r="B3120" t="s">
        <v>201</v>
      </c>
      <c r="C3120" t="s">
        <v>1029</v>
      </c>
      <c r="D3120" s="1">
        <v>0.14030000000000001</v>
      </c>
      <c r="E3120" s="1">
        <v>0.1492</v>
      </c>
      <c r="F3120" s="1">
        <v>2.3199999999999998E-2</v>
      </c>
      <c r="G3120" s="1">
        <v>8.1600000000000006E-2</v>
      </c>
      <c r="H3120" s="1">
        <v>0.25030000000000002</v>
      </c>
      <c r="I3120" s="1">
        <v>2.4400000000000002E-2</v>
      </c>
      <c r="J3120" s="1">
        <v>0.17399999999999999</v>
      </c>
      <c r="K3120" s="1">
        <v>0.2697</v>
      </c>
      <c r="L3120" s="1">
        <v>6.7299999999999999E-2</v>
      </c>
      <c r="M3120" s="1">
        <v>2.5899999999999999E-2</v>
      </c>
      <c r="N3120">
        <v>725</v>
      </c>
      <c r="O3120">
        <v>767</v>
      </c>
      <c r="P3120">
        <v>10434</v>
      </c>
    </row>
    <row r="3121" spans="1:16">
      <c r="A3121" s="25" t="s">
        <v>189</v>
      </c>
      <c r="B3121" t="s">
        <v>201</v>
      </c>
      <c r="C3121" t="s">
        <v>221</v>
      </c>
      <c r="D3121" s="1">
        <v>4.8599999999999997E-2</v>
      </c>
      <c r="E3121" s="1">
        <v>0.36080000000000001</v>
      </c>
      <c r="F3121" s="1">
        <v>8.7900000000000006E-2</v>
      </c>
      <c r="G3121" s="1">
        <v>0.20780000000000001</v>
      </c>
      <c r="H3121" s="1">
        <v>1.55E-2</v>
      </c>
      <c r="I3121" s="1">
        <v>0.2802</v>
      </c>
      <c r="J3121" s="1">
        <v>3.6600000000000001E-2</v>
      </c>
      <c r="K3121" s="1">
        <v>1.4E-3</v>
      </c>
      <c r="L3121" s="1">
        <v>3.5400000000000001E-2</v>
      </c>
      <c r="M3121" s="1">
        <v>1.6799999999999999E-2</v>
      </c>
      <c r="N3121">
        <v>725</v>
      </c>
      <c r="O3121">
        <v>767</v>
      </c>
      <c r="P3121">
        <v>10434</v>
      </c>
    </row>
    <row r="3122" spans="1:16">
      <c r="A3122" s="25" t="s">
        <v>189</v>
      </c>
      <c r="B3122" t="s">
        <v>202</v>
      </c>
      <c r="C3122" t="s">
        <v>1027</v>
      </c>
      <c r="D3122" s="1">
        <v>1.3899999999999999E-2</v>
      </c>
      <c r="E3122" s="1">
        <v>6.2199999999999998E-2</v>
      </c>
      <c r="G3122" s="1">
        <v>7.1000000000000004E-3</v>
      </c>
      <c r="H3122" s="1">
        <v>6.4000000000000003E-3</v>
      </c>
      <c r="I3122" s="1">
        <v>1.01E-2</v>
      </c>
      <c r="J3122" s="1">
        <v>1.3100000000000001E-2</v>
      </c>
      <c r="K3122" s="1">
        <v>4.5999999999999999E-3</v>
      </c>
      <c r="L3122" s="1">
        <v>4.0000000000000001E-3</v>
      </c>
      <c r="M3122" s="1">
        <v>4.0000000000000001E-3</v>
      </c>
      <c r="N3122">
        <v>60</v>
      </c>
      <c r="O3122">
        <v>110</v>
      </c>
      <c r="P3122">
        <v>10434</v>
      </c>
    </row>
    <row r="3123" spans="1:16">
      <c r="A3123" s="25" t="s">
        <v>189</v>
      </c>
      <c r="B3123" t="s">
        <v>202</v>
      </c>
      <c r="C3123" t="s">
        <v>1028</v>
      </c>
      <c r="D3123" s="1">
        <v>0.82609999999999995</v>
      </c>
      <c r="E3123" s="1">
        <v>0.3236</v>
      </c>
      <c r="F3123" s="1">
        <v>0.86029999999999995</v>
      </c>
      <c r="G3123" s="1">
        <v>0.74770000000000003</v>
      </c>
      <c r="H3123" s="1">
        <v>0.82240000000000002</v>
      </c>
      <c r="I3123" s="1">
        <v>0.58889999999999998</v>
      </c>
      <c r="J3123" s="1">
        <v>0.73640000000000005</v>
      </c>
      <c r="K3123" s="1">
        <v>0.9093</v>
      </c>
      <c r="L3123" s="1">
        <v>0.89219999999999999</v>
      </c>
      <c r="M3123" s="1">
        <v>0.9728</v>
      </c>
      <c r="N3123">
        <v>60</v>
      </c>
      <c r="O3123">
        <v>110</v>
      </c>
      <c r="P3123">
        <v>10434</v>
      </c>
    </row>
    <row r="3124" spans="1:16">
      <c r="A3124" s="25" t="s">
        <v>189</v>
      </c>
      <c r="B3124" t="s">
        <v>202</v>
      </c>
      <c r="C3124" t="s">
        <v>1029</v>
      </c>
      <c r="D3124" s="1">
        <v>0.1308</v>
      </c>
      <c r="E3124" s="1">
        <v>0.20200000000000001</v>
      </c>
      <c r="F3124" s="1">
        <v>4.6899999999999997E-2</v>
      </c>
      <c r="G3124" s="1">
        <v>7.1400000000000005E-2</v>
      </c>
      <c r="H3124" s="1">
        <v>0.13200000000000001</v>
      </c>
      <c r="I3124" s="1">
        <v>1.9E-2</v>
      </c>
      <c r="J3124" s="1">
        <v>0.1764</v>
      </c>
      <c r="K3124" s="1">
        <v>8.2600000000000007E-2</v>
      </c>
      <c r="L3124" s="1">
        <v>3.9300000000000002E-2</v>
      </c>
      <c r="M3124" s="1">
        <v>9.7999999999999997E-3</v>
      </c>
      <c r="N3124">
        <v>60</v>
      </c>
      <c r="O3124">
        <v>110</v>
      </c>
      <c r="P3124">
        <v>10434</v>
      </c>
    </row>
    <row r="3125" spans="1:16">
      <c r="A3125" s="25" t="s">
        <v>189</v>
      </c>
      <c r="B3125" t="s">
        <v>202</v>
      </c>
      <c r="C3125" t="s">
        <v>221</v>
      </c>
      <c r="D3125" s="1">
        <v>2.92E-2</v>
      </c>
      <c r="E3125" s="1">
        <v>0.41220000000000001</v>
      </c>
      <c r="F3125" s="1">
        <v>9.2799999999999994E-2</v>
      </c>
      <c r="G3125" s="1">
        <v>0.17380000000000001</v>
      </c>
      <c r="H3125" s="1">
        <v>3.9199999999999999E-2</v>
      </c>
      <c r="I3125" s="1">
        <v>0.38200000000000001</v>
      </c>
      <c r="J3125" s="1">
        <v>7.3999999999999996E-2</v>
      </c>
      <c r="K3125" s="1">
        <v>3.5000000000000001E-3</v>
      </c>
      <c r="L3125" s="1">
        <v>6.4600000000000005E-2</v>
      </c>
      <c r="M3125" s="1">
        <v>1.34E-2</v>
      </c>
      <c r="N3125">
        <v>60</v>
      </c>
      <c r="O3125">
        <v>110</v>
      </c>
      <c r="P3125">
        <v>10434</v>
      </c>
    </row>
    <row r="3126" spans="1:16">
      <c r="A3126" s="25" t="s">
        <v>189</v>
      </c>
      <c r="B3126" t="s">
        <v>203</v>
      </c>
      <c r="C3126" t="s">
        <v>1027</v>
      </c>
      <c r="D3126" s="1">
        <v>1.1599999999999999E-2</v>
      </c>
      <c r="E3126" s="1">
        <v>5.8099999999999999E-2</v>
      </c>
      <c r="F3126" s="1">
        <v>2.5999999999999999E-3</v>
      </c>
      <c r="G3126" s="1">
        <v>7.1000000000000004E-3</v>
      </c>
      <c r="H3126" s="1">
        <v>9.1000000000000004E-3</v>
      </c>
      <c r="I3126" s="1">
        <v>1.03E-2</v>
      </c>
      <c r="J3126" s="1">
        <v>2.7000000000000001E-3</v>
      </c>
      <c r="K3126" s="1">
        <v>2.5000000000000001E-3</v>
      </c>
      <c r="L3126" s="1">
        <v>1.2999999999999999E-3</v>
      </c>
      <c r="M3126" s="1">
        <v>1.1000000000000001E-3</v>
      </c>
      <c r="N3126">
        <v>8194</v>
      </c>
      <c r="O3126">
        <v>8042</v>
      </c>
      <c r="P3126">
        <v>10434</v>
      </c>
    </row>
    <row r="3127" spans="1:16">
      <c r="A3127" s="25" t="s">
        <v>189</v>
      </c>
      <c r="B3127" t="s">
        <v>203</v>
      </c>
      <c r="C3127" t="s">
        <v>1028</v>
      </c>
      <c r="D3127" s="1">
        <v>0.93200000000000005</v>
      </c>
      <c r="E3127" s="1">
        <v>0.62429999999999997</v>
      </c>
      <c r="F3127" s="1">
        <v>0.93220000000000003</v>
      </c>
      <c r="G3127" s="1">
        <v>0.79669999999999996</v>
      </c>
      <c r="H3127" s="1">
        <v>0.85570000000000002</v>
      </c>
      <c r="I3127" s="1">
        <v>0.7833</v>
      </c>
      <c r="J3127" s="1">
        <v>0.73839999999999995</v>
      </c>
      <c r="K3127" s="1">
        <v>0.94030000000000002</v>
      </c>
      <c r="L3127" s="1">
        <v>0.92949999999999999</v>
      </c>
      <c r="M3127" s="1">
        <v>0.97360000000000002</v>
      </c>
      <c r="N3127">
        <v>8194</v>
      </c>
      <c r="O3127">
        <v>8042</v>
      </c>
      <c r="P3127">
        <v>10434</v>
      </c>
    </row>
    <row r="3128" spans="1:16">
      <c r="A3128" s="25" t="s">
        <v>189</v>
      </c>
      <c r="B3128" t="s">
        <v>203</v>
      </c>
      <c r="C3128" t="s">
        <v>1029</v>
      </c>
      <c r="D3128" s="1">
        <v>3.32E-2</v>
      </c>
      <c r="E3128" s="1">
        <v>0.1087</v>
      </c>
      <c r="F3128" s="1">
        <v>1.4800000000000001E-2</v>
      </c>
      <c r="G3128" s="1">
        <v>9.0800000000000006E-2</v>
      </c>
      <c r="H3128" s="1">
        <v>0.12570000000000001</v>
      </c>
      <c r="I3128" s="1">
        <v>1.89E-2</v>
      </c>
      <c r="J3128" s="1">
        <v>0.24460000000000001</v>
      </c>
      <c r="K3128" s="1">
        <v>5.2699999999999997E-2</v>
      </c>
      <c r="L3128" s="1">
        <v>4.9500000000000002E-2</v>
      </c>
      <c r="M3128" s="1">
        <v>1.6899999999999998E-2</v>
      </c>
      <c r="N3128">
        <v>8194</v>
      </c>
      <c r="O3128">
        <v>8042</v>
      </c>
      <c r="P3128">
        <v>10434</v>
      </c>
    </row>
    <row r="3129" spans="1:16">
      <c r="A3129" s="25" t="s">
        <v>189</v>
      </c>
      <c r="B3129" t="s">
        <v>203</v>
      </c>
      <c r="C3129" t="s">
        <v>221</v>
      </c>
      <c r="D3129" s="1">
        <v>2.3199999999999998E-2</v>
      </c>
      <c r="E3129" s="1">
        <v>0.20880000000000001</v>
      </c>
      <c r="F3129" s="1">
        <v>5.0299999999999997E-2</v>
      </c>
      <c r="G3129" s="1">
        <v>0.1053</v>
      </c>
      <c r="H3129" s="1">
        <v>9.4000000000000004E-3</v>
      </c>
      <c r="I3129" s="1">
        <v>0.1875</v>
      </c>
      <c r="J3129" s="1">
        <v>1.4200000000000001E-2</v>
      </c>
      <c r="K3129" s="1">
        <v>4.4000000000000003E-3</v>
      </c>
      <c r="L3129" s="1">
        <v>1.9699999999999999E-2</v>
      </c>
      <c r="M3129" s="1">
        <v>8.3999999999999995E-3</v>
      </c>
      <c r="N3129">
        <v>8194</v>
      </c>
      <c r="O3129">
        <v>8042</v>
      </c>
      <c r="P3129">
        <v>10434</v>
      </c>
    </row>
    <row r="3130" spans="1:16">
      <c r="A3130" s="25" t="s">
        <v>189</v>
      </c>
      <c r="B3130" t="s">
        <v>204</v>
      </c>
      <c r="C3130" t="s">
        <v>1027</v>
      </c>
      <c r="D3130" s="1">
        <v>1.0800000000000001E-2</v>
      </c>
      <c r="E3130" s="1">
        <v>6.7299999999999999E-2</v>
      </c>
      <c r="F3130" s="1">
        <v>1.0800000000000001E-2</v>
      </c>
      <c r="I3130" s="1">
        <v>3.2500000000000001E-2</v>
      </c>
      <c r="L3130" s="1">
        <v>1.0800000000000001E-2</v>
      </c>
      <c r="N3130">
        <v>20</v>
      </c>
      <c r="O3130">
        <v>31</v>
      </c>
      <c r="P3130">
        <v>10434</v>
      </c>
    </row>
    <row r="3131" spans="1:16">
      <c r="A3131" s="25" t="s">
        <v>189</v>
      </c>
      <c r="B3131" t="s">
        <v>204</v>
      </c>
      <c r="C3131" t="s">
        <v>1028</v>
      </c>
      <c r="D3131" s="1">
        <v>0.95840000000000003</v>
      </c>
      <c r="E3131" s="1">
        <v>0.7944</v>
      </c>
      <c r="F3131" s="1">
        <v>0.9667</v>
      </c>
      <c r="G3131" s="1">
        <v>0.87180000000000002</v>
      </c>
      <c r="H3131" s="1">
        <v>0.91180000000000005</v>
      </c>
      <c r="I3131" s="1">
        <v>0.93220000000000003</v>
      </c>
      <c r="J3131" s="1">
        <v>0.93279999999999996</v>
      </c>
      <c r="K3131" s="1">
        <v>0.97060000000000002</v>
      </c>
      <c r="L3131" s="1">
        <v>0.88349999999999995</v>
      </c>
      <c r="M3131" s="1">
        <v>0.97829999999999995</v>
      </c>
      <c r="N3131">
        <v>20</v>
      </c>
      <c r="O3131">
        <v>31</v>
      </c>
      <c r="P3131">
        <v>10434</v>
      </c>
    </row>
    <row r="3132" spans="1:16">
      <c r="A3132" s="25" t="s">
        <v>189</v>
      </c>
      <c r="B3132" t="s">
        <v>204</v>
      </c>
      <c r="C3132" t="s">
        <v>1029</v>
      </c>
      <c r="D3132" s="1">
        <v>3.0800000000000001E-2</v>
      </c>
      <c r="E3132" s="1">
        <v>1.0800000000000001E-2</v>
      </c>
      <c r="F3132" s="1">
        <v>1.0800000000000001E-2</v>
      </c>
      <c r="G3132" s="1">
        <v>1.0800000000000001E-2</v>
      </c>
      <c r="H3132" s="1">
        <v>8.8200000000000001E-2</v>
      </c>
      <c r="J3132" s="1">
        <v>5.5E-2</v>
      </c>
      <c r="K3132" s="1">
        <v>2.1700000000000001E-2</v>
      </c>
      <c r="L3132" s="1">
        <v>2.1700000000000001E-2</v>
      </c>
      <c r="M3132" s="1">
        <v>2.1700000000000001E-2</v>
      </c>
      <c r="N3132">
        <v>20</v>
      </c>
      <c r="O3132">
        <v>31</v>
      </c>
      <c r="P3132">
        <v>10434</v>
      </c>
    </row>
    <row r="3133" spans="1:16">
      <c r="A3133" s="25" t="s">
        <v>189</v>
      </c>
      <c r="B3133" t="s">
        <v>205</v>
      </c>
      <c r="C3133" t="s">
        <v>1027</v>
      </c>
      <c r="D3133" s="1">
        <v>5.4000000000000003E-3</v>
      </c>
      <c r="E3133" s="1">
        <v>3.2099999999999997E-2</v>
      </c>
      <c r="F3133" s="1">
        <v>1.6000000000000001E-3</v>
      </c>
      <c r="G3133" s="1">
        <v>8.3000000000000001E-3</v>
      </c>
      <c r="H3133" s="1">
        <v>6.7000000000000002E-3</v>
      </c>
      <c r="I3133" s="1">
        <v>1.0999999999999999E-2</v>
      </c>
      <c r="J3133" s="1">
        <v>2E-3</v>
      </c>
      <c r="K3133" s="1">
        <v>3.0000000000000001E-3</v>
      </c>
      <c r="L3133" s="1">
        <v>1.1000000000000001E-3</v>
      </c>
      <c r="M3133" s="1">
        <v>1E-3</v>
      </c>
      <c r="N3133">
        <v>1436</v>
      </c>
      <c r="O3133">
        <v>1484</v>
      </c>
      <c r="P3133">
        <v>10434</v>
      </c>
    </row>
    <row r="3134" spans="1:16">
      <c r="A3134" s="25" t="s">
        <v>189</v>
      </c>
      <c r="B3134" t="s">
        <v>205</v>
      </c>
      <c r="C3134" t="s">
        <v>1028</v>
      </c>
      <c r="D3134" s="1">
        <v>0.93310000000000004</v>
      </c>
      <c r="E3134" s="1">
        <v>0.60399999999999998</v>
      </c>
      <c r="F3134" s="1">
        <v>0.93620000000000003</v>
      </c>
      <c r="G3134" s="1">
        <v>0.7429</v>
      </c>
      <c r="H3134" s="1">
        <v>0.85899999999999999</v>
      </c>
      <c r="I3134" s="1">
        <v>0.80889999999999995</v>
      </c>
      <c r="J3134" s="1">
        <v>0.80330000000000001</v>
      </c>
      <c r="K3134" s="1">
        <v>0.88590000000000002</v>
      </c>
      <c r="L3134" s="1">
        <v>0.9415</v>
      </c>
      <c r="M3134" s="1">
        <v>0.96640000000000004</v>
      </c>
      <c r="N3134">
        <v>1436</v>
      </c>
      <c r="O3134">
        <v>1484</v>
      </c>
      <c r="P3134">
        <v>10434</v>
      </c>
    </row>
    <row r="3135" spans="1:16">
      <c r="A3135" s="25" t="s">
        <v>189</v>
      </c>
      <c r="B3135" t="s">
        <v>205</v>
      </c>
      <c r="C3135" t="s">
        <v>1029</v>
      </c>
      <c r="D3135" s="1">
        <v>3.6700000000000003E-2</v>
      </c>
      <c r="E3135" s="1">
        <v>9.3100000000000002E-2</v>
      </c>
      <c r="F3135" s="1">
        <v>1.37E-2</v>
      </c>
      <c r="G3135" s="1">
        <v>7.2400000000000006E-2</v>
      </c>
      <c r="H3135" s="1">
        <v>0.114</v>
      </c>
      <c r="I3135" s="1">
        <v>2.0799999999999999E-2</v>
      </c>
      <c r="J3135" s="1">
        <v>0.1676</v>
      </c>
      <c r="K3135" s="1">
        <v>0.1022</v>
      </c>
      <c r="L3135" s="1">
        <v>3.3000000000000002E-2</v>
      </c>
      <c r="M3135" s="1">
        <v>2.81E-2</v>
      </c>
      <c r="N3135">
        <v>1436</v>
      </c>
      <c r="O3135">
        <v>1484</v>
      </c>
      <c r="P3135">
        <v>10434</v>
      </c>
    </row>
    <row r="3136" spans="1:16">
      <c r="A3136" s="25" t="s">
        <v>189</v>
      </c>
      <c r="B3136" t="s">
        <v>205</v>
      </c>
      <c r="C3136" t="s">
        <v>221</v>
      </c>
      <c r="D3136" s="1">
        <v>2.4799999999999999E-2</v>
      </c>
      <c r="E3136" s="1">
        <v>0.2707</v>
      </c>
      <c r="F3136" s="1">
        <v>4.8399999999999999E-2</v>
      </c>
      <c r="G3136" s="1">
        <v>0.1764</v>
      </c>
      <c r="H3136" s="1">
        <v>2.0299999999999999E-2</v>
      </c>
      <c r="I3136" s="1">
        <v>0.15939999999999999</v>
      </c>
      <c r="J3136" s="1">
        <v>2.7099999999999999E-2</v>
      </c>
      <c r="K3136" s="1">
        <v>8.8999999999999999E-3</v>
      </c>
      <c r="L3136" s="1">
        <v>2.4400000000000002E-2</v>
      </c>
      <c r="M3136" s="1">
        <v>4.4999999999999997E-3</v>
      </c>
      <c r="N3136">
        <v>1436</v>
      </c>
      <c r="O3136">
        <v>1484</v>
      </c>
      <c r="P3136">
        <v>10434</v>
      </c>
    </row>
    <row r="3137" spans="1:16">
      <c r="A3137" s="25" t="s">
        <v>192</v>
      </c>
      <c r="B3137" t="s">
        <v>192</v>
      </c>
      <c r="C3137" t="s">
        <v>1027</v>
      </c>
      <c r="D3137" s="1">
        <v>1.0200000000000001E-2</v>
      </c>
      <c r="E3137" s="1">
        <v>5.8799999999999998E-2</v>
      </c>
      <c r="F3137" s="1">
        <v>2.8E-3</v>
      </c>
      <c r="G3137" s="1">
        <v>7.1999999999999998E-3</v>
      </c>
      <c r="H3137" s="1">
        <v>8.9999999999999993E-3</v>
      </c>
      <c r="I3137" s="1">
        <v>9.7999999999999997E-3</v>
      </c>
      <c r="J3137" s="1">
        <v>2.5999999999999999E-3</v>
      </c>
      <c r="K3137" s="1">
        <v>2.8E-3</v>
      </c>
      <c r="L3137" s="1">
        <v>1.4E-3</v>
      </c>
      <c r="M3137" s="1">
        <v>1E-3</v>
      </c>
      <c r="N3137">
        <v>10434</v>
      </c>
      <c r="O3137">
        <v>10434</v>
      </c>
      <c r="P3137">
        <v>10434</v>
      </c>
    </row>
    <row r="3138" spans="1:16">
      <c r="A3138" s="25" t="s">
        <v>192</v>
      </c>
      <c r="B3138" t="s">
        <v>192</v>
      </c>
      <c r="C3138" t="s">
        <v>1028</v>
      </c>
      <c r="D3138" s="1">
        <v>0.92300000000000004</v>
      </c>
      <c r="E3138" s="1">
        <v>0.60250000000000004</v>
      </c>
      <c r="F3138" s="1">
        <v>0.92900000000000005</v>
      </c>
      <c r="G3138" s="1">
        <v>0.78280000000000005</v>
      </c>
      <c r="H3138" s="1">
        <v>0.8468</v>
      </c>
      <c r="I3138" s="1">
        <v>0.77969999999999995</v>
      </c>
      <c r="J3138" s="1">
        <v>0.75109999999999999</v>
      </c>
      <c r="K3138" s="1">
        <v>0.91769999999999996</v>
      </c>
      <c r="L3138" s="1">
        <v>0.92849999999999999</v>
      </c>
      <c r="M3138" s="1">
        <v>0.97150000000000003</v>
      </c>
      <c r="N3138">
        <v>10434</v>
      </c>
      <c r="O3138">
        <v>10434</v>
      </c>
      <c r="P3138">
        <v>10434</v>
      </c>
    </row>
    <row r="3139" spans="1:16">
      <c r="A3139" s="25" t="s">
        <v>192</v>
      </c>
      <c r="B3139" t="s">
        <v>192</v>
      </c>
      <c r="C3139" t="s">
        <v>1029</v>
      </c>
      <c r="D3139" s="1">
        <v>4.1700000000000001E-2</v>
      </c>
      <c r="E3139" s="1">
        <v>0.10979999999999999</v>
      </c>
      <c r="F3139" s="1">
        <v>1.54E-2</v>
      </c>
      <c r="G3139" s="1">
        <v>8.7400000000000005E-2</v>
      </c>
      <c r="H3139" s="1">
        <v>0.13270000000000001</v>
      </c>
      <c r="I3139" s="1">
        <v>1.95E-2</v>
      </c>
      <c r="J3139" s="1">
        <v>0.22839999999999999</v>
      </c>
      <c r="K3139" s="1">
        <v>7.4700000000000003E-2</v>
      </c>
      <c r="L3139" s="1">
        <v>4.8300000000000003E-2</v>
      </c>
      <c r="M3139" s="1">
        <v>1.9099999999999999E-2</v>
      </c>
      <c r="N3139">
        <v>10434</v>
      </c>
      <c r="O3139">
        <v>10434</v>
      </c>
      <c r="P3139">
        <v>10434</v>
      </c>
    </row>
    <row r="3140" spans="1:16">
      <c r="A3140" s="25" t="s">
        <v>192</v>
      </c>
      <c r="B3140" t="s">
        <v>192</v>
      </c>
      <c r="C3140" t="s">
        <v>221</v>
      </c>
      <c r="D3140" s="1">
        <v>2.52E-2</v>
      </c>
      <c r="E3140" s="1">
        <v>0.22889999999999999</v>
      </c>
      <c r="F3140" s="1">
        <v>5.28E-2</v>
      </c>
      <c r="G3140" s="1">
        <v>0.1226</v>
      </c>
      <c r="H3140" s="1">
        <v>1.15E-2</v>
      </c>
      <c r="I3140" s="1">
        <v>0.19089999999999999</v>
      </c>
      <c r="J3140" s="1">
        <v>1.7899999999999999E-2</v>
      </c>
      <c r="K3140" s="1">
        <v>4.7999999999999996E-3</v>
      </c>
      <c r="L3140" s="1">
        <v>2.18E-2</v>
      </c>
      <c r="M3140" s="1">
        <v>8.3999999999999995E-3</v>
      </c>
      <c r="N3140">
        <v>10434</v>
      </c>
      <c r="O3140">
        <v>10434</v>
      </c>
      <c r="P3140">
        <v>10434</v>
      </c>
    </row>
    <row r="3142" spans="1:16" ht="43.5">
      <c r="A3142" s="25" t="s">
        <v>1033</v>
      </c>
    </row>
    <row r="3143" spans="1:16">
      <c r="A3143" s="25" t="s">
        <v>181</v>
      </c>
      <c r="B3143" t="s">
        <v>182</v>
      </c>
      <c r="C3143" t="s">
        <v>1015</v>
      </c>
      <c r="D3143" t="s">
        <v>1016</v>
      </c>
      <c r="E3143" t="s">
        <v>1017</v>
      </c>
      <c r="F3143" t="s">
        <v>1018</v>
      </c>
      <c r="G3143" t="s">
        <v>1019</v>
      </c>
      <c r="H3143" t="s">
        <v>1020</v>
      </c>
      <c r="I3143" t="s">
        <v>1021</v>
      </c>
      <c r="J3143" t="s">
        <v>1022</v>
      </c>
      <c r="K3143" t="s">
        <v>1023</v>
      </c>
      <c r="L3143" t="s">
        <v>1024</v>
      </c>
      <c r="M3143" t="s">
        <v>1025</v>
      </c>
      <c r="N3143" t="s">
        <v>1026</v>
      </c>
      <c r="O3143" t="s">
        <v>219</v>
      </c>
      <c r="P3143" t="s">
        <v>188</v>
      </c>
    </row>
    <row r="3144" spans="1:16">
      <c r="A3144" s="25" t="s">
        <v>189</v>
      </c>
      <c r="B3144" t="s">
        <v>207</v>
      </c>
      <c r="C3144" t="s">
        <v>1027</v>
      </c>
      <c r="D3144" s="1">
        <v>8.9999999999999993E-3</v>
      </c>
      <c r="E3144" s="1">
        <v>5.7200000000000001E-2</v>
      </c>
      <c r="F3144" s="1">
        <v>2.3999999999999998E-3</v>
      </c>
      <c r="G3144" s="1">
        <v>7.4999999999999997E-3</v>
      </c>
      <c r="H3144" s="1">
        <v>6.7999999999999996E-3</v>
      </c>
      <c r="I3144" s="1">
        <v>1.04E-2</v>
      </c>
      <c r="J3144" s="1">
        <v>2.2000000000000001E-3</v>
      </c>
      <c r="K3144" s="1">
        <v>2.8E-3</v>
      </c>
      <c r="L3144" s="1">
        <v>1.1999999999999999E-3</v>
      </c>
      <c r="M3144" s="1">
        <v>1E-3</v>
      </c>
      <c r="N3144">
        <v>7269</v>
      </c>
      <c r="O3144">
        <v>7254</v>
      </c>
      <c r="P3144">
        <v>10434</v>
      </c>
    </row>
    <row r="3145" spans="1:16">
      <c r="A3145" s="25" t="s">
        <v>189</v>
      </c>
      <c r="B3145" t="s">
        <v>207</v>
      </c>
      <c r="C3145" t="s">
        <v>1028</v>
      </c>
      <c r="D3145" s="1">
        <v>0.93189999999999995</v>
      </c>
      <c r="E3145" s="1">
        <v>0.62239999999999995</v>
      </c>
      <c r="F3145" s="1">
        <v>0.93830000000000002</v>
      </c>
      <c r="G3145" s="1">
        <v>0.79410000000000003</v>
      </c>
      <c r="H3145" s="1">
        <v>0.87480000000000002</v>
      </c>
      <c r="I3145" s="1">
        <v>0.79600000000000004</v>
      </c>
      <c r="J3145" s="1">
        <v>0.76880000000000004</v>
      </c>
      <c r="K3145" s="1">
        <v>0.93179999999999996</v>
      </c>
      <c r="L3145" s="1">
        <v>0.94430000000000003</v>
      </c>
      <c r="M3145" s="1">
        <v>0.97819999999999996</v>
      </c>
      <c r="N3145">
        <v>7269</v>
      </c>
      <c r="O3145">
        <v>7254</v>
      </c>
      <c r="P3145">
        <v>10434</v>
      </c>
    </row>
    <row r="3146" spans="1:16">
      <c r="A3146" s="25" t="s">
        <v>189</v>
      </c>
      <c r="B3146" t="s">
        <v>207</v>
      </c>
      <c r="C3146" t="s">
        <v>1029</v>
      </c>
      <c r="D3146" s="1">
        <v>3.3700000000000001E-2</v>
      </c>
      <c r="E3146" s="1">
        <v>8.9599999999999999E-2</v>
      </c>
      <c r="F3146" s="1">
        <v>1.17E-2</v>
      </c>
      <c r="G3146" s="1">
        <v>6.4500000000000002E-2</v>
      </c>
      <c r="H3146" s="1">
        <v>0.1081</v>
      </c>
      <c r="I3146" s="1">
        <v>1.47E-2</v>
      </c>
      <c r="J3146" s="1">
        <v>0.2109</v>
      </c>
      <c r="K3146" s="1">
        <v>6.0199999999999997E-2</v>
      </c>
      <c r="L3146" s="1">
        <v>3.3799999999999997E-2</v>
      </c>
      <c r="M3146" s="1">
        <v>1.5599999999999999E-2</v>
      </c>
      <c r="N3146">
        <v>7269</v>
      </c>
      <c r="O3146">
        <v>7254</v>
      </c>
      <c r="P3146">
        <v>10434</v>
      </c>
    </row>
    <row r="3147" spans="1:16">
      <c r="A3147" s="25" t="s">
        <v>189</v>
      </c>
      <c r="B3147" t="s">
        <v>207</v>
      </c>
      <c r="C3147" t="s">
        <v>221</v>
      </c>
      <c r="D3147" s="1">
        <v>2.5399999999999999E-2</v>
      </c>
      <c r="E3147" s="1">
        <v>0.23080000000000001</v>
      </c>
      <c r="F3147" s="1">
        <v>4.7600000000000003E-2</v>
      </c>
      <c r="G3147" s="1">
        <v>0.13389999999999999</v>
      </c>
      <c r="H3147" s="1">
        <v>1.03E-2</v>
      </c>
      <c r="I3147" s="1">
        <v>0.1789</v>
      </c>
      <c r="J3147" s="1">
        <v>1.8100000000000002E-2</v>
      </c>
      <c r="K3147" s="1">
        <v>5.1999999999999998E-3</v>
      </c>
      <c r="L3147" s="1">
        <v>2.06E-2</v>
      </c>
      <c r="M3147" s="1">
        <v>5.1000000000000004E-3</v>
      </c>
      <c r="N3147">
        <v>7269</v>
      </c>
      <c r="O3147">
        <v>7254</v>
      </c>
      <c r="P3147">
        <v>10434</v>
      </c>
    </row>
    <row r="3148" spans="1:16">
      <c r="A3148" s="25" t="s">
        <v>189</v>
      </c>
      <c r="B3148" t="s">
        <v>208</v>
      </c>
      <c r="C3148" t="s">
        <v>1027</v>
      </c>
      <c r="D3148" s="1">
        <v>1.4800000000000001E-2</v>
      </c>
      <c r="E3148" s="1">
        <v>6.88E-2</v>
      </c>
      <c r="F3148" s="1">
        <v>4.4999999999999997E-3</v>
      </c>
      <c r="G3148" s="1">
        <v>7.0000000000000001E-3</v>
      </c>
      <c r="H3148" s="1">
        <v>1.6400000000000001E-2</v>
      </c>
      <c r="I3148" s="1">
        <v>9.9000000000000008E-3</v>
      </c>
      <c r="J3148" s="1">
        <v>3.5999999999999999E-3</v>
      </c>
      <c r="K3148" s="1">
        <v>3.5000000000000001E-3</v>
      </c>
      <c r="L3148" s="1">
        <v>2E-3</v>
      </c>
      <c r="M3148" s="1">
        <v>8.0000000000000004E-4</v>
      </c>
      <c r="N3148">
        <v>2345</v>
      </c>
      <c r="O3148">
        <v>2245</v>
      </c>
      <c r="P3148">
        <v>10434</v>
      </c>
    </row>
    <row r="3149" spans="1:16">
      <c r="A3149" s="25" t="s">
        <v>189</v>
      </c>
      <c r="B3149" t="s">
        <v>208</v>
      </c>
      <c r="C3149" t="s">
        <v>1028</v>
      </c>
      <c r="D3149" s="1">
        <v>0.89119999999999999</v>
      </c>
      <c r="E3149" s="1">
        <v>0.55349999999999999</v>
      </c>
      <c r="F3149" s="1">
        <v>0.90149999999999997</v>
      </c>
      <c r="G3149" s="1">
        <v>0.75119999999999998</v>
      </c>
      <c r="H3149" s="1">
        <v>0.75309999999999999</v>
      </c>
      <c r="I3149" s="1">
        <v>0.71740000000000004</v>
      </c>
      <c r="J3149" s="1">
        <v>0.64749999999999996</v>
      </c>
      <c r="K3149" s="1">
        <v>0.86860000000000004</v>
      </c>
      <c r="L3149" s="1">
        <v>0.87239999999999995</v>
      </c>
      <c r="M3149" s="1">
        <v>0.94689999999999996</v>
      </c>
      <c r="N3149">
        <v>2345</v>
      </c>
      <c r="O3149">
        <v>2245</v>
      </c>
      <c r="P3149">
        <v>10434</v>
      </c>
    </row>
    <row r="3150" spans="1:16">
      <c r="A3150" s="25" t="s">
        <v>189</v>
      </c>
      <c r="B3150" t="s">
        <v>208</v>
      </c>
      <c r="C3150" t="s">
        <v>1029</v>
      </c>
      <c r="D3150" s="1">
        <v>7.0199999999999999E-2</v>
      </c>
      <c r="E3150" s="1">
        <v>0.1754</v>
      </c>
      <c r="F3150" s="1">
        <v>3.0800000000000001E-2</v>
      </c>
      <c r="G3150" s="1">
        <v>0.17660000000000001</v>
      </c>
      <c r="H3150" s="1">
        <v>0.22040000000000001</v>
      </c>
      <c r="I3150" s="1">
        <v>3.7100000000000001E-2</v>
      </c>
      <c r="J3150" s="1">
        <v>0.3422</v>
      </c>
      <c r="K3150" s="1">
        <v>0.12520000000000001</v>
      </c>
      <c r="L3150" s="1">
        <v>0.10489999999999999</v>
      </c>
      <c r="M3150" s="1">
        <v>3.3399999999999999E-2</v>
      </c>
      <c r="N3150">
        <v>2345</v>
      </c>
      <c r="O3150">
        <v>2245</v>
      </c>
      <c r="P3150">
        <v>10434</v>
      </c>
    </row>
    <row r="3151" spans="1:16">
      <c r="A3151" s="25" t="s">
        <v>189</v>
      </c>
      <c r="B3151" t="s">
        <v>208</v>
      </c>
      <c r="C3151" t="s">
        <v>221</v>
      </c>
      <c r="D3151" s="1">
        <v>2.3699999999999999E-2</v>
      </c>
      <c r="E3151" s="1">
        <v>0.2024</v>
      </c>
      <c r="F3151" s="1">
        <v>6.3200000000000006E-2</v>
      </c>
      <c r="G3151" s="1">
        <v>6.5199999999999994E-2</v>
      </c>
      <c r="H3151" s="1">
        <v>1.01E-2</v>
      </c>
      <c r="I3151" s="1">
        <v>0.23569999999999999</v>
      </c>
      <c r="J3151" s="1">
        <v>6.7000000000000002E-3</v>
      </c>
      <c r="K3151" s="1">
        <v>2.7000000000000001E-3</v>
      </c>
      <c r="L3151" s="1">
        <v>2.07E-2</v>
      </c>
      <c r="M3151" s="1">
        <v>1.89E-2</v>
      </c>
      <c r="N3151">
        <v>2345</v>
      </c>
      <c r="O3151">
        <v>2245</v>
      </c>
      <c r="P3151">
        <v>10434</v>
      </c>
    </row>
    <row r="3152" spans="1:16">
      <c r="A3152" s="25" t="s">
        <v>189</v>
      </c>
      <c r="B3152" t="s">
        <v>209</v>
      </c>
      <c r="C3152" t="s">
        <v>1027</v>
      </c>
      <c r="D3152" s="1">
        <v>6.7999999999999996E-3</v>
      </c>
      <c r="E3152" s="1">
        <v>4.3900000000000002E-2</v>
      </c>
      <c r="F3152" s="1">
        <v>1.4E-3</v>
      </c>
      <c r="G3152" s="1">
        <v>5.5999999999999999E-3</v>
      </c>
      <c r="H3152" s="1">
        <v>7.0000000000000001E-3</v>
      </c>
      <c r="I3152" s="1">
        <v>4.7000000000000002E-3</v>
      </c>
      <c r="J3152" s="1">
        <v>4.0000000000000001E-3</v>
      </c>
      <c r="K3152" s="1">
        <v>2.9999999999999997E-4</v>
      </c>
      <c r="L3152" s="1">
        <v>1.4E-3</v>
      </c>
      <c r="M3152" s="1">
        <v>1.2999999999999999E-3</v>
      </c>
      <c r="N3152">
        <v>819</v>
      </c>
      <c r="O3152">
        <v>935</v>
      </c>
      <c r="P3152">
        <v>10434</v>
      </c>
    </row>
    <row r="3153" spans="1:16">
      <c r="A3153" s="25" t="s">
        <v>189</v>
      </c>
      <c r="B3153" t="s">
        <v>209</v>
      </c>
      <c r="C3153" t="s">
        <v>1028</v>
      </c>
      <c r="D3153" s="1">
        <v>0.93440000000000001</v>
      </c>
      <c r="E3153" s="1">
        <v>0.56699999999999995</v>
      </c>
      <c r="F3153" s="1">
        <v>0.92469999999999997</v>
      </c>
      <c r="G3153" s="1">
        <v>0.77059999999999995</v>
      </c>
      <c r="H3153" s="1">
        <v>0.86670000000000003</v>
      </c>
      <c r="I3153" s="1">
        <v>0.81399999999999995</v>
      </c>
      <c r="J3153" s="1">
        <v>0.89080000000000004</v>
      </c>
      <c r="K3153" s="1">
        <v>0.93310000000000004</v>
      </c>
      <c r="L3153" s="1">
        <v>0.94840000000000002</v>
      </c>
      <c r="M3153" s="1">
        <v>0.98209999999999997</v>
      </c>
      <c r="N3153">
        <v>819</v>
      </c>
      <c r="O3153">
        <v>935</v>
      </c>
      <c r="P3153">
        <v>10434</v>
      </c>
    </row>
    <row r="3154" spans="1:16">
      <c r="A3154" s="25" t="s">
        <v>189</v>
      </c>
      <c r="B3154" t="s">
        <v>209</v>
      </c>
      <c r="C3154" t="s">
        <v>1029</v>
      </c>
      <c r="D3154" s="1">
        <v>3.1199999999999999E-2</v>
      </c>
      <c r="E3154" s="1">
        <v>0.10050000000000001</v>
      </c>
      <c r="F3154" s="1">
        <v>4.7000000000000002E-3</v>
      </c>
      <c r="G3154" s="1">
        <v>4.19E-2</v>
      </c>
      <c r="H3154" s="1">
        <v>0.1002</v>
      </c>
      <c r="I3154" s="1">
        <v>1.1900000000000001E-2</v>
      </c>
      <c r="J3154" s="1">
        <v>5.7000000000000002E-2</v>
      </c>
      <c r="K3154" s="1">
        <v>5.91E-2</v>
      </c>
      <c r="L3154" s="1">
        <v>1.4800000000000001E-2</v>
      </c>
      <c r="M3154" s="1">
        <v>8.5000000000000006E-3</v>
      </c>
      <c r="N3154">
        <v>819</v>
      </c>
      <c r="O3154">
        <v>935</v>
      </c>
      <c r="P3154">
        <v>10434</v>
      </c>
    </row>
    <row r="3155" spans="1:16">
      <c r="A3155" s="25" t="s">
        <v>189</v>
      </c>
      <c r="B3155" t="s">
        <v>209</v>
      </c>
      <c r="C3155" t="s">
        <v>221</v>
      </c>
      <c r="D3155" s="1">
        <v>2.7699999999999999E-2</v>
      </c>
      <c r="E3155" s="1">
        <v>0.28860000000000002</v>
      </c>
      <c r="F3155" s="1">
        <v>6.9199999999999998E-2</v>
      </c>
      <c r="G3155" s="1">
        <v>0.18190000000000001</v>
      </c>
      <c r="H3155" s="1">
        <v>2.6100000000000002E-2</v>
      </c>
      <c r="I3155" s="1">
        <v>0.1694</v>
      </c>
      <c r="J3155" s="1">
        <v>4.8099999999999997E-2</v>
      </c>
      <c r="K3155" s="1">
        <v>7.4999999999999997E-3</v>
      </c>
      <c r="L3155" s="1">
        <v>3.5299999999999998E-2</v>
      </c>
      <c r="M3155" s="1">
        <v>8.0999999999999996E-3</v>
      </c>
      <c r="N3155">
        <v>819</v>
      </c>
      <c r="O3155">
        <v>935</v>
      </c>
      <c r="P3155">
        <v>10434</v>
      </c>
    </row>
    <row r="3156" spans="1:16">
      <c r="A3156" s="25" t="s">
        <v>192</v>
      </c>
      <c r="B3156" t="s">
        <v>192</v>
      </c>
      <c r="C3156" t="s">
        <v>1027</v>
      </c>
      <c r="D3156" s="1">
        <v>1.0200000000000001E-2</v>
      </c>
      <c r="E3156" s="1">
        <v>5.8799999999999998E-2</v>
      </c>
      <c r="F3156" s="1">
        <v>2.8E-3</v>
      </c>
      <c r="G3156" s="1">
        <v>7.1999999999999998E-3</v>
      </c>
      <c r="H3156" s="1">
        <v>8.9999999999999993E-3</v>
      </c>
      <c r="I3156" s="1">
        <v>9.7999999999999997E-3</v>
      </c>
      <c r="J3156" s="1">
        <v>2.5999999999999999E-3</v>
      </c>
      <c r="K3156" s="1">
        <v>2.8E-3</v>
      </c>
      <c r="L3156" s="1">
        <v>1.4E-3</v>
      </c>
      <c r="M3156" s="1">
        <v>1E-3</v>
      </c>
      <c r="N3156">
        <v>10434</v>
      </c>
      <c r="O3156">
        <v>10434</v>
      </c>
      <c r="P3156">
        <v>10434</v>
      </c>
    </row>
    <row r="3157" spans="1:16">
      <c r="A3157" s="25" t="s">
        <v>192</v>
      </c>
      <c r="B3157" t="s">
        <v>192</v>
      </c>
      <c r="C3157" t="s">
        <v>1028</v>
      </c>
      <c r="D3157" s="1">
        <v>0.92300000000000004</v>
      </c>
      <c r="E3157" s="1">
        <v>0.60250000000000004</v>
      </c>
      <c r="F3157" s="1">
        <v>0.92900000000000005</v>
      </c>
      <c r="G3157" s="1">
        <v>0.78280000000000005</v>
      </c>
      <c r="H3157" s="1">
        <v>0.8468</v>
      </c>
      <c r="I3157" s="1">
        <v>0.77969999999999995</v>
      </c>
      <c r="J3157" s="1">
        <v>0.75109999999999999</v>
      </c>
      <c r="K3157" s="1">
        <v>0.91769999999999996</v>
      </c>
      <c r="L3157" s="1">
        <v>0.92849999999999999</v>
      </c>
      <c r="M3157" s="1">
        <v>0.97150000000000003</v>
      </c>
      <c r="N3157">
        <v>10434</v>
      </c>
      <c r="O3157">
        <v>10434</v>
      </c>
      <c r="P3157">
        <v>10434</v>
      </c>
    </row>
    <row r="3158" spans="1:16">
      <c r="A3158" s="25" t="s">
        <v>192</v>
      </c>
      <c r="B3158" t="s">
        <v>192</v>
      </c>
      <c r="C3158" t="s">
        <v>1029</v>
      </c>
      <c r="D3158" s="1">
        <v>4.1700000000000001E-2</v>
      </c>
      <c r="E3158" s="1">
        <v>0.10979999999999999</v>
      </c>
      <c r="F3158" s="1">
        <v>1.54E-2</v>
      </c>
      <c r="G3158" s="1">
        <v>8.7400000000000005E-2</v>
      </c>
      <c r="H3158" s="1">
        <v>0.13270000000000001</v>
      </c>
      <c r="I3158" s="1">
        <v>1.95E-2</v>
      </c>
      <c r="J3158" s="1">
        <v>0.22839999999999999</v>
      </c>
      <c r="K3158" s="1">
        <v>7.4700000000000003E-2</v>
      </c>
      <c r="L3158" s="1">
        <v>4.8300000000000003E-2</v>
      </c>
      <c r="M3158" s="1">
        <v>1.9099999999999999E-2</v>
      </c>
      <c r="N3158">
        <v>10434</v>
      </c>
      <c r="O3158">
        <v>10434</v>
      </c>
      <c r="P3158">
        <v>10434</v>
      </c>
    </row>
    <row r="3159" spans="1:16">
      <c r="A3159" s="25" t="s">
        <v>192</v>
      </c>
      <c r="B3159" t="s">
        <v>192</v>
      </c>
      <c r="C3159" t="s">
        <v>221</v>
      </c>
      <c r="D3159" s="1">
        <v>2.52E-2</v>
      </c>
      <c r="E3159" s="1">
        <v>0.22889999999999999</v>
      </c>
      <c r="F3159" s="1">
        <v>5.28E-2</v>
      </c>
      <c r="G3159" s="1">
        <v>0.1226</v>
      </c>
      <c r="H3159" s="1">
        <v>1.15E-2</v>
      </c>
      <c r="I3159" s="1">
        <v>0.19089999999999999</v>
      </c>
      <c r="J3159" s="1">
        <v>1.7899999999999999E-2</v>
      </c>
      <c r="K3159" s="1">
        <v>4.7999999999999996E-3</v>
      </c>
      <c r="L3159" s="1">
        <v>2.18E-2</v>
      </c>
      <c r="M3159" s="1">
        <v>8.3999999999999995E-3</v>
      </c>
      <c r="N3159">
        <v>10434</v>
      </c>
      <c r="O3159">
        <v>10434</v>
      </c>
      <c r="P3159">
        <v>10434</v>
      </c>
    </row>
    <row r="3161" spans="1:16" ht="43.5">
      <c r="A3161" s="25" t="s">
        <v>1034</v>
      </c>
    </row>
    <row r="3162" spans="1:16">
      <c r="A3162" s="25" t="s">
        <v>181</v>
      </c>
      <c r="B3162" t="s">
        <v>182</v>
      </c>
      <c r="C3162" t="s">
        <v>1015</v>
      </c>
      <c r="D3162" t="s">
        <v>1016</v>
      </c>
      <c r="E3162" t="s">
        <v>1017</v>
      </c>
      <c r="F3162" t="s">
        <v>1018</v>
      </c>
      <c r="G3162" t="s">
        <v>1019</v>
      </c>
      <c r="H3162" t="s">
        <v>1020</v>
      </c>
      <c r="I3162" t="s">
        <v>1021</v>
      </c>
      <c r="J3162" t="s">
        <v>1022</v>
      </c>
      <c r="K3162" t="s">
        <v>1023</v>
      </c>
      <c r="L3162" t="s">
        <v>1024</v>
      </c>
      <c r="M3162" t="s">
        <v>1025</v>
      </c>
      <c r="N3162" t="s">
        <v>1026</v>
      </c>
      <c r="O3162" t="s">
        <v>219</v>
      </c>
      <c r="P3162" t="s">
        <v>188</v>
      </c>
    </row>
    <row r="3163" spans="1:16">
      <c r="A3163" s="25" t="s">
        <v>189</v>
      </c>
      <c r="B3163" t="s">
        <v>211</v>
      </c>
      <c r="C3163" t="s">
        <v>1027</v>
      </c>
      <c r="D3163" s="1">
        <v>1.04E-2</v>
      </c>
      <c r="E3163" s="1">
        <v>4.7500000000000001E-2</v>
      </c>
      <c r="F3163" s="1">
        <v>1.1000000000000001E-3</v>
      </c>
      <c r="G3163" s="1">
        <v>7.1000000000000004E-3</v>
      </c>
      <c r="H3163" s="1">
        <v>6.7000000000000002E-3</v>
      </c>
      <c r="I3163" s="1">
        <v>7.7000000000000002E-3</v>
      </c>
      <c r="J3163" s="1">
        <v>2.2000000000000001E-3</v>
      </c>
      <c r="K3163" s="1">
        <v>1.9E-3</v>
      </c>
      <c r="L3163" s="1">
        <v>1.1000000000000001E-3</v>
      </c>
      <c r="M3163" s="1">
        <v>6.9999999999999999E-4</v>
      </c>
      <c r="N3163">
        <v>4906</v>
      </c>
      <c r="O3163">
        <v>4972</v>
      </c>
      <c r="P3163">
        <v>10434</v>
      </c>
    </row>
    <row r="3164" spans="1:16">
      <c r="A3164" s="25" t="s">
        <v>189</v>
      </c>
      <c r="B3164" t="s">
        <v>211</v>
      </c>
      <c r="C3164" t="s">
        <v>1028</v>
      </c>
      <c r="D3164" s="1">
        <v>0.9345</v>
      </c>
      <c r="E3164" s="1">
        <v>0.63719999999999999</v>
      </c>
      <c r="F3164" s="1">
        <v>0.9415</v>
      </c>
      <c r="G3164" s="1">
        <v>0.78920000000000001</v>
      </c>
      <c r="H3164" s="1">
        <v>0.87709999999999999</v>
      </c>
      <c r="I3164" s="1">
        <v>0.81399999999999995</v>
      </c>
      <c r="J3164" s="1">
        <v>0.79359999999999997</v>
      </c>
      <c r="K3164" s="1">
        <v>0.9395</v>
      </c>
      <c r="L3164" s="1">
        <v>0.94330000000000003</v>
      </c>
      <c r="M3164" s="1">
        <v>0.98040000000000005</v>
      </c>
      <c r="N3164">
        <v>4906</v>
      </c>
      <c r="O3164">
        <v>4972</v>
      </c>
      <c r="P3164">
        <v>10434</v>
      </c>
    </row>
    <row r="3165" spans="1:16">
      <c r="A3165" s="25" t="s">
        <v>189</v>
      </c>
      <c r="B3165" t="s">
        <v>211</v>
      </c>
      <c r="C3165" t="s">
        <v>1029</v>
      </c>
      <c r="D3165" s="1">
        <v>3.0499999999999999E-2</v>
      </c>
      <c r="E3165" s="1">
        <v>8.2400000000000001E-2</v>
      </c>
      <c r="F3165" s="1">
        <v>1.17E-2</v>
      </c>
      <c r="G3165" s="1">
        <v>6.3E-2</v>
      </c>
      <c r="H3165" s="1">
        <v>0.10440000000000001</v>
      </c>
      <c r="I3165" s="1">
        <v>1.61E-2</v>
      </c>
      <c r="J3165" s="1">
        <v>0.18590000000000001</v>
      </c>
      <c r="K3165" s="1">
        <v>5.2900000000000003E-2</v>
      </c>
      <c r="L3165" s="1">
        <v>3.3500000000000002E-2</v>
      </c>
      <c r="M3165" s="1">
        <v>1.5599999999999999E-2</v>
      </c>
      <c r="N3165">
        <v>4906</v>
      </c>
      <c r="O3165">
        <v>4972</v>
      </c>
      <c r="P3165">
        <v>10434</v>
      </c>
    </row>
    <row r="3166" spans="1:16">
      <c r="A3166" s="25" t="s">
        <v>189</v>
      </c>
      <c r="B3166" t="s">
        <v>211</v>
      </c>
      <c r="C3166" t="s">
        <v>221</v>
      </c>
      <c r="D3166" s="1">
        <v>2.46E-2</v>
      </c>
      <c r="E3166" s="1">
        <v>0.23300000000000001</v>
      </c>
      <c r="F3166" s="1">
        <v>4.5699999999999998E-2</v>
      </c>
      <c r="G3166" s="1">
        <v>0.1406</v>
      </c>
      <c r="H3166" s="1">
        <v>1.18E-2</v>
      </c>
      <c r="I3166" s="1">
        <v>0.16220000000000001</v>
      </c>
      <c r="J3166" s="1">
        <v>1.8200000000000001E-2</v>
      </c>
      <c r="K3166" s="1">
        <v>5.7000000000000002E-3</v>
      </c>
      <c r="L3166" s="1">
        <v>2.2100000000000002E-2</v>
      </c>
      <c r="M3166" s="1">
        <v>3.3E-3</v>
      </c>
      <c r="N3166">
        <v>4906</v>
      </c>
      <c r="O3166">
        <v>4972</v>
      </c>
      <c r="P3166">
        <v>10434</v>
      </c>
    </row>
    <row r="3167" spans="1:16">
      <c r="A3167" s="25" t="s">
        <v>189</v>
      </c>
      <c r="B3167" t="s">
        <v>212</v>
      </c>
      <c r="C3167" t="s">
        <v>1027</v>
      </c>
      <c r="D3167" s="1">
        <v>8.9999999999999993E-3</v>
      </c>
      <c r="E3167" s="1">
        <v>6.7100000000000007E-2</v>
      </c>
      <c r="F3167" s="1">
        <v>3.8E-3</v>
      </c>
      <c r="G3167" s="1">
        <v>9.2999999999999992E-3</v>
      </c>
      <c r="H3167" s="1">
        <v>1.09E-2</v>
      </c>
      <c r="I3167" s="1">
        <v>9.4000000000000004E-3</v>
      </c>
      <c r="J3167" s="1">
        <v>3.8E-3</v>
      </c>
      <c r="K3167" s="1">
        <v>2.5000000000000001E-3</v>
      </c>
      <c r="L3167" s="1">
        <v>2.0999999999999999E-3</v>
      </c>
      <c r="M3167" s="1">
        <v>1E-3</v>
      </c>
      <c r="N3167">
        <v>3244</v>
      </c>
      <c r="O3167">
        <v>3376</v>
      </c>
      <c r="P3167">
        <v>10434</v>
      </c>
    </row>
    <row r="3168" spans="1:16">
      <c r="A3168" s="25" t="s">
        <v>189</v>
      </c>
      <c r="B3168" t="s">
        <v>212</v>
      </c>
      <c r="C3168" t="s">
        <v>1028</v>
      </c>
      <c r="D3168" s="1">
        <v>0.89959999999999996</v>
      </c>
      <c r="E3168" s="1">
        <v>0.52529999999999999</v>
      </c>
      <c r="F3168" s="1">
        <v>0.90910000000000002</v>
      </c>
      <c r="G3168" s="1">
        <v>0.75409999999999999</v>
      </c>
      <c r="H3168" s="1">
        <v>0.78600000000000003</v>
      </c>
      <c r="I3168" s="1">
        <v>0.69540000000000002</v>
      </c>
      <c r="J3168" s="1">
        <v>0.6946</v>
      </c>
      <c r="K3168" s="1">
        <v>0.89080000000000004</v>
      </c>
      <c r="L3168" s="1">
        <v>0.90329999999999999</v>
      </c>
      <c r="M3168" s="1">
        <v>0.95909999999999995</v>
      </c>
      <c r="N3168">
        <v>3244</v>
      </c>
      <c r="O3168">
        <v>3376</v>
      </c>
      <c r="P3168">
        <v>10434</v>
      </c>
    </row>
    <row r="3169" spans="1:16">
      <c r="A3169" s="25" t="s">
        <v>189</v>
      </c>
      <c r="B3169" t="s">
        <v>212</v>
      </c>
      <c r="C3169" t="s">
        <v>1029</v>
      </c>
      <c r="D3169" s="1">
        <v>6.3200000000000006E-2</v>
      </c>
      <c r="E3169" s="1">
        <v>0.16059999999999999</v>
      </c>
      <c r="F3169" s="1">
        <v>2.3199999999999998E-2</v>
      </c>
      <c r="G3169" s="1">
        <v>0.14499999999999999</v>
      </c>
      <c r="H3169" s="1">
        <v>0.19570000000000001</v>
      </c>
      <c r="I3169" s="1">
        <v>3.0200000000000001E-2</v>
      </c>
      <c r="J3169" s="1">
        <v>0.28100000000000003</v>
      </c>
      <c r="K3169" s="1">
        <v>0.1012</v>
      </c>
      <c r="L3169" s="1">
        <v>8.4900000000000003E-2</v>
      </c>
      <c r="M3169" s="1">
        <v>2.9000000000000001E-2</v>
      </c>
      <c r="N3169">
        <v>3244</v>
      </c>
      <c r="O3169">
        <v>3376</v>
      </c>
      <c r="P3169">
        <v>10434</v>
      </c>
    </row>
    <row r="3170" spans="1:16">
      <c r="A3170" s="25" t="s">
        <v>189</v>
      </c>
      <c r="B3170" t="s">
        <v>212</v>
      </c>
      <c r="C3170" t="s">
        <v>221</v>
      </c>
      <c r="D3170" s="1">
        <v>2.8199999999999999E-2</v>
      </c>
      <c r="E3170" s="1">
        <v>0.247</v>
      </c>
      <c r="F3170" s="1">
        <v>6.3899999999999998E-2</v>
      </c>
      <c r="G3170" s="1">
        <v>9.1499999999999998E-2</v>
      </c>
      <c r="H3170" s="1">
        <v>7.4000000000000003E-3</v>
      </c>
      <c r="I3170" s="1">
        <v>0.2651</v>
      </c>
      <c r="J3170" s="1">
        <v>2.06E-2</v>
      </c>
      <c r="K3170" s="1">
        <v>5.4000000000000003E-3</v>
      </c>
      <c r="L3170" s="1">
        <v>9.7000000000000003E-3</v>
      </c>
      <c r="M3170" s="1">
        <v>1.09E-2</v>
      </c>
      <c r="N3170">
        <v>3244</v>
      </c>
      <c r="O3170">
        <v>3376</v>
      </c>
      <c r="P3170">
        <v>10434</v>
      </c>
    </row>
    <row r="3171" spans="1:16">
      <c r="A3171" s="25" t="s">
        <v>189</v>
      </c>
      <c r="B3171" t="s">
        <v>213</v>
      </c>
      <c r="C3171" t="s">
        <v>1027</v>
      </c>
      <c r="D3171" s="1">
        <v>1.1299999999999999E-2</v>
      </c>
      <c r="E3171" s="1">
        <v>7.1099999999999997E-2</v>
      </c>
      <c r="F3171" s="1">
        <v>4.8999999999999998E-3</v>
      </c>
      <c r="G3171" s="1">
        <v>4.5999999999999999E-3</v>
      </c>
      <c r="H3171" s="1">
        <v>1.0999999999999999E-2</v>
      </c>
      <c r="I3171" s="1">
        <v>1.5100000000000001E-2</v>
      </c>
      <c r="J3171" s="1">
        <v>1.8E-3</v>
      </c>
      <c r="K3171" s="1">
        <v>5.1000000000000004E-3</v>
      </c>
      <c r="L3171" s="1">
        <v>1E-3</v>
      </c>
      <c r="M3171" s="1">
        <v>1.6000000000000001E-3</v>
      </c>
      <c r="N3171">
        <v>2284</v>
      </c>
      <c r="O3171">
        <v>2086</v>
      </c>
      <c r="P3171">
        <v>10434</v>
      </c>
    </row>
    <row r="3172" spans="1:16">
      <c r="A3172" s="25" t="s">
        <v>189</v>
      </c>
      <c r="B3172" t="s">
        <v>213</v>
      </c>
      <c r="C3172" t="s">
        <v>1028</v>
      </c>
      <c r="D3172" s="1">
        <v>0.93140000000000001</v>
      </c>
      <c r="E3172" s="1">
        <v>0.63790000000000002</v>
      </c>
      <c r="F3172" s="1">
        <v>0.93020000000000003</v>
      </c>
      <c r="G3172" s="1">
        <v>0.80900000000000005</v>
      </c>
      <c r="H3172" s="1">
        <v>0.86809999999999998</v>
      </c>
      <c r="I3172" s="1">
        <v>0.82589999999999997</v>
      </c>
      <c r="J3172" s="1">
        <v>0.74009999999999998</v>
      </c>
      <c r="K3172" s="1">
        <v>0.90880000000000005</v>
      </c>
      <c r="L3172" s="1">
        <v>0.93259999999999998</v>
      </c>
      <c r="M3172" s="1">
        <v>0.97</v>
      </c>
      <c r="N3172">
        <v>2284</v>
      </c>
      <c r="O3172">
        <v>2086</v>
      </c>
      <c r="P3172">
        <v>10434</v>
      </c>
    </row>
    <row r="3173" spans="1:16">
      <c r="A3173" s="25" t="s">
        <v>189</v>
      </c>
      <c r="B3173" t="s">
        <v>213</v>
      </c>
      <c r="C3173" t="s">
        <v>1029</v>
      </c>
      <c r="D3173" s="1">
        <v>3.5000000000000003E-2</v>
      </c>
      <c r="E3173" s="1">
        <v>9.6299999999999997E-2</v>
      </c>
      <c r="F3173" s="1">
        <v>1.2500000000000001E-2</v>
      </c>
      <c r="G3173" s="1">
        <v>5.9200000000000003E-2</v>
      </c>
      <c r="H3173" s="1">
        <v>0.1043</v>
      </c>
      <c r="I3173" s="1">
        <v>1.1900000000000001E-2</v>
      </c>
      <c r="J3173" s="1">
        <v>0.24460000000000001</v>
      </c>
      <c r="K3173" s="1">
        <v>8.4000000000000005E-2</v>
      </c>
      <c r="L3173" s="1">
        <v>2.81E-2</v>
      </c>
      <c r="M3173" s="1">
        <v>1.24E-2</v>
      </c>
      <c r="N3173">
        <v>2284</v>
      </c>
      <c r="O3173">
        <v>2086</v>
      </c>
      <c r="P3173">
        <v>10434</v>
      </c>
    </row>
    <row r="3174" spans="1:16">
      <c r="A3174" s="25" t="s">
        <v>189</v>
      </c>
      <c r="B3174" t="s">
        <v>213</v>
      </c>
      <c r="C3174" t="s">
        <v>221</v>
      </c>
      <c r="D3174" s="1">
        <v>2.24E-2</v>
      </c>
      <c r="E3174" s="1">
        <v>0.1946</v>
      </c>
      <c r="F3174" s="1">
        <v>5.2400000000000002E-2</v>
      </c>
      <c r="G3174" s="1">
        <v>0.12720000000000001</v>
      </c>
      <c r="H3174" s="1">
        <v>1.66E-2</v>
      </c>
      <c r="I3174" s="1">
        <v>0.14710000000000001</v>
      </c>
      <c r="J3174" s="1">
        <v>1.35E-2</v>
      </c>
      <c r="K3174" s="1">
        <v>2.0999999999999999E-3</v>
      </c>
      <c r="L3174" s="1">
        <v>3.8399999999999997E-2</v>
      </c>
      <c r="M3174" s="1">
        <v>1.6E-2</v>
      </c>
      <c r="N3174">
        <v>2284</v>
      </c>
      <c r="O3174">
        <v>2086</v>
      </c>
      <c r="P3174">
        <v>10434</v>
      </c>
    </row>
    <row r="3175" spans="1:16">
      <c r="A3175" s="25" t="s">
        <v>192</v>
      </c>
      <c r="B3175" t="s">
        <v>192</v>
      </c>
      <c r="C3175" t="s">
        <v>1027</v>
      </c>
      <c r="D3175" s="1">
        <v>1.0200000000000001E-2</v>
      </c>
      <c r="E3175" s="1">
        <v>5.8799999999999998E-2</v>
      </c>
      <c r="F3175" s="1">
        <v>2.8E-3</v>
      </c>
      <c r="G3175" s="1">
        <v>7.1999999999999998E-3</v>
      </c>
      <c r="H3175" s="1">
        <v>8.9999999999999993E-3</v>
      </c>
      <c r="I3175" s="1">
        <v>9.7999999999999997E-3</v>
      </c>
      <c r="J3175" s="1">
        <v>2.5999999999999999E-3</v>
      </c>
      <c r="K3175" s="1">
        <v>2.8E-3</v>
      </c>
      <c r="L3175" s="1">
        <v>1.4E-3</v>
      </c>
      <c r="M3175" s="1">
        <v>1E-3</v>
      </c>
      <c r="N3175">
        <v>10434</v>
      </c>
      <c r="O3175">
        <v>10434</v>
      </c>
      <c r="P3175">
        <v>10434</v>
      </c>
    </row>
    <row r="3176" spans="1:16">
      <c r="A3176" s="25" t="s">
        <v>192</v>
      </c>
      <c r="B3176" t="s">
        <v>192</v>
      </c>
      <c r="C3176" t="s">
        <v>1028</v>
      </c>
      <c r="D3176" s="1">
        <v>0.92300000000000004</v>
      </c>
      <c r="E3176" s="1">
        <v>0.60250000000000004</v>
      </c>
      <c r="F3176" s="1">
        <v>0.92900000000000005</v>
      </c>
      <c r="G3176" s="1">
        <v>0.78280000000000005</v>
      </c>
      <c r="H3176" s="1">
        <v>0.8468</v>
      </c>
      <c r="I3176" s="1">
        <v>0.77969999999999995</v>
      </c>
      <c r="J3176" s="1">
        <v>0.75109999999999999</v>
      </c>
      <c r="K3176" s="1">
        <v>0.91769999999999996</v>
      </c>
      <c r="L3176" s="1">
        <v>0.92849999999999999</v>
      </c>
      <c r="M3176" s="1">
        <v>0.97150000000000003</v>
      </c>
      <c r="N3176">
        <v>10434</v>
      </c>
      <c r="O3176">
        <v>10434</v>
      </c>
      <c r="P3176">
        <v>10434</v>
      </c>
    </row>
    <row r="3177" spans="1:16">
      <c r="A3177" s="25" t="s">
        <v>192</v>
      </c>
      <c r="B3177" t="s">
        <v>192</v>
      </c>
      <c r="C3177" t="s">
        <v>1029</v>
      </c>
      <c r="D3177" s="1">
        <v>4.1700000000000001E-2</v>
      </c>
      <c r="E3177" s="1">
        <v>0.10979999999999999</v>
      </c>
      <c r="F3177" s="1">
        <v>1.54E-2</v>
      </c>
      <c r="G3177" s="1">
        <v>8.7400000000000005E-2</v>
      </c>
      <c r="H3177" s="1">
        <v>0.13270000000000001</v>
      </c>
      <c r="I3177" s="1">
        <v>1.95E-2</v>
      </c>
      <c r="J3177" s="1">
        <v>0.22839999999999999</v>
      </c>
      <c r="K3177" s="1">
        <v>7.4700000000000003E-2</v>
      </c>
      <c r="L3177" s="1">
        <v>4.8300000000000003E-2</v>
      </c>
      <c r="M3177" s="1">
        <v>1.9099999999999999E-2</v>
      </c>
      <c r="N3177">
        <v>10434</v>
      </c>
      <c r="O3177">
        <v>10434</v>
      </c>
      <c r="P3177">
        <v>10434</v>
      </c>
    </row>
    <row r="3178" spans="1:16">
      <c r="A3178" s="25" t="s">
        <v>192</v>
      </c>
      <c r="B3178" t="s">
        <v>192</v>
      </c>
      <c r="C3178" t="s">
        <v>221</v>
      </c>
      <c r="D3178" s="1">
        <v>2.52E-2</v>
      </c>
      <c r="E3178" s="1">
        <v>0.22889999999999999</v>
      </c>
      <c r="F3178" s="1">
        <v>5.28E-2</v>
      </c>
      <c r="G3178" s="1">
        <v>0.1226</v>
      </c>
      <c r="H3178" s="1">
        <v>1.15E-2</v>
      </c>
      <c r="I3178" s="1">
        <v>0.19089999999999999</v>
      </c>
      <c r="J3178" s="1">
        <v>1.7899999999999999E-2</v>
      </c>
      <c r="K3178" s="1">
        <v>4.7999999999999996E-3</v>
      </c>
      <c r="L3178" s="1">
        <v>2.18E-2</v>
      </c>
      <c r="M3178" s="1">
        <v>8.3999999999999995E-3</v>
      </c>
      <c r="N3178">
        <v>10434</v>
      </c>
      <c r="O3178">
        <v>10434</v>
      </c>
      <c r="P3178">
        <v>10434</v>
      </c>
    </row>
    <row r="3180" spans="1:16" ht="43.5">
      <c r="A3180" s="25" t="s">
        <v>1035</v>
      </c>
    </row>
    <row r="3181" spans="1:16">
      <c r="A3181" s="25" t="s">
        <v>182</v>
      </c>
      <c r="B3181" t="s">
        <v>219</v>
      </c>
      <c r="C3181" t="s">
        <v>181</v>
      </c>
      <c r="D3181" t="s">
        <v>188</v>
      </c>
      <c r="E3181" t="s">
        <v>241</v>
      </c>
      <c r="F3181" t="s">
        <v>1036</v>
      </c>
      <c r="G3181" t="s">
        <v>1037</v>
      </c>
      <c r="H3181" t="s">
        <v>1038</v>
      </c>
      <c r="I3181" t="s">
        <v>1039</v>
      </c>
      <c r="J3181" t="s">
        <v>1040</v>
      </c>
    </row>
    <row r="3182" spans="1:16">
      <c r="A3182" s="25" t="s">
        <v>190</v>
      </c>
      <c r="B3182">
        <v>2307</v>
      </c>
      <c r="C3182" t="s">
        <v>189</v>
      </c>
      <c r="D3182">
        <v>4817</v>
      </c>
      <c r="E3182" s="1">
        <v>2.7099999999999999E-2</v>
      </c>
      <c r="F3182" s="1">
        <v>2.9600000000000001E-2</v>
      </c>
      <c r="G3182" s="1">
        <v>5.2400000000000002E-2</v>
      </c>
      <c r="H3182" s="1">
        <v>0.49259999999999998</v>
      </c>
      <c r="I3182" s="1">
        <v>0.65649999999999997</v>
      </c>
      <c r="J3182" s="1">
        <v>0.36730000000000002</v>
      </c>
    </row>
    <row r="3183" spans="1:16">
      <c r="A3183" s="25" t="s">
        <v>191</v>
      </c>
      <c r="B3183">
        <v>2473</v>
      </c>
      <c r="C3183" t="s">
        <v>189</v>
      </c>
      <c r="D3183">
        <v>4817</v>
      </c>
      <c r="E3183" s="1">
        <v>2.86E-2</v>
      </c>
      <c r="F3183" s="1">
        <v>4.0399999999999998E-2</v>
      </c>
      <c r="G3183" s="1">
        <v>7.4499999999999997E-2</v>
      </c>
      <c r="H3183" s="1">
        <v>0.56810000000000005</v>
      </c>
      <c r="I3183" s="1">
        <v>0.55779999999999996</v>
      </c>
      <c r="J3183" s="1">
        <v>0.48010000000000003</v>
      </c>
    </row>
    <row r="3184" spans="1:16">
      <c r="A3184" s="25" t="s">
        <v>192</v>
      </c>
      <c r="B3184">
        <v>4817</v>
      </c>
      <c r="C3184" t="s">
        <v>192</v>
      </c>
      <c r="D3184">
        <v>4817</v>
      </c>
      <c r="E3184" s="1">
        <v>2.8400000000000002E-2</v>
      </c>
      <c r="F3184" s="1">
        <v>3.5999999999999997E-2</v>
      </c>
      <c r="G3184" s="1">
        <v>6.5799999999999997E-2</v>
      </c>
      <c r="H3184" s="1">
        <v>0.5373</v>
      </c>
      <c r="I3184" s="1">
        <v>0.59750000000000003</v>
      </c>
      <c r="J3184" s="1">
        <v>0.43419999999999997</v>
      </c>
    </row>
    <row r="3186" spans="1:10" ht="57.95">
      <c r="A3186" s="25" t="s">
        <v>1041</v>
      </c>
    </row>
    <row r="3187" spans="1:10">
      <c r="A3187" s="25" t="s">
        <v>182</v>
      </c>
      <c r="B3187" t="s">
        <v>219</v>
      </c>
      <c r="C3187" t="s">
        <v>181</v>
      </c>
      <c r="D3187" t="s">
        <v>188</v>
      </c>
      <c r="E3187" t="s">
        <v>241</v>
      </c>
      <c r="F3187" t="s">
        <v>1036</v>
      </c>
      <c r="G3187" t="s">
        <v>1037</v>
      </c>
      <c r="H3187" t="s">
        <v>1038</v>
      </c>
      <c r="I3187" t="s">
        <v>1039</v>
      </c>
      <c r="J3187" t="s">
        <v>1040</v>
      </c>
    </row>
    <row r="3188" spans="1:10" ht="29.1">
      <c r="A3188" s="25" t="s">
        <v>194</v>
      </c>
      <c r="B3188">
        <v>2309</v>
      </c>
      <c r="C3188" t="s">
        <v>189</v>
      </c>
      <c r="D3188">
        <v>4817</v>
      </c>
      <c r="E3188" s="1">
        <v>1.7299999999999999E-2</v>
      </c>
      <c r="F3188" s="1">
        <v>3.2500000000000001E-2</v>
      </c>
      <c r="G3188" s="1">
        <v>5.8799999999999998E-2</v>
      </c>
      <c r="H3188" s="1">
        <v>0.52370000000000005</v>
      </c>
      <c r="I3188" s="1">
        <v>0.64080000000000004</v>
      </c>
      <c r="J3188" s="1">
        <v>0.40960000000000002</v>
      </c>
    </row>
    <row r="3189" spans="1:10" ht="29.1">
      <c r="A3189" s="25" t="s">
        <v>195</v>
      </c>
      <c r="B3189">
        <v>1340</v>
      </c>
      <c r="C3189" t="s">
        <v>189</v>
      </c>
      <c r="D3189">
        <v>4817</v>
      </c>
      <c r="E3189" s="1">
        <v>3.8300000000000001E-2</v>
      </c>
      <c r="F3189" s="1">
        <v>4.5999999999999999E-2</v>
      </c>
      <c r="G3189" s="1">
        <v>5.8500000000000003E-2</v>
      </c>
      <c r="H3189" s="1">
        <v>0.55779999999999996</v>
      </c>
      <c r="I3189" s="1">
        <v>0.51729999999999998</v>
      </c>
      <c r="J3189" s="1">
        <v>0.4234</v>
      </c>
    </row>
    <row r="3190" spans="1:10" ht="29.1">
      <c r="A3190" s="25" t="s">
        <v>196</v>
      </c>
      <c r="B3190">
        <v>1131</v>
      </c>
      <c r="C3190" t="s">
        <v>189</v>
      </c>
      <c r="D3190">
        <v>4817</v>
      </c>
      <c r="E3190" s="1">
        <v>5.9900000000000002E-2</v>
      </c>
      <c r="F3190" s="1">
        <v>3.7100000000000001E-2</v>
      </c>
      <c r="G3190" s="1">
        <v>0.105</v>
      </c>
      <c r="H3190" s="1">
        <v>0.56810000000000005</v>
      </c>
      <c r="I3190" s="1">
        <v>0.52769999999999995</v>
      </c>
      <c r="J3190" s="1">
        <v>0.55730000000000002</v>
      </c>
    </row>
    <row r="3191" spans="1:10">
      <c r="A3191" s="25" t="s">
        <v>192</v>
      </c>
      <c r="B3191">
        <v>4817</v>
      </c>
      <c r="C3191" t="s">
        <v>192</v>
      </c>
      <c r="D3191">
        <v>4817</v>
      </c>
      <c r="E3191" s="1">
        <v>2.8400000000000002E-2</v>
      </c>
      <c r="F3191" s="1">
        <v>3.5999999999999997E-2</v>
      </c>
      <c r="G3191" s="1">
        <v>6.5799999999999997E-2</v>
      </c>
      <c r="H3191" s="1">
        <v>0.5373</v>
      </c>
      <c r="I3191" s="1">
        <v>0.59750000000000003</v>
      </c>
      <c r="J3191" s="1">
        <v>0.43419999999999997</v>
      </c>
    </row>
    <row r="3193" spans="1:10" ht="43.5">
      <c r="A3193" s="25" t="s">
        <v>1042</v>
      </c>
    </row>
    <row r="3194" spans="1:10">
      <c r="A3194" s="25" t="s">
        <v>182</v>
      </c>
      <c r="B3194" t="s">
        <v>219</v>
      </c>
      <c r="C3194" t="s">
        <v>181</v>
      </c>
      <c r="D3194" t="s">
        <v>188</v>
      </c>
      <c r="E3194" t="s">
        <v>241</v>
      </c>
      <c r="F3194" t="s">
        <v>1036</v>
      </c>
      <c r="G3194" t="s">
        <v>1037</v>
      </c>
      <c r="H3194" t="s">
        <v>1038</v>
      </c>
      <c r="I3194" t="s">
        <v>1039</v>
      </c>
      <c r="J3194" t="s">
        <v>1040</v>
      </c>
    </row>
    <row r="3195" spans="1:10">
      <c r="A3195" s="25" t="s">
        <v>198</v>
      </c>
      <c r="B3195">
        <v>1378</v>
      </c>
      <c r="C3195" t="s">
        <v>189</v>
      </c>
      <c r="D3195">
        <v>4817</v>
      </c>
      <c r="E3195" s="1">
        <v>2.3800000000000002E-2</v>
      </c>
      <c r="F3195" s="1">
        <v>2.9100000000000001E-2</v>
      </c>
      <c r="G3195" s="1">
        <v>4.2799999999999998E-2</v>
      </c>
      <c r="H3195" s="1">
        <v>0.54900000000000004</v>
      </c>
      <c r="I3195" s="1">
        <v>0.72799999999999998</v>
      </c>
      <c r="J3195" s="1">
        <v>0.39989999999999998</v>
      </c>
    </row>
    <row r="3196" spans="1:10">
      <c r="A3196" s="25" t="s">
        <v>199</v>
      </c>
      <c r="B3196">
        <v>3439</v>
      </c>
      <c r="C3196" t="s">
        <v>189</v>
      </c>
      <c r="D3196">
        <v>4817</v>
      </c>
      <c r="E3196" s="1">
        <v>0.03</v>
      </c>
      <c r="F3196" s="1">
        <v>3.8399999999999997E-2</v>
      </c>
      <c r="G3196" s="1">
        <v>7.3700000000000002E-2</v>
      </c>
      <c r="H3196" s="1">
        <v>0.53320000000000001</v>
      </c>
      <c r="I3196" s="1">
        <v>0.55259999999999998</v>
      </c>
      <c r="J3196" s="1">
        <v>0.44600000000000001</v>
      </c>
    </row>
    <row r="3197" spans="1:10">
      <c r="A3197" s="25" t="s">
        <v>192</v>
      </c>
      <c r="B3197">
        <v>4817</v>
      </c>
      <c r="C3197" t="s">
        <v>192</v>
      </c>
      <c r="D3197">
        <v>4817</v>
      </c>
      <c r="E3197" s="1">
        <v>2.8400000000000002E-2</v>
      </c>
      <c r="F3197" s="1">
        <v>3.5999999999999997E-2</v>
      </c>
      <c r="G3197" s="1">
        <v>6.5799999999999997E-2</v>
      </c>
      <c r="H3197" s="1">
        <v>0.5373</v>
      </c>
      <c r="I3197" s="1">
        <v>0.59750000000000003</v>
      </c>
      <c r="J3197" s="1">
        <v>0.43419999999999997</v>
      </c>
    </row>
    <row r="3199" spans="1:10" ht="43.5">
      <c r="A3199" s="25" t="s">
        <v>1043</v>
      </c>
    </row>
    <row r="3200" spans="1:10">
      <c r="A3200" s="25" t="s">
        <v>182</v>
      </c>
      <c r="B3200" t="s">
        <v>219</v>
      </c>
      <c r="C3200" t="s">
        <v>181</v>
      </c>
      <c r="D3200" t="s">
        <v>188</v>
      </c>
      <c r="E3200" t="s">
        <v>241</v>
      </c>
      <c r="F3200" t="s">
        <v>1036</v>
      </c>
      <c r="G3200" t="s">
        <v>1037</v>
      </c>
      <c r="H3200" t="s">
        <v>1038</v>
      </c>
      <c r="I3200" t="s">
        <v>1039</v>
      </c>
      <c r="J3200" t="s">
        <v>1040</v>
      </c>
    </row>
    <row r="3201" spans="1:10">
      <c r="A3201" s="25" t="s">
        <v>201</v>
      </c>
      <c r="B3201">
        <v>492</v>
      </c>
      <c r="C3201" t="s">
        <v>189</v>
      </c>
      <c r="D3201">
        <v>4817</v>
      </c>
      <c r="E3201" s="1">
        <v>3.8199999999999998E-2</v>
      </c>
      <c r="F3201" s="1">
        <v>3.1800000000000002E-2</v>
      </c>
      <c r="G3201" s="1">
        <v>9.5399999999999999E-2</v>
      </c>
      <c r="H3201" s="1">
        <v>0.65339999999999998</v>
      </c>
      <c r="I3201" s="1">
        <v>0.4894</v>
      </c>
      <c r="J3201" s="1">
        <v>0.56059999999999999</v>
      </c>
    </row>
    <row r="3202" spans="1:10">
      <c r="A3202" s="25" t="s">
        <v>202</v>
      </c>
      <c r="B3202">
        <v>75</v>
      </c>
      <c r="C3202" t="s">
        <v>189</v>
      </c>
      <c r="D3202">
        <v>4817</v>
      </c>
      <c r="E3202" s="1">
        <v>9.9000000000000005E-2</v>
      </c>
      <c r="F3202" s="1">
        <v>9.5699999999999993E-2</v>
      </c>
      <c r="G3202" s="1">
        <v>3.6400000000000002E-2</v>
      </c>
      <c r="H3202" s="1">
        <v>0.53739999999999999</v>
      </c>
      <c r="I3202" s="1">
        <v>0.442</v>
      </c>
      <c r="J3202" s="1">
        <v>0.53790000000000004</v>
      </c>
    </row>
    <row r="3203" spans="1:10">
      <c r="A3203" s="25" t="s">
        <v>203</v>
      </c>
      <c r="B3203">
        <v>3433</v>
      </c>
      <c r="C3203" t="s">
        <v>189</v>
      </c>
      <c r="D3203">
        <v>4817</v>
      </c>
      <c r="E3203" s="1">
        <v>2.47E-2</v>
      </c>
      <c r="F3203" s="1">
        <v>3.04E-2</v>
      </c>
      <c r="G3203" s="1">
        <v>5.2499999999999998E-2</v>
      </c>
      <c r="H3203" s="1">
        <v>0.51959999999999995</v>
      </c>
      <c r="I3203" s="1">
        <v>0.62309999999999999</v>
      </c>
      <c r="J3203" s="1">
        <v>0.39989999999999998</v>
      </c>
    </row>
    <row r="3204" spans="1:10">
      <c r="A3204" s="25" t="s">
        <v>204</v>
      </c>
      <c r="B3204">
        <v>17</v>
      </c>
      <c r="C3204" t="s">
        <v>189</v>
      </c>
      <c r="D3204">
        <v>4817</v>
      </c>
      <c r="E3204" s="1">
        <v>0.1857</v>
      </c>
      <c r="F3204" s="1">
        <v>4.82E-2</v>
      </c>
      <c r="G3204" s="1">
        <v>3.1899999999999998E-2</v>
      </c>
      <c r="H3204" s="1">
        <v>0.33129999999999998</v>
      </c>
      <c r="I3204" s="1">
        <v>0.21199999999999999</v>
      </c>
      <c r="J3204" s="1">
        <v>0.56740000000000002</v>
      </c>
    </row>
    <row r="3205" spans="1:10">
      <c r="A3205" s="25" t="s">
        <v>205</v>
      </c>
      <c r="B3205">
        <v>800</v>
      </c>
      <c r="C3205" t="s">
        <v>189</v>
      </c>
      <c r="D3205">
        <v>4817</v>
      </c>
      <c r="E3205" s="1">
        <v>3.5200000000000002E-2</v>
      </c>
      <c r="F3205" s="1">
        <v>6.6400000000000001E-2</v>
      </c>
      <c r="G3205" s="1">
        <v>0.1196</v>
      </c>
      <c r="H3205" s="1">
        <v>0.55020000000000002</v>
      </c>
      <c r="I3205" s="1">
        <v>0.54979999999999996</v>
      </c>
      <c r="J3205" s="1">
        <v>0.5222</v>
      </c>
    </row>
    <row r="3206" spans="1:10">
      <c r="A3206" s="25" t="s">
        <v>192</v>
      </c>
      <c r="B3206">
        <v>4817</v>
      </c>
      <c r="C3206" t="s">
        <v>192</v>
      </c>
      <c r="D3206">
        <v>4817</v>
      </c>
      <c r="E3206" s="1">
        <v>2.8400000000000002E-2</v>
      </c>
      <c r="F3206" s="1">
        <v>3.5999999999999997E-2</v>
      </c>
      <c r="G3206" s="1">
        <v>6.5799999999999997E-2</v>
      </c>
      <c r="H3206" s="1">
        <v>0.5373</v>
      </c>
      <c r="I3206" s="1">
        <v>0.59750000000000003</v>
      </c>
      <c r="J3206" s="1">
        <v>0.43419999999999997</v>
      </c>
    </row>
    <row r="3208" spans="1:10" ht="43.5">
      <c r="A3208" s="25" t="s">
        <v>1044</v>
      </c>
    </row>
    <row r="3209" spans="1:10">
      <c r="A3209" s="25" t="s">
        <v>182</v>
      </c>
      <c r="B3209" t="s">
        <v>219</v>
      </c>
      <c r="C3209" t="s">
        <v>181</v>
      </c>
      <c r="D3209" t="s">
        <v>188</v>
      </c>
      <c r="E3209" t="s">
        <v>241</v>
      </c>
      <c r="F3209" t="s">
        <v>1036</v>
      </c>
      <c r="G3209" t="s">
        <v>1037</v>
      </c>
      <c r="H3209" t="s">
        <v>1038</v>
      </c>
      <c r="I3209" t="s">
        <v>1039</v>
      </c>
      <c r="J3209" t="s">
        <v>1040</v>
      </c>
    </row>
    <row r="3210" spans="1:10">
      <c r="A3210" s="25" t="s">
        <v>207</v>
      </c>
      <c r="B3210">
        <v>3265</v>
      </c>
      <c r="C3210" t="s">
        <v>189</v>
      </c>
      <c r="D3210">
        <v>4817</v>
      </c>
      <c r="E3210" s="1">
        <v>2.7199999999999998E-2</v>
      </c>
      <c r="F3210" s="1">
        <v>3.9199999999999999E-2</v>
      </c>
      <c r="G3210" s="1">
        <v>7.1199999999999999E-2</v>
      </c>
      <c r="H3210" s="1">
        <v>0.53420000000000001</v>
      </c>
      <c r="I3210" s="1">
        <v>0.59809999999999997</v>
      </c>
      <c r="J3210" s="1">
        <v>0.44</v>
      </c>
    </row>
    <row r="3211" spans="1:10">
      <c r="A3211" s="25" t="s">
        <v>208</v>
      </c>
      <c r="B3211">
        <v>1054</v>
      </c>
      <c r="C3211" t="s">
        <v>189</v>
      </c>
      <c r="D3211">
        <v>4817</v>
      </c>
      <c r="E3211" s="1">
        <v>3.1199999999999999E-2</v>
      </c>
      <c r="F3211" s="1">
        <v>3.1300000000000001E-2</v>
      </c>
      <c r="G3211" s="1">
        <v>2.87E-2</v>
      </c>
      <c r="H3211" s="1">
        <v>0.56399999999999995</v>
      </c>
      <c r="I3211" s="1">
        <v>0.58760000000000001</v>
      </c>
      <c r="J3211" s="1">
        <v>0.41720000000000002</v>
      </c>
    </row>
    <row r="3212" spans="1:10">
      <c r="A3212" s="25" t="s">
        <v>209</v>
      </c>
      <c r="B3212">
        <v>498</v>
      </c>
      <c r="C3212" t="s">
        <v>189</v>
      </c>
      <c r="D3212">
        <v>4817</v>
      </c>
      <c r="E3212" s="1">
        <v>2.9899999999999999E-2</v>
      </c>
      <c r="F3212" s="1">
        <v>2.4899999999999999E-2</v>
      </c>
      <c r="G3212" s="1">
        <v>0.12280000000000001</v>
      </c>
      <c r="H3212" s="1">
        <v>0.49</v>
      </c>
      <c r="I3212" s="1">
        <v>0.61899999999999999</v>
      </c>
      <c r="J3212" s="1">
        <v>0.43509999999999999</v>
      </c>
    </row>
    <row r="3213" spans="1:10">
      <c r="A3213" s="25" t="s">
        <v>192</v>
      </c>
      <c r="B3213">
        <v>4817</v>
      </c>
      <c r="C3213" t="s">
        <v>192</v>
      </c>
      <c r="D3213">
        <v>4817</v>
      </c>
      <c r="E3213" s="1">
        <v>2.8400000000000002E-2</v>
      </c>
      <c r="F3213" s="1">
        <v>3.5999999999999997E-2</v>
      </c>
      <c r="G3213" s="1">
        <v>6.5799999999999997E-2</v>
      </c>
      <c r="H3213" s="1">
        <v>0.5373</v>
      </c>
      <c r="I3213" s="1">
        <v>0.59750000000000003</v>
      </c>
      <c r="J3213" s="1">
        <v>0.43419999999999997</v>
      </c>
    </row>
    <row r="3215" spans="1:10" ht="43.5">
      <c r="A3215" s="25" t="s">
        <v>1045</v>
      </c>
    </row>
    <row r="3216" spans="1:10">
      <c r="A3216" s="25" t="s">
        <v>182</v>
      </c>
      <c r="B3216" t="s">
        <v>219</v>
      </c>
      <c r="C3216" t="s">
        <v>181</v>
      </c>
      <c r="D3216" t="s">
        <v>188</v>
      </c>
      <c r="E3216" t="s">
        <v>241</v>
      </c>
      <c r="F3216" t="s">
        <v>1036</v>
      </c>
      <c r="G3216" t="s">
        <v>1037</v>
      </c>
      <c r="H3216" t="s">
        <v>1038</v>
      </c>
      <c r="I3216" t="s">
        <v>1039</v>
      </c>
      <c r="J3216" t="s">
        <v>1040</v>
      </c>
    </row>
    <row r="3217" spans="1:10">
      <c r="A3217" s="25" t="s">
        <v>211</v>
      </c>
      <c r="B3217">
        <v>2160</v>
      </c>
      <c r="C3217" t="s">
        <v>189</v>
      </c>
      <c r="D3217">
        <v>4817</v>
      </c>
      <c r="E3217" s="1">
        <v>2.07E-2</v>
      </c>
      <c r="F3217" s="1">
        <v>4.36E-2</v>
      </c>
      <c r="G3217" s="1">
        <v>8.1000000000000003E-2</v>
      </c>
      <c r="H3217" s="1">
        <v>0.52790000000000004</v>
      </c>
      <c r="I3217" s="1">
        <v>0.62019999999999997</v>
      </c>
      <c r="J3217" s="1">
        <v>0.42320000000000002</v>
      </c>
    </row>
    <row r="3218" spans="1:10">
      <c r="A3218" s="25" t="s">
        <v>212</v>
      </c>
      <c r="B3218">
        <v>1758</v>
      </c>
      <c r="C3218" t="s">
        <v>189</v>
      </c>
      <c r="D3218">
        <v>4817</v>
      </c>
      <c r="E3218" s="1">
        <v>3.7199999999999997E-2</v>
      </c>
      <c r="F3218" s="1">
        <v>2.5100000000000001E-2</v>
      </c>
      <c r="G3218" s="1">
        <v>4.9399999999999999E-2</v>
      </c>
      <c r="H3218" s="1">
        <v>0.56279999999999997</v>
      </c>
      <c r="I3218" s="1">
        <v>0.61629999999999996</v>
      </c>
      <c r="J3218" s="1">
        <v>0.42949999999999999</v>
      </c>
    </row>
    <row r="3219" spans="1:10">
      <c r="A3219" s="25" t="s">
        <v>213</v>
      </c>
      <c r="B3219">
        <v>899</v>
      </c>
      <c r="C3219" t="s">
        <v>189</v>
      </c>
      <c r="D3219">
        <v>4817</v>
      </c>
      <c r="E3219" s="1">
        <v>2.9499999999999998E-2</v>
      </c>
      <c r="F3219" s="1">
        <v>3.9E-2</v>
      </c>
      <c r="G3219" s="1">
        <v>6.1800000000000001E-2</v>
      </c>
      <c r="H3219" s="1">
        <v>0.51300000000000001</v>
      </c>
      <c r="I3219" s="1">
        <v>0.51590000000000003</v>
      </c>
      <c r="J3219" s="1">
        <v>0.46600000000000003</v>
      </c>
    </row>
    <row r="3220" spans="1:10">
      <c r="A3220" s="25" t="s">
        <v>192</v>
      </c>
      <c r="B3220">
        <v>4817</v>
      </c>
      <c r="C3220" t="s">
        <v>192</v>
      </c>
      <c r="D3220">
        <v>4817</v>
      </c>
      <c r="E3220" s="1">
        <v>2.8400000000000002E-2</v>
      </c>
      <c r="F3220" s="1">
        <v>3.5999999999999997E-2</v>
      </c>
      <c r="G3220" s="1">
        <v>6.5799999999999997E-2</v>
      </c>
      <c r="H3220" s="1">
        <v>0.5373</v>
      </c>
      <c r="I3220" s="1">
        <v>0.59750000000000003</v>
      </c>
      <c r="J3220" s="1">
        <v>0.43419999999999997</v>
      </c>
    </row>
    <row r="3222" spans="1:10" ht="29.1">
      <c r="A3222" s="25" t="s">
        <v>1046</v>
      </c>
    </row>
    <row r="3223" spans="1:10">
      <c r="A3223" s="25" t="s">
        <v>182</v>
      </c>
      <c r="B3223" t="s">
        <v>219</v>
      </c>
      <c r="C3223" t="s">
        <v>181</v>
      </c>
      <c r="D3223" t="s">
        <v>188</v>
      </c>
      <c r="E3223" t="s">
        <v>1047</v>
      </c>
      <c r="F3223" t="s">
        <v>1048</v>
      </c>
      <c r="G3223" t="s">
        <v>1049</v>
      </c>
      <c r="H3223" t="s">
        <v>1050</v>
      </c>
    </row>
    <row r="3224" spans="1:10">
      <c r="A3224" s="25" t="s">
        <v>190</v>
      </c>
      <c r="B3224">
        <v>4887</v>
      </c>
      <c r="C3224" t="s">
        <v>189</v>
      </c>
      <c r="D3224">
        <v>10394</v>
      </c>
      <c r="E3224" s="1">
        <v>0.20799999999999999</v>
      </c>
      <c r="F3224" s="1">
        <v>3.5999999999999997E-2</v>
      </c>
      <c r="G3224" s="1">
        <v>0.53549999999999998</v>
      </c>
      <c r="H3224" s="1">
        <v>0.2205</v>
      </c>
    </row>
    <row r="3225" spans="1:10">
      <c r="A3225" s="25" t="s">
        <v>191</v>
      </c>
      <c r="B3225">
        <v>5450</v>
      </c>
      <c r="C3225" t="s">
        <v>189</v>
      </c>
      <c r="D3225">
        <v>10394</v>
      </c>
      <c r="E3225" s="1">
        <v>0.18890000000000001</v>
      </c>
      <c r="F3225" s="1">
        <v>3.7199999999999997E-2</v>
      </c>
      <c r="G3225" s="1">
        <v>0.57440000000000002</v>
      </c>
      <c r="H3225" s="1">
        <v>0.1996</v>
      </c>
    </row>
    <row r="3226" spans="1:10">
      <c r="A3226" s="25" t="s">
        <v>192</v>
      </c>
      <c r="B3226">
        <v>10394</v>
      </c>
      <c r="C3226" t="s">
        <v>192</v>
      </c>
      <c r="D3226">
        <v>10394</v>
      </c>
      <c r="E3226" s="1">
        <v>0.19639999999999999</v>
      </c>
      <c r="F3226" s="1">
        <v>3.6799999999999999E-2</v>
      </c>
      <c r="G3226" s="1">
        <v>0.55930000000000002</v>
      </c>
      <c r="H3226" s="1">
        <v>0.20760000000000001</v>
      </c>
    </row>
    <row r="3228" spans="1:10" ht="43.5">
      <c r="A3228" s="25" t="s">
        <v>1051</v>
      </c>
    </row>
    <row r="3229" spans="1:10">
      <c r="A3229" s="25" t="s">
        <v>182</v>
      </c>
      <c r="B3229" t="s">
        <v>219</v>
      </c>
      <c r="C3229" t="s">
        <v>181</v>
      </c>
      <c r="D3229" t="s">
        <v>188</v>
      </c>
      <c r="E3229" t="s">
        <v>1047</v>
      </c>
      <c r="F3229" t="s">
        <v>1048</v>
      </c>
      <c r="G3229" t="s">
        <v>1049</v>
      </c>
      <c r="H3229" t="s">
        <v>1050</v>
      </c>
    </row>
    <row r="3230" spans="1:10" ht="29.1">
      <c r="A3230" s="25" t="s">
        <v>194</v>
      </c>
      <c r="B3230">
        <v>5934</v>
      </c>
      <c r="C3230" t="s">
        <v>189</v>
      </c>
      <c r="D3230">
        <v>10394</v>
      </c>
      <c r="E3230" s="1">
        <v>0.16669999999999999</v>
      </c>
      <c r="F3230" s="1">
        <v>3.5400000000000001E-2</v>
      </c>
      <c r="G3230" s="1">
        <v>0.60029999999999994</v>
      </c>
      <c r="H3230" s="1">
        <v>0.19769999999999999</v>
      </c>
    </row>
    <row r="3231" spans="1:10" ht="29.1">
      <c r="A3231" s="25" t="s">
        <v>195</v>
      </c>
      <c r="B3231">
        <v>2694</v>
      </c>
      <c r="C3231" t="s">
        <v>189</v>
      </c>
      <c r="D3231">
        <v>10394</v>
      </c>
      <c r="E3231" s="1">
        <v>0.22950000000000001</v>
      </c>
      <c r="F3231" s="1">
        <v>2.9600000000000001E-2</v>
      </c>
      <c r="G3231" s="1">
        <v>0.51959999999999995</v>
      </c>
      <c r="H3231" s="1">
        <v>0.2213</v>
      </c>
    </row>
    <row r="3232" spans="1:10" ht="29.1">
      <c r="A3232" s="25" t="s">
        <v>196</v>
      </c>
      <c r="B3232">
        <v>1709</v>
      </c>
      <c r="C3232" t="s">
        <v>189</v>
      </c>
      <c r="D3232">
        <v>10394</v>
      </c>
      <c r="E3232" s="1">
        <v>0.35299999999999998</v>
      </c>
      <c r="F3232" s="1">
        <v>6.2199999999999998E-2</v>
      </c>
      <c r="G3232" s="1">
        <v>0.33</v>
      </c>
      <c r="H3232" s="1">
        <v>0.25480000000000003</v>
      </c>
    </row>
    <row r="3233" spans="1:8">
      <c r="A3233" s="25" t="s">
        <v>192</v>
      </c>
      <c r="B3233">
        <v>10394</v>
      </c>
      <c r="C3233" t="s">
        <v>192</v>
      </c>
      <c r="D3233">
        <v>10394</v>
      </c>
      <c r="E3233" s="1">
        <v>0.19639999999999999</v>
      </c>
      <c r="F3233" s="1">
        <v>3.6799999999999999E-2</v>
      </c>
      <c r="G3233" s="1">
        <v>0.55930000000000002</v>
      </c>
      <c r="H3233" s="1">
        <v>0.20760000000000001</v>
      </c>
    </row>
    <row r="3235" spans="1:8" ht="43.5">
      <c r="A3235" s="25" t="s">
        <v>1052</v>
      </c>
    </row>
    <row r="3236" spans="1:8">
      <c r="A3236" s="25" t="s">
        <v>182</v>
      </c>
      <c r="B3236" t="s">
        <v>219</v>
      </c>
      <c r="C3236" t="s">
        <v>181</v>
      </c>
      <c r="D3236" t="s">
        <v>188</v>
      </c>
      <c r="E3236" t="s">
        <v>1047</v>
      </c>
      <c r="F3236" t="s">
        <v>1048</v>
      </c>
      <c r="G3236" t="s">
        <v>1049</v>
      </c>
      <c r="H3236" t="s">
        <v>1050</v>
      </c>
    </row>
    <row r="3237" spans="1:8">
      <c r="A3237" s="25" t="s">
        <v>198</v>
      </c>
      <c r="B3237">
        <v>2257</v>
      </c>
      <c r="C3237" t="s">
        <v>189</v>
      </c>
      <c r="D3237">
        <v>10394</v>
      </c>
      <c r="E3237" s="1">
        <v>0.34610000000000002</v>
      </c>
      <c r="F3237" s="1">
        <v>5.9400000000000001E-2</v>
      </c>
      <c r="G3237" s="1">
        <v>0.39389999999999997</v>
      </c>
      <c r="H3237" s="1">
        <v>0.20069999999999999</v>
      </c>
    </row>
    <row r="3238" spans="1:8">
      <c r="A3238" s="25" t="s">
        <v>199</v>
      </c>
      <c r="B3238">
        <v>8137</v>
      </c>
      <c r="C3238" t="s">
        <v>189</v>
      </c>
      <c r="D3238">
        <v>10394</v>
      </c>
      <c r="E3238" s="1">
        <v>0.16270000000000001</v>
      </c>
      <c r="F3238" s="1">
        <v>3.1699999999999999E-2</v>
      </c>
      <c r="G3238" s="1">
        <v>0.59640000000000004</v>
      </c>
      <c r="H3238" s="1">
        <v>0.20910000000000001</v>
      </c>
    </row>
    <row r="3239" spans="1:8">
      <c r="A3239" s="25" t="s">
        <v>192</v>
      </c>
      <c r="B3239">
        <v>10394</v>
      </c>
      <c r="C3239" t="s">
        <v>192</v>
      </c>
      <c r="D3239">
        <v>10394</v>
      </c>
      <c r="E3239" s="1">
        <v>0.19639999999999999</v>
      </c>
      <c r="F3239" s="1">
        <v>3.6799999999999999E-2</v>
      </c>
      <c r="G3239" s="1">
        <v>0.55930000000000002</v>
      </c>
      <c r="H3239" s="1">
        <v>0.20760000000000001</v>
      </c>
    </row>
    <row r="3241" spans="1:8" ht="43.5">
      <c r="A3241" s="25" t="s">
        <v>1053</v>
      </c>
    </row>
    <row r="3242" spans="1:8">
      <c r="A3242" s="25" t="s">
        <v>182</v>
      </c>
      <c r="B3242" t="s">
        <v>219</v>
      </c>
      <c r="C3242" t="s">
        <v>181</v>
      </c>
      <c r="D3242" t="s">
        <v>188</v>
      </c>
      <c r="E3242" t="s">
        <v>1047</v>
      </c>
      <c r="F3242" t="s">
        <v>1048</v>
      </c>
      <c r="G3242" t="s">
        <v>1049</v>
      </c>
      <c r="H3242" t="s">
        <v>1050</v>
      </c>
    </row>
    <row r="3243" spans="1:8">
      <c r="A3243" s="25" t="s">
        <v>201</v>
      </c>
      <c r="B3243">
        <v>763</v>
      </c>
      <c r="C3243" t="s">
        <v>189</v>
      </c>
      <c r="D3243">
        <v>10394</v>
      </c>
      <c r="E3243" s="1">
        <v>0.27929999999999999</v>
      </c>
      <c r="F3243" s="1">
        <v>5.8299999999999998E-2</v>
      </c>
      <c r="G3243" s="1">
        <v>0.34079999999999999</v>
      </c>
      <c r="H3243" s="1">
        <v>0.3216</v>
      </c>
    </row>
    <row r="3244" spans="1:8">
      <c r="A3244" s="25" t="s">
        <v>202</v>
      </c>
      <c r="B3244">
        <v>109</v>
      </c>
      <c r="C3244" t="s">
        <v>189</v>
      </c>
      <c r="D3244">
        <v>10394</v>
      </c>
      <c r="E3244" s="1">
        <v>0.34239999999999998</v>
      </c>
      <c r="F3244" s="1">
        <v>8.2400000000000001E-2</v>
      </c>
      <c r="G3244" s="1">
        <v>0.3478</v>
      </c>
      <c r="H3244" s="1">
        <v>0.22750000000000001</v>
      </c>
    </row>
    <row r="3245" spans="1:8">
      <c r="A3245" s="25" t="s">
        <v>203</v>
      </c>
      <c r="B3245">
        <v>8012</v>
      </c>
      <c r="C3245" t="s">
        <v>189</v>
      </c>
      <c r="D3245">
        <v>10394</v>
      </c>
      <c r="E3245" s="1">
        <v>0.1923</v>
      </c>
      <c r="F3245" s="1">
        <v>3.4000000000000002E-2</v>
      </c>
      <c r="G3245" s="1">
        <v>0.57820000000000005</v>
      </c>
      <c r="H3245" s="1">
        <v>0.19550000000000001</v>
      </c>
    </row>
    <row r="3246" spans="1:8">
      <c r="A3246" s="25" t="s">
        <v>204</v>
      </c>
      <c r="B3246">
        <v>31</v>
      </c>
      <c r="C3246" t="s">
        <v>189</v>
      </c>
      <c r="D3246">
        <v>10394</v>
      </c>
      <c r="E3246" s="1">
        <v>5.7000000000000002E-2</v>
      </c>
      <c r="F3246" s="1">
        <v>0.1026</v>
      </c>
      <c r="G3246" s="1">
        <v>0.71040000000000003</v>
      </c>
      <c r="H3246" s="1">
        <v>0.13</v>
      </c>
    </row>
    <row r="3247" spans="1:8">
      <c r="A3247" s="25" t="s">
        <v>205</v>
      </c>
      <c r="B3247">
        <v>1479</v>
      </c>
      <c r="C3247" t="s">
        <v>189</v>
      </c>
      <c r="D3247">
        <v>10394</v>
      </c>
      <c r="E3247" s="1">
        <v>0.17330000000000001</v>
      </c>
      <c r="F3247" s="1">
        <v>3.9300000000000002E-2</v>
      </c>
      <c r="G3247" s="1">
        <v>0.56830000000000003</v>
      </c>
      <c r="H3247" s="1">
        <v>0.21920000000000001</v>
      </c>
    </row>
    <row r="3248" spans="1:8">
      <c r="A3248" s="25" t="s">
        <v>192</v>
      </c>
      <c r="B3248">
        <v>10394</v>
      </c>
      <c r="C3248" t="s">
        <v>192</v>
      </c>
      <c r="D3248">
        <v>10394</v>
      </c>
      <c r="E3248" s="1">
        <v>0.19639999999999999</v>
      </c>
      <c r="F3248" s="1">
        <v>3.6799999999999999E-2</v>
      </c>
      <c r="G3248" s="1">
        <v>0.55930000000000002</v>
      </c>
      <c r="H3248" s="1">
        <v>0.20760000000000001</v>
      </c>
    </row>
    <row r="3250" spans="1:8" ht="43.5">
      <c r="A3250" s="25" t="s">
        <v>1054</v>
      </c>
    </row>
    <row r="3251" spans="1:8">
      <c r="A3251" s="25" t="s">
        <v>182</v>
      </c>
      <c r="B3251" t="s">
        <v>219</v>
      </c>
      <c r="C3251" t="s">
        <v>181</v>
      </c>
      <c r="D3251" t="s">
        <v>188</v>
      </c>
      <c r="E3251" t="s">
        <v>1047</v>
      </c>
      <c r="F3251" t="s">
        <v>1048</v>
      </c>
      <c r="G3251" t="s">
        <v>1049</v>
      </c>
      <c r="H3251" t="s">
        <v>1050</v>
      </c>
    </row>
    <row r="3252" spans="1:8">
      <c r="A3252" s="25" t="s">
        <v>207</v>
      </c>
      <c r="B3252">
        <v>7231</v>
      </c>
      <c r="C3252" t="s">
        <v>189</v>
      </c>
      <c r="D3252">
        <v>10394</v>
      </c>
      <c r="E3252" s="1">
        <v>0.18440000000000001</v>
      </c>
      <c r="F3252" s="1">
        <v>3.44E-2</v>
      </c>
      <c r="G3252" s="1">
        <v>0.57089999999999996</v>
      </c>
      <c r="H3252" s="1">
        <v>0.21029999999999999</v>
      </c>
    </row>
    <row r="3253" spans="1:8">
      <c r="A3253" s="25" t="s">
        <v>208</v>
      </c>
      <c r="B3253">
        <v>2229</v>
      </c>
      <c r="C3253" t="s">
        <v>189</v>
      </c>
      <c r="D3253">
        <v>10394</v>
      </c>
      <c r="E3253" s="1">
        <v>0.2382</v>
      </c>
      <c r="F3253" s="1">
        <v>3.9399999999999998E-2</v>
      </c>
      <c r="G3253" s="1">
        <v>0.53979999999999995</v>
      </c>
      <c r="H3253" s="1">
        <v>0.1825</v>
      </c>
    </row>
    <row r="3254" spans="1:8">
      <c r="A3254" s="25" t="s">
        <v>209</v>
      </c>
      <c r="B3254">
        <v>934</v>
      </c>
      <c r="C3254" t="s">
        <v>189</v>
      </c>
      <c r="D3254">
        <v>10394</v>
      </c>
      <c r="E3254" s="1">
        <v>0.18379999999999999</v>
      </c>
      <c r="F3254" s="1">
        <v>5.04E-2</v>
      </c>
      <c r="G3254" s="1">
        <v>0.51129999999999998</v>
      </c>
      <c r="H3254" s="1">
        <v>0.2545</v>
      </c>
    </row>
    <row r="3255" spans="1:8">
      <c r="A3255" s="25" t="s">
        <v>192</v>
      </c>
      <c r="B3255">
        <v>10394</v>
      </c>
      <c r="C3255" t="s">
        <v>192</v>
      </c>
      <c r="D3255">
        <v>10394</v>
      </c>
      <c r="E3255" s="1">
        <v>0.19639999999999999</v>
      </c>
      <c r="F3255" s="1">
        <v>3.6799999999999999E-2</v>
      </c>
      <c r="G3255" s="1">
        <v>0.55930000000000002</v>
      </c>
      <c r="H3255" s="1">
        <v>0.20760000000000001</v>
      </c>
    </row>
    <row r="3257" spans="1:8" ht="43.5">
      <c r="A3257" s="25" t="s">
        <v>1055</v>
      </c>
    </row>
    <row r="3258" spans="1:8">
      <c r="A3258" s="25" t="s">
        <v>182</v>
      </c>
      <c r="B3258" t="s">
        <v>219</v>
      </c>
      <c r="C3258" t="s">
        <v>181</v>
      </c>
      <c r="D3258" t="s">
        <v>188</v>
      </c>
      <c r="E3258" t="s">
        <v>1047</v>
      </c>
      <c r="F3258" t="s">
        <v>1048</v>
      </c>
      <c r="G3258" t="s">
        <v>1049</v>
      </c>
      <c r="H3258" t="s">
        <v>1050</v>
      </c>
    </row>
    <row r="3259" spans="1:8">
      <c r="A3259" s="25" t="s">
        <v>296</v>
      </c>
      <c r="B3259">
        <v>3527</v>
      </c>
      <c r="C3259" t="s">
        <v>189</v>
      </c>
      <c r="D3259">
        <v>10394</v>
      </c>
      <c r="E3259" s="1">
        <v>0.16400000000000001</v>
      </c>
      <c r="F3259" s="1">
        <v>3.7600000000000001E-2</v>
      </c>
      <c r="G3259" s="1">
        <v>0.55320000000000003</v>
      </c>
      <c r="H3259" s="1">
        <v>0.24529999999999999</v>
      </c>
    </row>
    <row r="3260" spans="1:8">
      <c r="A3260" s="25" t="s">
        <v>297</v>
      </c>
      <c r="B3260">
        <v>6867</v>
      </c>
      <c r="C3260" t="s">
        <v>189</v>
      </c>
      <c r="D3260">
        <v>10394</v>
      </c>
      <c r="E3260" s="1">
        <v>0.21190000000000001</v>
      </c>
      <c r="F3260" s="1">
        <v>3.6400000000000002E-2</v>
      </c>
      <c r="G3260" s="1">
        <v>0.56220000000000003</v>
      </c>
      <c r="H3260" s="1">
        <v>0.18940000000000001</v>
      </c>
    </row>
    <row r="3261" spans="1:8">
      <c r="A3261" s="25" t="s">
        <v>192</v>
      </c>
      <c r="B3261">
        <v>10394</v>
      </c>
      <c r="C3261" t="s">
        <v>192</v>
      </c>
      <c r="D3261">
        <v>10394</v>
      </c>
      <c r="E3261" s="1">
        <v>0.19639999999999999</v>
      </c>
      <c r="F3261" s="1">
        <v>3.6799999999999999E-2</v>
      </c>
      <c r="G3261" s="1">
        <v>0.55930000000000002</v>
      </c>
      <c r="H3261" s="1">
        <v>0.20760000000000001</v>
      </c>
    </row>
    <row r="3263" spans="1:8" ht="43.5">
      <c r="A3263" s="25" t="s">
        <v>1056</v>
      </c>
    </row>
    <row r="3264" spans="1:8">
      <c r="A3264" s="25" t="s">
        <v>182</v>
      </c>
      <c r="B3264" t="s">
        <v>219</v>
      </c>
      <c r="C3264" t="s">
        <v>181</v>
      </c>
      <c r="D3264" t="s">
        <v>188</v>
      </c>
      <c r="E3264" t="s">
        <v>1047</v>
      </c>
      <c r="F3264" t="s">
        <v>1048</v>
      </c>
      <c r="G3264" t="s">
        <v>1049</v>
      </c>
      <c r="H3264" t="s">
        <v>1050</v>
      </c>
    </row>
    <row r="3265" spans="1:23">
      <c r="A3265" s="25" t="s">
        <v>299</v>
      </c>
      <c r="B3265">
        <v>424</v>
      </c>
      <c r="C3265" t="s">
        <v>189</v>
      </c>
      <c r="D3265">
        <v>10394</v>
      </c>
      <c r="E3265" s="1">
        <v>0.23130000000000001</v>
      </c>
      <c r="F3265" s="1">
        <v>3.8699999999999998E-2</v>
      </c>
      <c r="G3265" s="1">
        <v>0.41899999999999998</v>
      </c>
      <c r="H3265" s="1">
        <v>0.31090000000000001</v>
      </c>
    </row>
    <row r="3266" spans="1:23">
      <c r="A3266" s="25" t="s">
        <v>300</v>
      </c>
      <c r="B3266">
        <v>3085</v>
      </c>
      <c r="C3266" t="s">
        <v>189</v>
      </c>
      <c r="D3266">
        <v>10394</v>
      </c>
      <c r="E3266" s="1">
        <v>0.15540000000000001</v>
      </c>
      <c r="F3266" s="1">
        <v>3.7199999999999997E-2</v>
      </c>
      <c r="G3266" s="1">
        <v>0.57010000000000005</v>
      </c>
      <c r="H3266" s="1">
        <v>0.23719999999999999</v>
      </c>
    </row>
    <row r="3267" spans="1:23">
      <c r="A3267" s="25" t="s">
        <v>301</v>
      </c>
      <c r="B3267">
        <v>18</v>
      </c>
      <c r="C3267" t="s">
        <v>189</v>
      </c>
      <c r="D3267">
        <v>10394</v>
      </c>
      <c r="E3267" s="1">
        <v>0.219</v>
      </c>
      <c r="F3267" s="1">
        <v>8.7999999999999995E-2</v>
      </c>
      <c r="G3267" s="1">
        <v>0.48430000000000001</v>
      </c>
      <c r="H3267" s="1">
        <v>0.2087</v>
      </c>
    </row>
    <row r="3268" spans="1:23">
      <c r="A3268" s="25" t="s">
        <v>302</v>
      </c>
      <c r="B3268">
        <v>6867</v>
      </c>
      <c r="C3268" t="s">
        <v>189</v>
      </c>
      <c r="D3268">
        <v>10394</v>
      </c>
      <c r="E3268" s="1">
        <v>0.21190000000000001</v>
      </c>
      <c r="F3268" s="1">
        <v>3.6400000000000002E-2</v>
      </c>
      <c r="G3268" s="1">
        <v>0.56220000000000003</v>
      </c>
      <c r="H3268" s="1">
        <v>0.18940000000000001</v>
      </c>
    </row>
    <row r="3269" spans="1:23">
      <c r="A3269" s="25" t="s">
        <v>192</v>
      </c>
      <c r="B3269">
        <v>10394</v>
      </c>
      <c r="C3269" t="s">
        <v>192</v>
      </c>
      <c r="D3269">
        <v>10394</v>
      </c>
      <c r="E3269" s="1">
        <v>0.19639999999999999</v>
      </c>
      <c r="F3269" s="1">
        <v>3.6799999999999999E-2</v>
      </c>
      <c r="G3269" s="1">
        <v>0.55930000000000002</v>
      </c>
      <c r="H3269" s="1">
        <v>0.20760000000000001</v>
      </c>
    </row>
    <row r="3271" spans="1:23" ht="43.5">
      <c r="A3271" s="25" t="s">
        <v>1057</v>
      </c>
    </row>
    <row r="3272" spans="1:23">
      <c r="A3272" s="25" t="s">
        <v>182</v>
      </c>
      <c r="B3272" t="s">
        <v>219</v>
      </c>
      <c r="C3272" t="s">
        <v>181</v>
      </c>
      <c r="D3272" t="s">
        <v>188</v>
      </c>
      <c r="E3272" t="s">
        <v>1047</v>
      </c>
      <c r="F3272" t="s">
        <v>1048</v>
      </c>
      <c r="G3272" t="s">
        <v>1049</v>
      </c>
      <c r="H3272" t="s">
        <v>1050</v>
      </c>
    </row>
    <row r="3273" spans="1:23">
      <c r="A3273" s="25" t="s">
        <v>211</v>
      </c>
      <c r="B3273">
        <v>4962</v>
      </c>
      <c r="C3273" t="s">
        <v>189</v>
      </c>
      <c r="D3273">
        <v>10394</v>
      </c>
      <c r="E3273" s="1">
        <v>0.16980000000000001</v>
      </c>
      <c r="F3273" s="1">
        <v>3.2800000000000003E-2</v>
      </c>
      <c r="G3273" s="1">
        <v>0.58879999999999999</v>
      </c>
      <c r="H3273" s="1">
        <v>0.20860000000000001</v>
      </c>
    </row>
    <row r="3274" spans="1:23">
      <c r="A3274" s="25" t="s">
        <v>212</v>
      </c>
      <c r="B3274">
        <v>3360</v>
      </c>
      <c r="C3274" t="s">
        <v>189</v>
      </c>
      <c r="D3274">
        <v>10394</v>
      </c>
      <c r="E3274" s="1">
        <v>0.2646</v>
      </c>
      <c r="F3274" s="1">
        <v>3.0499999999999999E-2</v>
      </c>
      <c r="G3274" s="1">
        <v>0.50660000000000005</v>
      </c>
      <c r="H3274" s="1">
        <v>0.1983</v>
      </c>
    </row>
    <row r="3275" spans="1:23">
      <c r="A3275" s="25" t="s">
        <v>213</v>
      </c>
      <c r="B3275">
        <v>2072</v>
      </c>
      <c r="C3275" t="s">
        <v>189</v>
      </c>
      <c r="D3275">
        <v>10394</v>
      </c>
      <c r="E3275" s="1">
        <v>0.15679999999999999</v>
      </c>
      <c r="F3275" s="1">
        <v>5.4300000000000001E-2</v>
      </c>
      <c r="G3275" s="1">
        <v>0.57040000000000002</v>
      </c>
      <c r="H3275" s="1">
        <v>0.2185</v>
      </c>
    </row>
    <row r="3276" spans="1:23">
      <c r="A3276" s="25" t="s">
        <v>192</v>
      </c>
      <c r="B3276">
        <v>10394</v>
      </c>
      <c r="C3276" t="s">
        <v>192</v>
      </c>
      <c r="D3276">
        <v>10394</v>
      </c>
      <c r="E3276" s="1">
        <v>0.19639999999999999</v>
      </c>
      <c r="F3276" s="1">
        <v>3.6799999999999999E-2</v>
      </c>
      <c r="G3276" s="1">
        <v>0.55930000000000002</v>
      </c>
      <c r="H3276" s="1">
        <v>0.20760000000000001</v>
      </c>
    </row>
    <row r="3278" spans="1:23" ht="43.5">
      <c r="A3278" s="25" t="s">
        <v>1058</v>
      </c>
    </row>
    <row r="3279" spans="1:23">
      <c r="A3279" s="25" t="s">
        <v>182</v>
      </c>
      <c r="B3279" t="s">
        <v>219</v>
      </c>
      <c r="C3279" t="s">
        <v>181</v>
      </c>
      <c r="D3279" t="s">
        <v>188</v>
      </c>
      <c r="E3279" t="s">
        <v>1059</v>
      </c>
      <c r="F3279" t="s">
        <v>1060</v>
      </c>
      <c r="G3279" t="s">
        <v>1061</v>
      </c>
      <c r="H3279" t="s">
        <v>241</v>
      </c>
      <c r="I3279" t="s">
        <v>1062</v>
      </c>
      <c r="J3279" t="s">
        <v>1063</v>
      </c>
      <c r="K3279" t="s">
        <v>1064</v>
      </c>
      <c r="L3279" t="s">
        <v>324</v>
      </c>
      <c r="M3279" t="s">
        <v>269</v>
      </c>
      <c r="N3279" t="s">
        <v>243</v>
      </c>
      <c r="O3279" t="s">
        <v>1065</v>
      </c>
      <c r="P3279" t="s">
        <v>1066</v>
      </c>
      <c r="Q3279" t="s">
        <v>1067</v>
      </c>
      <c r="R3279" t="s">
        <v>1068</v>
      </c>
      <c r="S3279" t="s">
        <v>1069</v>
      </c>
      <c r="T3279" t="s">
        <v>1070</v>
      </c>
      <c r="U3279" t="s">
        <v>1071</v>
      </c>
      <c r="V3279" t="s">
        <v>1072</v>
      </c>
      <c r="W3279" t="s">
        <v>1073</v>
      </c>
    </row>
    <row r="3280" spans="1:23">
      <c r="A3280" s="25" t="s">
        <v>215</v>
      </c>
      <c r="B3280">
        <v>3301</v>
      </c>
      <c r="C3280" t="s">
        <v>189</v>
      </c>
      <c r="D3280">
        <v>10418</v>
      </c>
      <c r="E3280" s="1">
        <v>4.0099999999999997E-2</v>
      </c>
      <c r="F3280" s="1">
        <v>0.1706</v>
      </c>
      <c r="G3280" s="1">
        <v>2.0999999999999999E-3</v>
      </c>
      <c r="H3280" s="1">
        <v>1.0999999999999999E-2</v>
      </c>
      <c r="J3280" s="1">
        <v>2.0999999999999999E-3</v>
      </c>
      <c r="K3280" s="1">
        <v>5.7999999999999996E-3</v>
      </c>
      <c r="L3280" s="1">
        <v>0.41560000000000002</v>
      </c>
      <c r="M3280" s="1">
        <v>8.8000000000000005E-3</v>
      </c>
      <c r="N3280" s="1">
        <v>4.0000000000000001E-3</v>
      </c>
      <c r="O3280" s="1">
        <v>1.03E-2</v>
      </c>
      <c r="P3280" s="1">
        <v>4.5999999999999999E-2</v>
      </c>
      <c r="Q3280" s="1">
        <v>1.0500000000000001E-2</v>
      </c>
      <c r="R3280" s="1">
        <v>9.1999999999999998E-3</v>
      </c>
      <c r="S3280" s="1">
        <v>1.6999999999999999E-3</v>
      </c>
      <c r="T3280" s="1">
        <v>4.4999999999999997E-3</v>
      </c>
      <c r="U3280" s="1">
        <v>0.36</v>
      </c>
      <c r="V3280" s="1">
        <v>0.39460000000000001</v>
      </c>
      <c r="W3280" s="1">
        <v>0.36919999999999997</v>
      </c>
    </row>
    <row r="3281" spans="1:23">
      <c r="A3281" s="25" t="s">
        <v>216</v>
      </c>
      <c r="B3281">
        <v>2</v>
      </c>
      <c r="C3281" t="s">
        <v>189</v>
      </c>
      <c r="D3281">
        <v>10418</v>
      </c>
      <c r="U3281" s="1">
        <v>1</v>
      </c>
      <c r="V3281" s="1">
        <v>1</v>
      </c>
      <c r="W3281" s="1">
        <v>1</v>
      </c>
    </row>
    <row r="3282" spans="1:23">
      <c r="A3282" s="25" t="s">
        <v>217</v>
      </c>
      <c r="B3282">
        <v>7115</v>
      </c>
      <c r="C3282" t="s">
        <v>189</v>
      </c>
      <c r="D3282">
        <v>10418</v>
      </c>
      <c r="E3282" s="1">
        <v>1.72E-2</v>
      </c>
      <c r="F3282" s="1">
        <v>9.5799999999999996E-2</v>
      </c>
      <c r="G3282" s="1">
        <v>7.1000000000000004E-3</v>
      </c>
      <c r="H3282" s="1">
        <v>1.0500000000000001E-2</v>
      </c>
      <c r="I3282" s="1">
        <v>8.0000000000000004E-4</v>
      </c>
      <c r="J3282" s="1">
        <v>1E-4</v>
      </c>
      <c r="K3282" s="1">
        <v>1.21E-2</v>
      </c>
      <c r="L3282" s="1">
        <v>0.36730000000000002</v>
      </c>
      <c r="M3282" s="1">
        <v>4.7999999999999996E-3</v>
      </c>
      <c r="N3282" s="1">
        <v>1.5E-3</v>
      </c>
      <c r="O3282" s="1">
        <v>9.4999999999999998E-3</v>
      </c>
      <c r="P3282" s="1">
        <v>2.76E-2</v>
      </c>
      <c r="Q3282" s="1">
        <v>1.32E-2</v>
      </c>
      <c r="R3282" s="1">
        <v>1.9900000000000001E-2</v>
      </c>
      <c r="S3282" s="1">
        <v>7.7000000000000002E-3</v>
      </c>
      <c r="T3282" s="1">
        <v>1.23E-2</v>
      </c>
      <c r="U3282" s="1">
        <v>0.42309999999999998</v>
      </c>
      <c r="V3282" s="1">
        <v>0.45190000000000002</v>
      </c>
      <c r="W3282" s="1">
        <v>0.43380000000000002</v>
      </c>
    </row>
    <row r="3283" spans="1:23">
      <c r="A3283" s="25" t="s">
        <v>192</v>
      </c>
      <c r="B3283">
        <v>10418</v>
      </c>
      <c r="C3283" t="s">
        <v>192</v>
      </c>
      <c r="D3283">
        <v>10418</v>
      </c>
      <c r="E3283" s="1">
        <v>2.5000000000000001E-2</v>
      </c>
      <c r="F3283" s="1">
        <v>0.12130000000000001</v>
      </c>
      <c r="G3283" s="1">
        <v>5.4000000000000003E-3</v>
      </c>
      <c r="H3283" s="1">
        <v>1.0699999999999999E-2</v>
      </c>
      <c r="I3283" s="1">
        <v>5.0000000000000001E-4</v>
      </c>
      <c r="J3283" s="1">
        <v>8.0000000000000004E-4</v>
      </c>
      <c r="K3283" s="1">
        <v>0.01</v>
      </c>
      <c r="L3283" s="1">
        <v>0.38369999999999999</v>
      </c>
      <c r="M3283" s="1">
        <v>6.1000000000000004E-3</v>
      </c>
      <c r="N3283" s="1">
        <v>2.3E-3</v>
      </c>
      <c r="O3283" s="1">
        <v>9.7999999999999997E-3</v>
      </c>
      <c r="P3283" s="1">
        <v>3.39E-2</v>
      </c>
      <c r="Q3283" s="1">
        <v>1.23E-2</v>
      </c>
      <c r="R3283" s="1">
        <v>1.6299999999999999E-2</v>
      </c>
      <c r="S3283" s="1">
        <v>5.7000000000000002E-3</v>
      </c>
      <c r="T3283" s="1">
        <v>9.7000000000000003E-3</v>
      </c>
      <c r="U3283" s="1">
        <v>0.4017</v>
      </c>
      <c r="V3283" s="1">
        <v>0.4325</v>
      </c>
      <c r="W3283" s="1">
        <v>0.41189999999999999</v>
      </c>
    </row>
    <row r="3285" spans="1:23" ht="43.5">
      <c r="A3285" s="25" t="s">
        <v>1074</v>
      </c>
    </row>
    <row r="3286" spans="1:23">
      <c r="A3286" s="25" t="s">
        <v>182</v>
      </c>
      <c r="B3286" t="s">
        <v>219</v>
      </c>
      <c r="C3286" t="s">
        <v>181</v>
      </c>
      <c r="D3286" t="s">
        <v>188</v>
      </c>
      <c r="E3286" t="s">
        <v>1059</v>
      </c>
      <c r="F3286" t="s">
        <v>1060</v>
      </c>
      <c r="G3286" t="s">
        <v>1061</v>
      </c>
      <c r="H3286" t="s">
        <v>241</v>
      </c>
      <c r="I3286" t="s">
        <v>1062</v>
      </c>
      <c r="J3286" t="s">
        <v>1063</v>
      </c>
      <c r="K3286" t="s">
        <v>1064</v>
      </c>
      <c r="L3286" t="s">
        <v>324</v>
      </c>
      <c r="M3286" t="s">
        <v>269</v>
      </c>
      <c r="N3286" t="s">
        <v>243</v>
      </c>
      <c r="O3286" t="s">
        <v>1065</v>
      </c>
      <c r="P3286" t="s">
        <v>1066</v>
      </c>
      <c r="Q3286" t="s">
        <v>1067</v>
      </c>
      <c r="R3286" t="s">
        <v>1068</v>
      </c>
      <c r="S3286" t="s">
        <v>1069</v>
      </c>
      <c r="T3286" t="s">
        <v>1070</v>
      </c>
      <c r="U3286" t="s">
        <v>1071</v>
      </c>
      <c r="V3286" t="s">
        <v>1072</v>
      </c>
      <c r="W3286" t="s">
        <v>1073</v>
      </c>
    </row>
    <row r="3287" spans="1:23">
      <c r="A3287" s="25" t="s">
        <v>223</v>
      </c>
      <c r="B3287">
        <v>881</v>
      </c>
      <c r="C3287" t="s">
        <v>189</v>
      </c>
      <c r="D3287">
        <v>10418</v>
      </c>
      <c r="E3287" s="1">
        <v>3.9600000000000003E-2</v>
      </c>
      <c r="F3287" s="1">
        <v>0.20730000000000001</v>
      </c>
      <c r="G3287" s="1">
        <v>1.18E-2</v>
      </c>
      <c r="H3287" s="1">
        <v>9.7999999999999997E-3</v>
      </c>
      <c r="I3287" s="1">
        <v>1.1000000000000001E-3</v>
      </c>
      <c r="J3287" s="1">
        <v>1E-4</v>
      </c>
      <c r="K3287" s="1">
        <v>1.1599999999999999E-2</v>
      </c>
      <c r="L3287" s="1">
        <v>0.3538</v>
      </c>
      <c r="M3287" s="1">
        <v>1.2999999999999999E-3</v>
      </c>
      <c r="O3287" s="1">
        <v>8.0999999999999996E-3</v>
      </c>
      <c r="P3287" s="1">
        <v>3.7600000000000001E-2</v>
      </c>
      <c r="Q3287" s="1">
        <v>1.7299999999999999E-2</v>
      </c>
      <c r="R3287" s="1">
        <v>1.67E-2</v>
      </c>
      <c r="S3287" s="1">
        <v>1.66E-2</v>
      </c>
      <c r="T3287" s="1">
        <v>3.27E-2</v>
      </c>
      <c r="U3287" s="1">
        <v>0.40329999999999999</v>
      </c>
      <c r="V3287" s="1">
        <v>0.3987</v>
      </c>
      <c r="W3287" s="1">
        <v>0.37140000000000001</v>
      </c>
    </row>
    <row r="3288" spans="1:23">
      <c r="A3288" s="25" t="s">
        <v>224</v>
      </c>
      <c r="B3288">
        <v>2875</v>
      </c>
      <c r="C3288" t="s">
        <v>189</v>
      </c>
      <c r="D3288">
        <v>10418</v>
      </c>
      <c r="E3288" s="1">
        <v>3.6400000000000002E-2</v>
      </c>
      <c r="F3288" s="1">
        <v>0.19070000000000001</v>
      </c>
      <c r="G3288" s="1">
        <v>9.5999999999999992E-3</v>
      </c>
      <c r="H3288" s="1">
        <v>1.0999999999999999E-2</v>
      </c>
      <c r="I3288" s="1">
        <v>0</v>
      </c>
      <c r="J3288" s="1">
        <v>2.8999999999999998E-3</v>
      </c>
      <c r="K3288" s="1">
        <v>1.0999999999999999E-2</v>
      </c>
      <c r="L3288" s="1">
        <v>0.33889999999999998</v>
      </c>
      <c r="M3288" s="1">
        <v>9.4999999999999998E-3</v>
      </c>
      <c r="N3288" s="1">
        <v>1.6000000000000001E-3</v>
      </c>
      <c r="O3288" s="1">
        <v>1.54E-2</v>
      </c>
      <c r="P3288" s="1">
        <v>5.4600000000000003E-2</v>
      </c>
      <c r="Q3288" s="1">
        <v>1.4800000000000001E-2</v>
      </c>
      <c r="R3288" s="1">
        <v>1.8800000000000001E-2</v>
      </c>
      <c r="S3288" s="1">
        <v>1.8E-3</v>
      </c>
      <c r="T3288" s="1">
        <v>8.9999999999999993E-3</v>
      </c>
      <c r="U3288" s="1">
        <v>0.43240000000000001</v>
      </c>
      <c r="V3288" s="1">
        <v>0.46400000000000002</v>
      </c>
      <c r="W3288" s="1">
        <v>0.4577</v>
      </c>
    </row>
    <row r="3289" spans="1:23">
      <c r="A3289" s="25" t="s">
        <v>225</v>
      </c>
      <c r="B3289">
        <v>2809</v>
      </c>
      <c r="C3289" t="s">
        <v>189</v>
      </c>
      <c r="D3289">
        <v>10418</v>
      </c>
      <c r="E3289" s="1">
        <v>2.8299999999999999E-2</v>
      </c>
      <c r="F3289" s="1">
        <v>0.12690000000000001</v>
      </c>
      <c r="G3289" s="1">
        <v>3.8E-3</v>
      </c>
      <c r="H3289" s="1">
        <v>9.9000000000000008E-3</v>
      </c>
      <c r="I3289" s="1">
        <v>8.9999999999999998E-4</v>
      </c>
      <c r="J3289" s="1">
        <v>1E-4</v>
      </c>
      <c r="K3289" s="1">
        <v>6.0000000000000001E-3</v>
      </c>
      <c r="L3289" s="1">
        <v>0.36430000000000001</v>
      </c>
      <c r="M3289" s="1">
        <v>4.8999999999999998E-3</v>
      </c>
      <c r="N3289" s="1">
        <v>5.4999999999999997E-3</v>
      </c>
      <c r="O3289" s="1">
        <v>9.1999999999999998E-3</v>
      </c>
      <c r="P3289" s="1">
        <v>3.3799999999999997E-2</v>
      </c>
      <c r="Q3289" s="1">
        <v>1.2500000000000001E-2</v>
      </c>
      <c r="R3289" s="1">
        <v>1.5299999999999999E-2</v>
      </c>
      <c r="S3289" s="1">
        <v>3.7000000000000002E-3</v>
      </c>
      <c r="T3289" s="1">
        <v>5.4999999999999997E-3</v>
      </c>
      <c r="U3289" s="1">
        <v>0.41970000000000002</v>
      </c>
      <c r="V3289" s="1">
        <v>0.45340000000000003</v>
      </c>
      <c r="W3289" s="1">
        <v>0.41510000000000002</v>
      </c>
    </row>
    <row r="3290" spans="1:23">
      <c r="A3290" s="25" t="s">
        <v>226</v>
      </c>
      <c r="B3290">
        <v>3853</v>
      </c>
      <c r="C3290" t="s">
        <v>189</v>
      </c>
      <c r="D3290">
        <v>10418</v>
      </c>
      <c r="E3290" s="1">
        <v>0.01</v>
      </c>
      <c r="F3290" s="1">
        <v>3.9800000000000002E-2</v>
      </c>
      <c r="G3290" s="1">
        <v>1.1999999999999999E-3</v>
      </c>
      <c r="H3290" s="1">
        <v>1.12E-2</v>
      </c>
      <c r="I3290" s="1">
        <v>4.0000000000000002E-4</v>
      </c>
      <c r="J3290" s="1">
        <v>1E-4</v>
      </c>
      <c r="K3290" s="1">
        <v>1.14E-2</v>
      </c>
      <c r="L3290" s="1">
        <v>0.43819999999999998</v>
      </c>
      <c r="M3290" s="1">
        <v>6.1000000000000004E-3</v>
      </c>
      <c r="N3290" s="1">
        <v>1.5E-3</v>
      </c>
      <c r="O3290" s="1">
        <v>6.7000000000000002E-3</v>
      </c>
      <c r="P3290" s="1">
        <v>1.7999999999999999E-2</v>
      </c>
      <c r="Q3290" s="1">
        <v>8.6999999999999994E-3</v>
      </c>
      <c r="R3290" s="1">
        <v>1.4999999999999999E-2</v>
      </c>
      <c r="S3290" s="1">
        <v>6.0000000000000001E-3</v>
      </c>
      <c r="T3290" s="1">
        <v>5.1999999999999998E-3</v>
      </c>
      <c r="U3290" s="1">
        <v>0.3674</v>
      </c>
      <c r="V3290" s="1">
        <v>0.40749999999999997</v>
      </c>
      <c r="W3290" s="1">
        <v>0.39069999999999999</v>
      </c>
    </row>
    <row r="3291" spans="1:23">
      <c r="A3291" s="25" t="s">
        <v>192</v>
      </c>
      <c r="B3291">
        <v>10418</v>
      </c>
      <c r="C3291" t="s">
        <v>192</v>
      </c>
      <c r="D3291">
        <v>10418</v>
      </c>
      <c r="E3291" s="1">
        <v>2.5000000000000001E-2</v>
      </c>
      <c r="F3291" s="1">
        <v>0.12130000000000001</v>
      </c>
      <c r="G3291" s="1">
        <v>5.4000000000000003E-3</v>
      </c>
      <c r="H3291" s="1">
        <v>1.0699999999999999E-2</v>
      </c>
      <c r="I3291" s="1">
        <v>5.0000000000000001E-4</v>
      </c>
      <c r="J3291" s="1">
        <v>8.0000000000000004E-4</v>
      </c>
      <c r="K3291" s="1">
        <v>0.01</v>
      </c>
      <c r="L3291" s="1">
        <v>0.38369999999999999</v>
      </c>
      <c r="M3291" s="1">
        <v>6.1000000000000004E-3</v>
      </c>
      <c r="N3291" s="1">
        <v>2.3E-3</v>
      </c>
      <c r="O3291" s="1">
        <v>9.7999999999999997E-3</v>
      </c>
      <c r="P3291" s="1">
        <v>3.39E-2</v>
      </c>
      <c r="Q3291" s="1">
        <v>1.23E-2</v>
      </c>
      <c r="R3291" s="1">
        <v>1.6299999999999999E-2</v>
      </c>
      <c r="S3291" s="1">
        <v>5.7000000000000002E-3</v>
      </c>
      <c r="T3291" s="1">
        <v>9.7000000000000003E-3</v>
      </c>
      <c r="U3291" s="1">
        <v>0.4017</v>
      </c>
      <c r="V3291" s="1">
        <v>0.4325</v>
      </c>
      <c r="W3291" s="1">
        <v>0.41189999999999999</v>
      </c>
    </row>
    <row r="3293" spans="1:23" ht="43.5">
      <c r="A3293" s="25" t="s">
        <v>1075</v>
      </c>
    </row>
    <row r="3294" spans="1:23">
      <c r="A3294" s="25" t="s">
        <v>182</v>
      </c>
      <c r="B3294" t="s">
        <v>219</v>
      </c>
      <c r="C3294" t="s">
        <v>181</v>
      </c>
      <c r="D3294" t="s">
        <v>188</v>
      </c>
      <c r="E3294" t="s">
        <v>1059</v>
      </c>
      <c r="F3294" t="s">
        <v>1060</v>
      </c>
      <c r="G3294" t="s">
        <v>1061</v>
      </c>
      <c r="H3294" t="s">
        <v>241</v>
      </c>
      <c r="I3294" t="s">
        <v>1062</v>
      </c>
      <c r="J3294" t="s">
        <v>1063</v>
      </c>
      <c r="K3294" t="s">
        <v>1064</v>
      </c>
      <c r="L3294" t="s">
        <v>324</v>
      </c>
      <c r="M3294" t="s">
        <v>269</v>
      </c>
      <c r="N3294" t="s">
        <v>243</v>
      </c>
      <c r="O3294" t="s">
        <v>1065</v>
      </c>
      <c r="P3294" t="s">
        <v>1066</v>
      </c>
      <c r="Q3294" t="s">
        <v>1067</v>
      </c>
      <c r="R3294" t="s">
        <v>1068</v>
      </c>
      <c r="S3294" t="s">
        <v>1069</v>
      </c>
      <c r="T3294" t="s">
        <v>1070</v>
      </c>
      <c r="U3294" t="s">
        <v>1071</v>
      </c>
      <c r="V3294" t="s">
        <v>1072</v>
      </c>
      <c r="W3294" t="s">
        <v>1073</v>
      </c>
    </row>
    <row r="3295" spans="1:23">
      <c r="A3295" s="25" t="s">
        <v>190</v>
      </c>
      <c r="B3295">
        <v>4893</v>
      </c>
      <c r="C3295" t="s">
        <v>189</v>
      </c>
      <c r="D3295">
        <v>10418</v>
      </c>
      <c r="E3295" s="1">
        <v>1.77E-2</v>
      </c>
      <c r="F3295" s="1">
        <v>9.8699999999999996E-2</v>
      </c>
      <c r="G3295" s="1">
        <v>1.2999999999999999E-3</v>
      </c>
      <c r="H3295" s="1">
        <v>1.72E-2</v>
      </c>
      <c r="J3295" s="1">
        <v>8.0000000000000004E-4</v>
      </c>
      <c r="K3295" s="1">
        <v>9.2999999999999992E-3</v>
      </c>
      <c r="L3295" s="1">
        <v>0.48380000000000001</v>
      </c>
      <c r="M3295" s="1">
        <v>5.3E-3</v>
      </c>
      <c r="N3295" s="1">
        <v>2.8E-3</v>
      </c>
      <c r="O3295" s="1">
        <v>1.0800000000000001E-2</v>
      </c>
      <c r="P3295" s="1">
        <v>2.3400000000000001E-2</v>
      </c>
      <c r="Q3295" s="1">
        <v>8.5000000000000006E-3</v>
      </c>
      <c r="R3295" s="1">
        <v>1.2200000000000001E-2</v>
      </c>
      <c r="S3295" s="1">
        <v>4.8999999999999998E-3</v>
      </c>
      <c r="T3295" s="1">
        <v>6.1000000000000004E-3</v>
      </c>
      <c r="U3295" s="1">
        <v>0.3135</v>
      </c>
      <c r="V3295" s="1">
        <v>0.34139999999999998</v>
      </c>
      <c r="W3295" s="1">
        <v>0.31840000000000002</v>
      </c>
    </row>
    <row r="3296" spans="1:23">
      <c r="A3296" s="25" t="s">
        <v>191</v>
      </c>
      <c r="B3296">
        <v>5468</v>
      </c>
      <c r="C3296" t="s">
        <v>189</v>
      </c>
      <c r="D3296">
        <v>10418</v>
      </c>
      <c r="E3296" s="1">
        <v>2.9600000000000001E-2</v>
      </c>
      <c r="F3296" s="1">
        <v>0.13550000000000001</v>
      </c>
      <c r="G3296" s="1">
        <v>7.9000000000000008E-3</v>
      </c>
      <c r="H3296" s="1">
        <v>6.7000000000000002E-3</v>
      </c>
      <c r="I3296" s="1">
        <v>8.0000000000000004E-4</v>
      </c>
      <c r="J3296" s="1">
        <v>8.0000000000000004E-4</v>
      </c>
      <c r="K3296" s="1">
        <v>1.04E-2</v>
      </c>
      <c r="L3296" s="1">
        <v>0.32250000000000001</v>
      </c>
      <c r="M3296" s="1">
        <v>6.4999999999999997E-3</v>
      </c>
      <c r="N3296" s="1">
        <v>2E-3</v>
      </c>
      <c r="O3296" s="1">
        <v>9.1000000000000004E-3</v>
      </c>
      <c r="P3296" s="1">
        <v>4.0399999999999998E-2</v>
      </c>
      <c r="Q3296" s="1">
        <v>1.46E-2</v>
      </c>
      <c r="R3296" s="1">
        <v>1.8800000000000001E-2</v>
      </c>
      <c r="S3296" s="1">
        <v>6.1999999999999998E-3</v>
      </c>
      <c r="T3296" s="1">
        <v>1.18E-2</v>
      </c>
      <c r="U3296" s="1">
        <v>0.45540000000000003</v>
      </c>
      <c r="V3296" s="1">
        <v>0.48780000000000001</v>
      </c>
      <c r="W3296" s="1">
        <v>0.46870000000000001</v>
      </c>
    </row>
    <row r="3297" spans="1:23">
      <c r="A3297" s="25" t="s">
        <v>192</v>
      </c>
      <c r="B3297">
        <v>10418</v>
      </c>
      <c r="C3297" t="s">
        <v>192</v>
      </c>
      <c r="D3297">
        <v>10418</v>
      </c>
      <c r="E3297" s="1">
        <v>2.5000000000000001E-2</v>
      </c>
      <c r="F3297" s="1">
        <v>0.12130000000000001</v>
      </c>
      <c r="G3297" s="1">
        <v>5.4000000000000003E-3</v>
      </c>
      <c r="H3297" s="1">
        <v>1.0699999999999999E-2</v>
      </c>
      <c r="I3297" s="1">
        <v>5.0000000000000001E-4</v>
      </c>
      <c r="J3297" s="1">
        <v>8.0000000000000004E-4</v>
      </c>
      <c r="K3297" s="1">
        <v>0.01</v>
      </c>
      <c r="L3297" s="1">
        <v>0.38369999999999999</v>
      </c>
      <c r="M3297" s="1">
        <v>6.1000000000000004E-3</v>
      </c>
      <c r="N3297" s="1">
        <v>2.3E-3</v>
      </c>
      <c r="O3297" s="1">
        <v>9.7999999999999997E-3</v>
      </c>
      <c r="P3297" s="1">
        <v>3.39E-2</v>
      </c>
      <c r="Q3297" s="1">
        <v>1.23E-2</v>
      </c>
      <c r="R3297" s="1">
        <v>1.6299999999999999E-2</v>
      </c>
      <c r="S3297" s="1">
        <v>5.7000000000000002E-3</v>
      </c>
      <c r="T3297" s="1">
        <v>9.7000000000000003E-3</v>
      </c>
      <c r="U3297" s="1">
        <v>0.4017</v>
      </c>
      <c r="V3297" s="1">
        <v>0.4325</v>
      </c>
      <c r="W3297" s="1">
        <v>0.41189999999999999</v>
      </c>
    </row>
    <row r="3299" spans="1:23" ht="57.95">
      <c r="A3299" s="25" t="s">
        <v>1076</v>
      </c>
    </row>
    <row r="3300" spans="1:23">
      <c r="A3300" s="25" t="s">
        <v>182</v>
      </c>
      <c r="B3300" t="s">
        <v>219</v>
      </c>
      <c r="C3300" t="s">
        <v>181</v>
      </c>
      <c r="D3300" t="s">
        <v>188</v>
      </c>
      <c r="E3300" t="s">
        <v>1059</v>
      </c>
      <c r="F3300" t="s">
        <v>1060</v>
      </c>
      <c r="G3300" t="s">
        <v>1061</v>
      </c>
      <c r="H3300" t="s">
        <v>241</v>
      </c>
      <c r="I3300" t="s">
        <v>1062</v>
      </c>
      <c r="J3300" t="s">
        <v>1063</v>
      </c>
      <c r="K3300" t="s">
        <v>1064</v>
      </c>
      <c r="L3300" t="s">
        <v>324</v>
      </c>
      <c r="M3300" t="s">
        <v>269</v>
      </c>
      <c r="N3300" t="s">
        <v>243</v>
      </c>
      <c r="O3300" t="s">
        <v>1065</v>
      </c>
      <c r="P3300" t="s">
        <v>1066</v>
      </c>
      <c r="Q3300" t="s">
        <v>1067</v>
      </c>
      <c r="R3300" t="s">
        <v>1068</v>
      </c>
      <c r="S3300" t="s">
        <v>1069</v>
      </c>
      <c r="T3300" t="s">
        <v>1070</v>
      </c>
      <c r="U3300" t="s">
        <v>1071</v>
      </c>
      <c r="V3300" t="s">
        <v>1072</v>
      </c>
      <c r="W3300" t="s">
        <v>1073</v>
      </c>
    </row>
    <row r="3301" spans="1:23" ht="29.1">
      <c r="A3301" s="25" t="s">
        <v>194</v>
      </c>
      <c r="B3301">
        <v>5949</v>
      </c>
      <c r="C3301" t="s">
        <v>189</v>
      </c>
      <c r="D3301">
        <v>10418</v>
      </c>
      <c r="E3301" s="1">
        <v>2.1999999999999999E-2</v>
      </c>
      <c r="F3301" s="1">
        <v>0.11360000000000001</v>
      </c>
      <c r="G3301" s="1">
        <v>6.7999999999999996E-3</v>
      </c>
      <c r="H3301" s="1">
        <v>1.26E-2</v>
      </c>
      <c r="I3301" s="1">
        <v>6.9999999999999999E-4</v>
      </c>
      <c r="J3301" s="1">
        <v>0</v>
      </c>
      <c r="K3301" s="1">
        <v>9.4999999999999998E-3</v>
      </c>
      <c r="L3301" s="1">
        <v>0.47420000000000001</v>
      </c>
      <c r="M3301" s="1">
        <v>7.0000000000000001E-3</v>
      </c>
      <c r="N3301" s="1">
        <v>2.5000000000000001E-3</v>
      </c>
      <c r="O3301" s="1">
        <v>8.2000000000000007E-3</v>
      </c>
      <c r="P3301" s="1">
        <v>3.1300000000000001E-2</v>
      </c>
      <c r="Q3301" s="1">
        <v>1.01E-2</v>
      </c>
      <c r="R3301" s="1">
        <v>1.61E-2</v>
      </c>
      <c r="S3301" s="1">
        <v>5.8999999999999999E-3</v>
      </c>
      <c r="T3301" s="1">
        <v>1.0999999999999999E-2</v>
      </c>
      <c r="U3301" s="1">
        <v>0.29980000000000001</v>
      </c>
      <c r="V3301" s="1">
        <v>0.32469999999999999</v>
      </c>
      <c r="W3301" s="1">
        <v>0.32279999999999998</v>
      </c>
    </row>
    <row r="3302" spans="1:23" ht="29.1">
      <c r="A3302" s="25" t="s">
        <v>195</v>
      </c>
      <c r="B3302">
        <v>2696</v>
      </c>
      <c r="C3302" t="s">
        <v>189</v>
      </c>
      <c r="D3302">
        <v>10418</v>
      </c>
      <c r="E3302" s="1">
        <v>3.9399999999999998E-2</v>
      </c>
      <c r="F3302" s="1">
        <v>0.1583</v>
      </c>
      <c r="G3302" s="1">
        <v>1.2999999999999999E-3</v>
      </c>
      <c r="H3302" s="1">
        <v>4.3E-3</v>
      </c>
      <c r="I3302" s="1">
        <v>1E-4</v>
      </c>
      <c r="J3302" s="1">
        <v>1.8E-3</v>
      </c>
      <c r="K3302" s="1">
        <v>1.2500000000000001E-2</v>
      </c>
      <c r="L3302" s="1">
        <v>0.20430000000000001</v>
      </c>
      <c r="M3302" s="1">
        <v>2.8999999999999998E-3</v>
      </c>
      <c r="N3302" s="1">
        <v>2.3E-3</v>
      </c>
      <c r="O3302" s="1">
        <v>9.1999999999999998E-3</v>
      </c>
      <c r="P3302" s="1">
        <v>3.2500000000000001E-2</v>
      </c>
      <c r="Q3302" s="1">
        <v>1.6500000000000001E-2</v>
      </c>
      <c r="R3302" s="1">
        <v>1.6299999999999999E-2</v>
      </c>
      <c r="S3302" s="1">
        <v>5.3E-3</v>
      </c>
      <c r="T3302" s="1">
        <v>7.7999999999999996E-3</v>
      </c>
      <c r="U3302" s="1">
        <v>0.60929999999999995</v>
      </c>
      <c r="V3302" s="1">
        <v>0.622</v>
      </c>
      <c r="W3302" s="1">
        <v>0.52649999999999997</v>
      </c>
    </row>
    <row r="3303" spans="1:23" ht="29.1">
      <c r="A3303" s="25" t="s">
        <v>196</v>
      </c>
      <c r="B3303">
        <v>1716</v>
      </c>
      <c r="C3303" t="s">
        <v>189</v>
      </c>
      <c r="D3303">
        <v>10418</v>
      </c>
      <c r="E3303" s="1">
        <v>1.9099999999999999E-2</v>
      </c>
      <c r="F3303" s="1">
        <v>0.1051</v>
      </c>
      <c r="G3303" s="1">
        <v>3.0999999999999999E-3</v>
      </c>
      <c r="H3303" s="1">
        <v>9.1999999999999998E-3</v>
      </c>
      <c r="J3303" s="1">
        <v>4.7000000000000002E-3</v>
      </c>
      <c r="K3303" s="1">
        <v>8.6999999999999994E-3</v>
      </c>
      <c r="L3303" s="1">
        <v>6.6900000000000001E-2</v>
      </c>
      <c r="M3303" s="1">
        <v>5.3E-3</v>
      </c>
      <c r="N3303" s="1">
        <v>1.1999999999999999E-3</v>
      </c>
      <c r="O3303" s="1">
        <v>2.3E-2</v>
      </c>
      <c r="P3303" s="1">
        <v>5.67E-2</v>
      </c>
      <c r="Q3303" s="1">
        <v>2.0199999999999999E-2</v>
      </c>
      <c r="R3303" s="1">
        <v>1.78E-2</v>
      </c>
      <c r="S3303" s="1">
        <v>4.4999999999999997E-3</v>
      </c>
      <c r="T3303" s="1">
        <v>3.3999999999999998E-3</v>
      </c>
      <c r="U3303" s="1">
        <v>0.74650000000000005</v>
      </c>
      <c r="V3303" s="1">
        <v>0.85860000000000003</v>
      </c>
      <c r="W3303" s="1">
        <v>0.84899999999999998</v>
      </c>
    </row>
    <row r="3304" spans="1:23">
      <c r="A3304" s="25" t="s">
        <v>192</v>
      </c>
      <c r="B3304">
        <v>10418</v>
      </c>
      <c r="C3304" t="s">
        <v>192</v>
      </c>
      <c r="D3304">
        <v>10418</v>
      </c>
      <c r="E3304" s="1">
        <v>2.5000000000000001E-2</v>
      </c>
      <c r="F3304" s="1">
        <v>0.12130000000000001</v>
      </c>
      <c r="G3304" s="1">
        <v>5.4000000000000003E-3</v>
      </c>
      <c r="H3304" s="1">
        <v>1.0699999999999999E-2</v>
      </c>
      <c r="I3304" s="1">
        <v>5.0000000000000001E-4</v>
      </c>
      <c r="J3304" s="1">
        <v>8.0000000000000004E-4</v>
      </c>
      <c r="K3304" s="1">
        <v>0.01</v>
      </c>
      <c r="L3304" s="1">
        <v>0.38369999999999999</v>
      </c>
      <c r="M3304" s="1">
        <v>6.1000000000000004E-3</v>
      </c>
      <c r="N3304" s="1">
        <v>2.3E-3</v>
      </c>
      <c r="O3304" s="1">
        <v>9.7999999999999997E-3</v>
      </c>
      <c r="P3304" s="1">
        <v>3.39E-2</v>
      </c>
      <c r="Q3304" s="1">
        <v>1.23E-2</v>
      </c>
      <c r="R3304" s="1">
        <v>1.6299999999999999E-2</v>
      </c>
      <c r="S3304" s="1">
        <v>5.7000000000000002E-3</v>
      </c>
      <c r="T3304" s="1">
        <v>9.7000000000000003E-3</v>
      </c>
      <c r="U3304" s="1">
        <v>0.4017</v>
      </c>
      <c r="V3304" s="1">
        <v>0.4325</v>
      </c>
      <c r="W3304" s="1">
        <v>0.41189999999999999</v>
      </c>
    </row>
    <row r="3306" spans="1:23" ht="43.5">
      <c r="A3306" s="25" t="s">
        <v>1077</v>
      </c>
    </row>
    <row r="3307" spans="1:23">
      <c r="A3307" s="25" t="s">
        <v>182</v>
      </c>
      <c r="B3307" t="s">
        <v>219</v>
      </c>
      <c r="C3307" t="s">
        <v>181</v>
      </c>
      <c r="D3307" t="s">
        <v>188</v>
      </c>
      <c r="E3307" t="s">
        <v>1059</v>
      </c>
      <c r="F3307" t="s">
        <v>1060</v>
      </c>
      <c r="G3307" t="s">
        <v>1061</v>
      </c>
      <c r="H3307" t="s">
        <v>241</v>
      </c>
      <c r="I3307" t="s">
        <v>1062</v>
      </c>
      <c r="J3307" t="s">
        <v>1063</v>
      </c>
      <c r="K3307" t="s">
        <v>1064</v>
      </c>
      <c r="L3307" t="s">
        <v>324</v>
      </c>
      <c r="M3307" t="s">
        <v>269</v>
      </c>
      <c r="N3307" t="s">
        <v>243</v>
      </c>
      <c r="O3307" t="s">
        <v>1065</v>
      </c>
      <c r="P3307" t="s">
        <v>1066</v>
      </c>
      <c r="Q3307" t="s">
        <v>1067</v>
      </c>
      <c r="R3307" t="s">
        <v>1068</v>
      </c>
      <c r="S3307" t="s">
        <v>1069</v>
      </c>
      <c r="T3307" t="s">
        <v>1070</v>
      </c>
      <c r="U3307" t="s">
        <v>1071</v>
      </c>
      <c r="V3307" t="s">
        <v>1072</v>
      </c>
      <c r="W3307" t="s">
        <v>1073</v>
      </c>
    </row>
    <row r="3308" spans="1:23">
      <c r="A3308" s="25" t="s">
        <v>198</v>
      </c>
      <c r="B3308">
        <v>2256</v>
      </c>
      <c r="C3308" t="s">
        <v>189</v>
      </c>
      <c r="D3308">
        <v>10418</v>
      </c>
      <c r="E3308" s="1">
        <v>2.81E-2</v>
      </c>
      <c r="F3308" s="1">
        <v>8.5800000000000001E-2</v>
      </c>
      <c r="G3308" s="1">
        <v>3.3E-3</v>
      </c>
      <c r="H3308" s="1">
        <v>1.49E-2</v>
      </c>
      <c r="J3308" s="1">
        <v>1E-4</v>
      </c>
      <c r="K3308" s="1">
        <v>1.3899999999999999E-2</v>
      </c>
      <c r="L3308" s="1">
        <v>0.34639999999999999</v>
      </c>
      <c r="M3308" s="1">
        <v>6.4999999999999997E-3</v>
      </c>
      <c r="N3308" s="1">
        <v>3.8E-3</v>
      </c>
      <c r="O3308" s="1">
        <v>1.8100000000000002E-2</v>
      </c>
      <c r="P3308" s="1">
        <v>3.2300000000000002E-2</v>
      </c>
      <c r="Q3308" s="1">
        <v>1.78E-2</v>
      </c>
      <c r="R3308" s="1">
        <v>2.7E-2</v>
      </c>
      <c r="S3308" s="1">
        <v>7.1999999999999998E-3</v>
      </c>
      <c r="T3308" s="1">
        <v>6.7999999999999996E-3</v>
      </c>
      <c r="U3308" s="1">
        <v>0.43680000000000002</v>
      </c>
      <c r="V3308" s="1">
        <v>0.48820000000000002</v>
      </c>
      <c r="W3308" s="1">
        <v>0.4516</v>
      </c>
    </row>
    <row r="3309" spans="1:23">
      <c r="A3309" s="25" t="s">
        <v>199</v>
      </c>
      <c r="B3309">
        <v>8162</v>
      </c>
      <c r="C3309" t="s">
        <v>189</v>
      </c>
      <c r="D3309">
        <v>10418</v>
      </c>
      <c r="E3309" s="1">
        <v>2.4299999999999999E-2</v>
      </c>
      <c r="F3309" s="1">
        <v>0.12920000000000001</v>
      </c>
      <c r="G3309" s="1">
        <v>5.7999999999999996E-3</v>
      </c>
      <c r="H3309" s="1">
        <v>9.7000000000000003E-3</v>
      </c>
      <c r="I3309" s="1">
        <v>5.9999999999999995E-4</v>
      </c>
      <c r="J3309" s="1">
        <v>1E-3</v>
      </c>
      <c r="K3309" s="1">
        <v>9.1000000000000004E-3</v>
      </c>
      <c r="L3309" s="1">
        <v>0.3921</v>
      </c>
      <c r="M3309" s="1">
        <v>6.0000000000000001E-3</v>
      </c>
      <c r="N3309" s="1">
        <v>2E-3</v>
      </c>
      <c r="O3309" s="1">
        <v>7.9000000000000008E-3</v>
      </c>
      <c r="P3309" s="1">
        <v>3.4200000000000001E-2</v>
      </c>
      <c r="Q3309" s="1">
        <v>1.0999999999999999E-2</v>
      </c>
      <c r="R3309" s="1">
        <v>1.3899999999999999E-2</v>
      </c>
      <c r="S3309" s="1">
        <v>5.3E-3</v>
      </c>
      <c r="T3309" s="1">
        <v>1.03E-2</v>
      </c>
      <c r="U3309" s="1">
        <v>0.39379999999999998</v>
      </c>
      <c r="V3309" s="1">
        <v>0.42</v>
      </c>
      <c r="W3309" s="1">
        <v>0.40300000000000002</v>
      </c>
    </row>
    <row r="3310" spans="1:23">
      <c r="A3310" s="25" t="s">
        <v>192</v>
      </c>
      <c r="B3310">
        <v>10418</v>
      </c>
      <c r="C3310" t="s">
        <v>192</v>
      </c>
      <c r="D3310">
        <v>10418</v>
      </c>
      <c r="E3310" s="1">
        <v>2.5000000000000001E-2</v>
      </c>
      <c r="F3310" s="1">
        <v>0.12130000000000001</v>
      </c>
      <c r="G3310" s="1">
        <v>5.4000000000000003E-3</v>
      </c>
      <c r="H3310" s="1">
        <v>1.0699999999999999E-2</v>
      </c>
      <c r="I3310" s="1">
        <v>5.0000000000000001E-4</v>
      </c>
      <c r="J3310" s="1">
        <v>8.0000000000000004E-4</v>
      </c>
      <c r="K3310" s="1">
        <v>0.01</v>
      </c>
      <c r="L3310" s="1">
        <v>0.38369999999999999</v>
      </c>
      <c r="M3310" s="1">
        <v>6.1000000000000004E-3</v>
      </c>
      <c r="N3310" s="1">
        <v>2.3E-3</v>
      </c>
      <c r="O3310" s="1">
        <v>9.7999999999999997E-3</v>
      </c>
      <c r="P3310" s="1">
        <v>3.39E-2</v>
      </c>
      <c r="Q3310" s="1">
        <v>1.23E-2</v>
      </c>
      <c r="R3310" s="1">
        <v>1.6299999999999999E-2</v>
      </c>
      <c r="S3310" s="1">
        <v>5.7000000000000002E-3</v>
      </c>
      <c r="T3310" s="1">
        <v>9.7000000000000003E-3</v>
      </c>
      <c r="U3310" s="1">
        <v>0.4017</v>
      </c>
      <c r="V3310" s="1">
        <v>0.4325</v>
      </c>
      <c r="W3310" s="1">
        <v>0.41189999999999999</v>
      </c>
    </row>
    <row r="3312" spans="1:23" ht="43.5">
      <c r="A3312" s="25" t="s">
        <v>1078</v>
      </c>
    </row>
    <row r="3313" spans="1:23">
      <c r="A3313" s="25" t="s">
        <v>182</v>
      </c>
      <c r="B3313" t="s">
        <v>219</v>
      </c>
      <c r="C3313" t="s">
        <v>181</v>
      </c>
      <c r="D3313" t="s">
        <v>188</v>
      </c>
      <c r="E3313" t="s">
        <v>1059</v>
      </c>
      <c r="F3313" t="s">
        <v>1060</v>
      </c>
      <c r="G3313" t="s">
        <v>1061</v>
      </c>
      <c r="H3313" t="s">
        <v>241</v>
      </c>
      <c r="I3313" t="s">
        <v>1062</v>
      </c>
      <c r="J3313" t="s">
        <v>1063</v>
      </c>
      <c r="K3313" t="s">
        <v>1064</v>
      </c>
      <c r="L3313" t="s">
        <v>324</v>
      </c>
      <c r="M3313" t="s">
        <v>269</v>
      </c>
      <c r="N3313" t="s">
        <v>243</v>
      </c>
      <c r="O3313" t="s">
        <v>1065</v>
      </c>
      <c r="P3313" t="s">
        <v>1066</v>
      </c>
      <c r="Q3313" t="s">
        <v>1067</v>
      </c>
      <c r="R3313" t="s">
        <v>1068</v>
      </c>
      <c r="S3313" t="s">
        <v>1069</v>
      </c>
      <c r="T3313" t="s">
        <v>1070</v>
      </c>
      <c r="U3313" t="s">
        <v>1071</v>
      </c>
      <c r="V3313" t="s">
        <v>1072</v>
      </c>
      <c r="W3313" t="s">
        <v>1073</v>
      </c>
    </row>
    <row r="3314" spans="1:23">
      <c r="A3314" s="25" t="s">
        <v>201</v>
      </c>
      <c r="B3314">
        <v>765</v>
      </c>
      <c r="C3314" t="s">
        <v>189</v>
      </c>
      <c r="D3314">
        <v>10418</v>
      </c>
      <c r="E3314" s="1">
        <v>3.3500000000000002E-2</v>
      </c>
      <c r="F3314" s="1">
        <v>0.1227</v>
      </c>
      <c r="G3314" s="1">
        <v>2.0899999999999998E-2</v>
      </c>
      <c r="H3314" s="1">
        <v>8.8999999999999999E-3</v>
      </c>
      <c r="I3314" s="1">
        <v>3.2000000000000002E-3</v>
      </c>
      <c r="J3314" s="1">
        <v>2.0000000000000001E-4</v>
      </c>
      <c r="K3314" s="1">
        <v>8.6999999999999994E-3</v>
      </c>
      <c r="L3314" s="1">
        <v>0.27629999999999999</v>
      </c>
      <c r="M3314" s="1">
        <v>2.5000000000000001E-3</v>
      </c>
      <c r="N3314" s="1">
        <v>3.7000000000000002E-3</v>
      </c>
      <c r="O3314" s="1">
        <v>2.63E-2</v>
      </c>
      <c r="P3314" s="1">
        <v>5.5199999999999999E-2</v>
      </c>
      <c r="Q3314" s="1">
        <v>1.6299999999999999E-2</v>
      </c>
      <c r="R3314" s="1">
        <v>1.5100000000000001E-2</v>
      </c>
      <c r="S3314" s="1">
        <v>1.3299999999999999E-2</v>
      </c>
      <c r="T3314" s="1">
        <v>8.0999999999999996E-3</v>
      </c>
      <c r="U3314" s="1">
        <v>0.50490000000000002</v>
      </c>
      <c r="V3314" s="1">
        <v>0.57069999999999999</v>
      </c>
      <c r="W3314" s="1">
        <v>0.56620000000000004</v>
      </c>
    </row>
    <row r="3315" spans="1:23">
      <c r="A3315" s="25" t="s">
        <v>202</v>
      </c>
      <c r="B3315">
        <v>110</v>
      </c>
      <c r="C3315" t="s">
        <v>189</v>
      </c>
      <c r="D3315">
        <v>10418</v>
      </c>
      <c r="E3315" s="1">
        <v>2.3800000000000002E-2</v>
      </c>
      <c r="F3315" s="1">
        <v>0.1172</v>
      </c>
      <c r="H3315" s="1">
        <v>3.8E-3</v>
      </c>
      <c r="K3315" s="1">
        <v>7.4999999999999997E-3</v>
      </c>
      <c r="L3315" s="1">
        <v>0.17380000000000001</v>
      </c>
      <c r="N3315" s="1">
        <v>6.7000000000000002E-3</v>
      </c>
      <c r="O3315" s="1">
        <v>2.3599999999999999E-2</v>
      </c>
      <c r="P3315" s="1">
        <v>7.2599999999999998E-2</v>
      </c>
      <c r="Q3315" s="1">
        <v>6.4000000000000003E-3</v>
      </c>
      <c r="R3315" s="1">
        <v>2.4199999999999999E-2</v>
      </c>
      <c r="T3315" s="1">
        <v>1.5599999999999999E-2</v>
      </c>
      <c r="U3315" s="1">
        <v>0.60219999999999996</v>
      </c>
      <c r="V3315" s="1">
        <v>0.62680000000000002</v>
      </c>
      <c r="W3315" s="1">
        <v>0.73029999999999995</v>
      </c>
    </row>
    <row r="3316" spans="1:23">
      <c r="A3316" s="25" t="s">
        <v>203</v>
      </c>
      <c r="B3316">
        <v>8030</v>
      </c>
      <c r="C3316" t="s">
        <v>189</v>
      </c>
      <c r="D3316">
        <v>10418</v>
      </c>
      <c r="E3316" s="1">
        <v>2.2599999999999999E-2</v>
      </c>
      <c r="F3316" s="1">
        <v>0.1143</v>
      </c>
      <c r="G3316" s="1">
        <v>2.2000000000000001E-3</v>
      </c>
      <c r="H3316" s="1">
        <v>1.14E-2</v>
      </c>
      <c r="I3316" s="1">
        <v>4.0000000000000002E-4</v>
      </c>
      <c r="J3316" s="1">
        <v>2.9999999999999997E-4</v>
      </c>
      <c r="K3316" s="1">
        <v>1.03E-2</v>
      </c>
      <c r="L3316" s="1">
        <v>0.42349999999999999</v>
      </c>
      <c r="M3316" s="1">
        <v>5.1999999999999998E-3</v>
      </c>
      <c r="N3316" s="1">
        <v>2.3E-3</v>
      </c>
      <c r="O3316" s="1">
        <v>4.1999999999999997E-3</v>
      </c>
      <c r="P3316" s="1">
        <v>2.87E-2</v>
      </c>
      <c r="Q3316" s="1">
        <v>1.12E-2</v>
      </c>
      <c r="R3316" s="1">
        <v>1.6500000000000001E-2</v>
      </c>
      <c r="S3316" s="1">
        <v>4.1000000000000003E-3</v>
      </c>
      <c r="T3316" s="1">
        <v>7.9000000000000008E-3</v>
      </c>
      <c r="U3316" s="1">
        <v>0.36730000000000002</v>
      </c>
      <c r="V3316" s="1">
        <v>0.39200000000000002</v>
      </c>
      <c r="W3316" s="1">
        <v>0.37009999999999998</v>
      </c>
    </row>
    <row r="3317" spans="1:23">
      <c r="A3317" s="25" t="s">
        <v>204</v>
      </c>
      <c r="B3317">
        <v>31</v>
      </c>
      <c r="C3317" t="s">
        <v>189</v>
      </c>
      <c r="D3317">
        <v>10418</v>
      </c>
      <c r="E3317" s="1">
        <v>1.0800000000000001E-2</v>
      </c>
      <c r="F3317" s="1">
        <v>0.23880000000000001</v>
      </c>
      <c r="L3317" s="1">
        <v>0.4501</v>
      </c>
      <c r="N3317" s="1">
        <v>4.8000000000000001E-2</v>
      </c>
      <c r="O3317" s="1">
        <v>3.2500000000000001E-2</v>
      </c>
      <c r="P3317" s="1">
        <v>2.1700000000000001E-2</v>
      </c>
      <c r="R3317" s="1">
        <v>1.04E-2</v>
      </c>
      <c r="U3317" s="1">
        <v>0.14330000000000001</v>
      </c>
      <c r="V3317" s="1">
        <v>0.13170000000000001</v>
      </c>
      <c r="W3317" s="1">
        <v>0.2319</v>
      </c>
    </row>
    <row r="3318" spans="1:23">
      <c r="A3318" s="25" t="s">
        <v>205</v>
      </c>
      <c r="B3318">
        <v>1482</v>
      </c>
      <c r="C3318" t="s">
        <v>189</v>
      </c>
      <c r="D3318">
        <v>10418</v>
      </c>
      <c r="E3318" s="1">
        <v>3.4599999999999999E-2</v>
      </c>
      <c r="F3318" s="1">
        <v>0.15890000000000001</v>
      </c>
      <c r="G3318" s="1">
        <v>1.5800000000000002E-2</v>
      </c>
      <c r="H3318" s="1">
        <v>7.7000000000000002E-3</v>
      </c>
      <c r="J3318" s="1">
        <v>4.1000000000000003E-3</v>
      </c>
      <c r="K3318" s="1">
        <v>9.1999999999999998E-3</v>
      </c>
      <c r="L3318" s="1">
        <v>0.21870000000000001</v>
      </c>
      <c r="M3318" s="1">
        <v>1.3299999999999999E-2</v>
      </c>
      <c r="N3318" s="1">
        <v>8.0000000000000004E-4</v>
      </c>
      <c r="O3318" s="1">
        <v>3.2199999999999999E-2</v>
      </c>
      <c r="P3318" s="1">
        <v>5.0999999999999997E-2</v>
      </c>
      <c r="Q3318" s="1">
        <v>1.6899999999999998E-2</v>
      </c>
      <c r="R3318" s="1">
        <v>1.5599999999999999E-2</v>
      </c>
      <c r="S3318" s="1">
        <v>1.0999999999999999E-2</v>
      </c>
      <c r="T3318" s="1">
        <v>2.01E-2</v>
      </c>
      <c r="U3318" s="1">
        <v>0.54100000000000004</v>
      </c>
      <c r="V3318" s="1">
        <v>0.58940000000000003</v>
      </c>
      <c r="W3318" s="1">
        <v>0.56169999999999998</v>
      </c>
    </row>
    <row r="3319" spans="1:23">
      <c r="A3319" s="25" t="s">
        <v>192</v>
      </c>
      <c r="B3319">
        <v>10418</v>
      </c>
      <c r="C3319" t="s">
        <v>192</v>
      </c>
      <c r="D3319">
        <v>10418</v>
      </c>
      <c r="E3319" s="1">
        <v>2.5000000000000001E-2</v>
      </c>
      <c r="F3319" s="1">
        <v>0.12130000000000001</v>
      </c>
      <c r="G3319" s="1">
        <v>5.4000000000000003E-3</v>
      </c>
      <c r="H3319" s="1">
        <v>1.0699999999999999E-2</v>
      </c>
      <c r="I3319" s="1">
        <v>5.0000000000000001E-4</v>
      </c>
      <c r="J3319" s="1">
        <v>8.0000000000000004E-4</v>
      </c>
      <c r="K3319" s="1">
        <v>0.01</v>
      </c>
      <c r="L3319" s="1">
        <v>0.38369999999999999</v>
      </c>
      <c r="M3319" s="1">
        <v>6.1000000000000004E-3</v>
      </c>
      <c r="N3319" s="1">
        <v>2.3E-3</v>
      </c>
      <c r="O3319" s="1">
        <v>9.7999999999999997E-3</v>
      </c>
      <c r="P3319" s="1">
        <v>3.39E-2</v>
      </c>
      <c r="Q3319" s="1">
        <v>1.23E-2</v>
      </c>
      <c r="R3319" s="1">
        <v>1.6299999999999999E-2</v>
      </c>
      <c r="S3319" s="1">
        <v>5.7000000000000002E-3</v>
      </c>
      <c r="T3319" s="1">
        <v>9.7000000000000003E-3</v>
      </c>
      <c r="U3319" s="1">
        <v>0.4017</v>
      </c>
      <c r="V3319" s="1">
        <v>0.4325</v>
      </c>
      <c r="W3319" s="1">
        <v>0.41189999999999999</v>
      </c>
    </row>
    <row r="3321" spans="1:23" ht="43.5">
      <c r="A3321" s="25" t="s">
        <v>1079</v>
      </c>
    </row>
    <row r="3322" spans="1:23">
      <c r="A3322" s="25" t="s">
        <v>182</v>
      </c>
      <c r="B3322" t="s">
        <v>219</v>
      </c>
      <c r="C3322" t="s">
        <v>181</v>
      </c>
      <c r="D3322" t="s">
        <v>188</v>
      </c>
      <c r="E3322" t="s">
        <v>1059</v>
      </c>
      <c r="F3322" t="s">
        <v>1060</v>
      </c>
      <c r="G3322" t="s">
        <v>1061</v>
      </c>
      <c r="H3322" t="s">
        <v>241</v>
      </c>
      <c r="I3322" t="s">
        <v>1062</v>
      </c>
      <c r="J3322" t="s">
        <v>1063</v>
      </c>
      <c r="K3322" t="s">
        <v>1064</v>
      </c>
      <c r="L3322" t="s">
        <v>324</v>
      </c>
      <c r="M3322" t="s">
        <v>269</v>
      </c>
      <c r="N3322" t="s">
        <v>243</v>
      </c>
      <c r="O3322" t="s">
        <v>1065</v>
      </c>
      <c r="P3322" t="s">
        <v>1066</v>
      </c>
      <c r="Q3322" t="s">
        <v>1067</v>
      </c>
      <c r="R3322" t="s">
        <v>1068</v>
      </c>
      <c r="S3322" t="s">
        <v>1069</v>
      </c>
      <c r="T3322" t="s">
        <v>1070</v>
      </c>
      <c r="U3322" t="s">
        <v>1071</v>
      </c>
      <c r="V3322" t="s">
        <v>1072</v>
      </c>
      <c r="W3322" t="s">
        <v>1073</v>
      </c>
    </row>
    <row r="3323" spans="1:23">
      <c r="A3323" s="25" t="s">
        <v>207</v>
      </c>
      <c r="B3323">
        <v>7245</v>
      </c>
      <c r="C3323" t="s">
        <v>189</v>
      </c>
      <c r="D3323">
        <v>10418</v>
      </c>
      <c r="E3323" s="1">
        <v>2.8500000000000001E-2</v>
      </c>
      <c r="F3323" s="1">
        <v>0.14199999999999999</v>
      </c>
      <c r="G3323" s="1">
        <v>4.3E-3</v>
      </c>
      <c r="H3323" s="1">
        <v>9.2999999999999992E-3</v>
      </c>
      <c r="I3323" s="1">
        <v>5.0000000000000001E-4</v>
      </c>
      <c r="J3323" s="1">
        <v>1.1999999999999999E-3</v>
      </c>
      <c r="K3323" s="1">
        <v>8.3000000000000001E-3</v>
      </c>
      <c r="L3323" s="1">
        <v>0.37509999999999999</v>
      </c>
      <c r="M3323" s="1">
        <v>5.5999999999999999E-3</v>
      </c>
      <c r="N3323" s="1">
        <v>2.8E-3</v>
      </c>
      <c r="O3323" s="1">
        <v>8.3000000000000001E-3</v>
      </c>
      <c r="P3323" s="1">
        <v>3.61E-2</v>
      </c>
      <c r="Q3323" s="1">
        <v>9.5999999999999992E-3</v>
      </c>
      <c r="R3323" s="1">
        <v>1.6299999999999999E-2</v>
      </c>
      <c r="S3323" s="1">
        <v>4.1000000000000003E-3</v>
      </c>
      <c r="T3323" s="1">
        <v>8.8000000000000005E-3</v>
      </c>
      <c r="U3323" s="1">
        <v>0.41670000000000001</v>
      </c>
      <c r="V3323" s="1">
        <v>0.44240000000000002</v>
      </c>
      <c r="W3323" s="1">
        <v>0.4143</v>
      </c>
    </row>
    <row r="3324" spans="1:23">
      <c r="A3324" s="25" t="s">
        <v>208</v>
      </c>
      <c r="B3324">
        <v>2239</v>
      </c>
      <c r="C3324" t="s">
        <v>189</v>
      </c>
      <c r="D3324">
        <v>10418</v>
      </c>
      <c r="E3324" s="1">
        <v>1.78E-2</v>
      </c>
      <c r="F3324" s="1">
        <v>6.6299999999999998E-2</v>
      </c>
      <c r="G3324" s="1">
        <v>6.7999999999999996E-3</v>
      </c>
      <c r="H3324" s="1">
        <v>1.55E-2</v>
      </c>
      <c r="I3324" s="1">
        <v>6.9999999999999999E-4</v>
      </c>
      <c r="K3324" s="1">
        <v>1.3899999999999999E-2</v>
      </c>
      <c r="L3324" s="1">
        <v>0.40810000000000002</v>
      </c>
      <c r="M3324" s="1">
        <v>6.1999999999999998E-3</v>
      </c>
      <c r="N3324" s="1">
        <v>1.5E-3</v>
      </c>
      <c r="O3324" s="1">
        <v>1.18E-2</v>
      </c>
      <c r="P3324" s="1">
        <v>2.93E-2</v>
      </c>
      <c r="Q3324" s="1">
        <v>1.6899999999999998E-2</v>
      </c>
      <c r="R3324" s="1">
        <v>1.5599999999999999E-2</v>
      </c>
      <c r="S3324" s="1">
        <v>1.18E-2</v>
      </c>
      <c r="T3324" s="1">
        <v>1.0200000000000001E-2</v>
      </c>
      <c r="U3324" s="1">
        <v>0.36109999999999998</v>
      </c>
      <c r="V3324" s="1">
        <v>0.39100000000000001</v>
      </c>
      <c r="W3324" s="1">
        <v>0.38950000000000001</v>
      </c>
    </row>
    <row r="3325" spans="1:23">
      <c r="A3325" s="25" t="s">
        <v>209</v>
      </c>
      <c r="B3325">
        <v>934</v>
      </c>
      <c r="C3325" t="s">
        <v>189</v>
      </c>
      <c r="D3325">
        <v>10418</v>
      </c>
      <c r="E3325" s="1">
        <v>1.52E-2</v>
      </c>
      <c r="F3325" s="1">
        <v>9.4700000000000006E-2</v>
      </c>
      <c r="G3325" s="1">
        <v>1.0200000000000001E-2</v>
      </c>
      <c r="H3325" s="1">
        <v>9.1999999999999998E-3</v>
      </c>
      <c r="K3325" s="1">
        <v>1.3899999999999999E-2</v>
      </c>
      <c r="L3325" s="1">
        <v>0.39029999999999998</v>
      </c>
      <c r="M3325" s="1">
        <v>1.0699999999999999E-2</v>
      </c>
      <c r="N3325" s="1">
        <v>2.9999999999999997E-4</v>
      </c>
      <c r="O3325" s="1">
        <v>1.6299999999999999E-2</v>
      </c>
      <c r="P3325" s="1">
        <v>2.6700000000000002E-2</v>
      </c>
      <c r="Q3325" s="1">
        <v>2.3099999999999999E-2</v>
      </c>
      <c r="R3325" s="1">
        <v>1.8100000000000002E-2</v>
      </c>
      <c r="S3325" s="1">
        <v>2.2000000000000001E-3</v>
      </c>
      <c r="T3325" s="1">
        <v>1.5699999999999999E-2</v>
      </c>
      <c r="U3325" s="1">
        <v>0.38469999999999999</v>
      </c>
      <c r="V3325" s="1">
        <v>0.46350000000000002</v>
      </c>
      <c r="W3325" s="1">
        <v>0.45500000000000002</v>
      </c>
    </row>
    <row r="3326" spans="1:23">
      <c r="A3326" s="25" t="s">
        <v>192</v>
      </c>
      <c r="B3326">
        <v>10418</v>
      </c>
      <c r="C3326" t="s">
        <v>192</v>
      </c>
      <c r="D3326">
        <v>10418</v>
      </c>
      <c r="E3326" s="1">
        <v>2.5000000000000001E-2</v>
      </c>
      <c r="F3326" s="1">
        <v>0.12130000000000001</v>
      </c>
      <c r="G3326" s="1">
        <v>5.4000000000000003E-3</v>
      </c>
      <c r="H3326" s="1">
        <v>1.0699999999999999E-2</v>
      </c>
      <c r="I3326" s="1">
        <v>5.0000000000000001E-4</v>
      </c>
      <c r="J3326" s="1">
        <v>8.0000000000000004E-4</v>
      </c>
      <c r="K3326" s="1">
        <v>0.01</v>
      </c>
      <c r="L3326" s="1">
        <v>0.38369999999999999</v>
      </c>
      <c r="M3326" s="1">
        <v>6.1000000000000004E-3</v>
      </c>
      <c r="N3326" s="1">
        <v>2.3E-3</v>
      </c>
      <c r="O3326" s="1">
        <v>9.7999999999999997E-3</v>
      </c>
      <c r="P3326" s="1">
        <v>3.39E-2</v>
      </c>
      <c r="Q3326" s="1">
        <v>1.23E-2</v>
      </c>
      <c r="R3326" s="1">
        <v>1.6299999999999999E-2</v>
      </c>
      <c r="S3326" s="1">
        <v>5.7000000000000002E-3</v>
      </c>
      <c r="T3326" s="1">
        <v>9.7000000000000003E-3</v>
      </c>
      <c r="U3326" s="1">
        <v>0.4017</v>
      </c>
      <c r="V3326" s="1">
        <v>0.4325</v>
      </c>
      <c r="W3326" s="1">
        <v>0.41189999999999999</v>
      </c>
    </row>
    <row r="3328" spans="1:23" ht="43.5">
      <c r="A3328" s="25" t="s">
        <v>1080</v>
      </c>
    </row>
    <row r="3329" spans="1:23">
      <c r="A3329" s="25" t="s">
        <v>182</v>
      </c>
      <c r="B3329" t="s">
        <v>219</v>
      </c>
      <c r="C3329" t="s">
        <v>181</v>
      </c>
      <c r="D3329" t="s">
        <v>188</v>
      </c>
      <c r="E3329" t="s">
        <v>1059</v>
      </c>
      <c r="F3329" t="s">
        <v>1060</v>
      </c>
      <c r="G3329" t="s">
        <v>1061</v>
      </c>
      <c r="H3329" t="s">
        <v>241</v>
      </c>
      <c r="I3329" t="s">
        <v>1062</v>
      </c>
      <c r="J3329" t="s">
        <v>1063</v>
      </c>
      <c r="K3329" t="s">
        <v>1064</v>
      </c>
      <c r="L3329" t="s">
        <v>324</v>
      </c>
      <c r="M3329" t="s">
        <v>269</v>
      </c>
      <c r="N3329" t="s">
        <v>243</v>
      </c>
      <c r="O3329" t="s">
        <v>1065</v>
      </c>
      <c r="P3329" t="s">
        <v>1066</v>
      </c>
      <c r="Q3329" t="s">
        <v>1067</v>
      </c>
      <c r="R3329" t="s">
        <v>1068</v>
      </c>
      <c r="S3329" t="s">
        <v>1069</v>
      </c>
      <c r="T3329" t="s">
        <v>1070</v>
      </c>
      <c r="U3329" t="s">
        <v>1071</v>
      </c>
      <c r="V3329" t="s">
        <v>1072</v>
      </c>
      <c r="W3329" t="s">
        <v>1073</v>
      </c>
    </row>
    <row r="3330" spans="1:23">
      <c r="A3330" s="25" t="s">
        <v>211</v>
      </c>
      <c r="B3330">
        <v>4966</v>
      </c>
      <c r="C3330" t="s">
        <v>189</v>
      </c>
      <c r="D3330">
        <v>10418</v>
      </c>
      <c r="E3330" s="1">
        <v>2.9100000000000001E-2</v>
      </c>
      <c r="F3330" s="1">
        <v>0.14549999999999999</v>
      </c>
      <c r="G3330" s="1">
        <v>4.7999999999999996E-3</v>
      </c>
      <c r="H3330" s="1">
        <v>8.5000000000000006E-3</v>
      </c>
      <c r="J3330" s="1">
        <v>8.9999999999999998E-4</v>
      </c>
      <c r="K3330" s="1">
        <v>8.6999999999999994E-3</v>
      </c>
      <c r="L3330" s="1">
        <v>0.38159999999999999</v>
      </c>
      <c r="M3330" s="1">
        <v>7.1000000000000004E-3</v>
      </c>
      <c r="N3330" s="1">
        <v>3.0999999999999999E-3</v>
      </c>
      <c r="O3330" s="1">
        <v>1.09E-2</v>
      </c>
      <c r="P3330" s="1">
        <v>3.85E-2</v>
      </c>
      <c r="Q3330" s="1">
        <v>1.14E-2</v>
      </c>
      <c r="R3330" s="1">
        <v>1.61E-2</v>
      </c>
      <c r="S3330" s="1">
        <v>2.2000000000000001E-3</v>
      </c>
      <c r="T3330" s="1">
        <v>7.7000000000000002E-3</v>
      </c>
      <c r="U3330" s="1">
        <v>0.3977</v>
      </c>
      <c r="V3330" s="1">
        <v>0.44569999999999999</v>
      </c>
      <c r="W3330" s="1">
        <v>0.41749999999999998</v>
      </c>
    </row>
    <row r="3331" spans="1:23">
      <c r="A3331" s="25" t="s">
        <v>212</v>
      </c>
      <c r="B3331">
        <v>3370</v>
      </c>
      <c r="C3331" t="s">
        <v>189</v>
      </c>
      <c r="D3331">
        <v>10418</v>
      </c>
      <c r="E3331" s="1">
        <v>1.11E-2</v>
      </c>
      <c r="F3331" s="1">
        <v>5.1299999999999998E-2</v>
      </c>
      <c r="G3331" s="1">
        <v>8.0999999999999996E-3</v>
      </c>
      <c r="H3331" s="1">
        <v>1.49E-2</v>
      </c>
      <c r="I3331" s="1">
        <v>1.6999999999999999E-3</v>
      </c>
      <c r="J3331" s="1">
        <v>2.0000000000000001E-4</v>
      </c>
      <c r="K3331" s="1">
        <v>1.24E-2</v>
      </c>
      <c r="L3331" s="1">
        <v>0.36170000000000002</v>
      </c>
      <c r="M3331" s="1">
        <v>4.7999999999999996E-3</v>
      </c>
      <c r="N3331" s="1">
        <v>1.9E-3</v>
      </c>
      <c r="O3331" s="1">
        <v>8.2000000000000007E-3</v>
      </c>
      <c r="P3331" s="1">
        <v>2.0400000000000001E-2</v>
      </c>
      <c r="Q3331" s="1">
        <v>1.37E-2</v>
      </c>
      <c r="R3331" s="1">
        <v>1.9E-2</v>
      </c>
      <c r="S3331" s="1">
        <v>1.3899999999999999E-2</v>
      </c>
      <c r="T3331" s="1">
        <v>1.6400000000000001E-2</v>
      </c>
      <c r="U3331" s="1">
        <v>0.4279</v>
      </c>
      <c r="V3331" s="1">
        <v>0.45660000000000001</v>
      </c>
      <c r="W3331" s="1">
        <v>0.4405</v>
      </c>
    </row>
    <row r="3332" spans="1:23">
      <c r="A3332" s="25" t="s">
        <v>213</v>
      </c>
      <c r="B3332">
        <v>2082</v>
      </c>
      <c r="C3332" t="s">
        <v>189</v>
      </c>
      <c r="D3332">
        <v>10418</v>
      </c>
      <c r="E3332" s="1">
        <v>3.61E-2</v>
      </c>
      <c r="F3332" s="1">
        <v>0.1686</v>
      </c>
      <c r="G3332" s="1">
        <v>2.5000000000000001E-3</v>
      </c>
      <c r="H3332" s="1">
        <v>9.4999999999999998E-3</v>
      </c>
      <c r="J3332" s="1">
        <v>1.5E-3</v>
      </c>
      <c r="K3332" s="1">
        <v>9.4000000000000004E-3</v>
      </c>
      <c r="L3332" s="1">
        <v>0.41930000000000001</v>
      </c>
      <c r="M3332" s="1">
        <v>5.7999999999999996E-3</v>
      </c>
      <c r="N3332" s="1">
        <v>1.1999999999999999E-3</v>
      </c>
      <c r="O3332" s="1">
        <v>9.4999999999999998E-3</v>
      </c>
      <c r="P3332" s="1">
        <v>4.2999999999999997E-2</v>
      </c>
      <c r="Q3332" s="1">
        <v>1.2200000000000001E-2</v>
      </c>
      <c r="R3332" s="1">
        <v>1.2800000000000001E-2</v>
      </c>
      <c r="S3332" s="1">
        <v>1.2999999999999999E-3</v>
      </c>
      <c r="T3332" s="1">
        <v>4.3E-3</v>
      </c>
      <c r="U3332" s="1">
        <v>0.37309999999999999</v>
      </c>
      <c r="V3332" s="1">
        <v>0.36969999999999997</v>
      </c>
      <c r="W3332" s="1">
        <v>0.35920000000000002</v>
      </c>
    </row>
    <row r="3333" spans="1:23">
      <c r="A3333" s="25" t="s">
        <v>192</v>
      </c>
      <c r="B3333">
        <v>10418</v>
      </c>
      <c r="C3333" t="s">
        <v>192</v>
      </c>
      <c r="D3333">
        <v>10418</v>
      </c>
      <c r="E3333" s="1">
        <v>2.5000000000000001E-2</v>
      </c>
      <c r="F3333" s="1">
        <v>0.12130000000000001</v>
      </c>
      <c r="G3333" s="1">
        <v>5.4000000000000003E-3</v>
      </c>
      <c r="H3333" s="1">
        <v>1.0699999999999999E-2</v>
      </c>
      <c r="I3333" s="1">
        <v>5.0000000000000001E-4</v>
      </c>
      <c r="J3333" s="1">
        <v>8.0000000000000004E-4</v>
      </c>
      <c r="K3333" s="1">
        <v>0.01</v>
      </c>
      <c r="L3333" s="1">
        <v>0.38369999999999999</v>
      </c>
      <c r="M3333" s="1">
        <v>6.1000000000000004E-3</v>
      </c>
      <c r="N3333" s="1">
        <v>2.3E-3</v>
      </c>
      <c r="O3333" s="1">
        <v>9.7999999999999997E-3</v>
      </c>
      <c r="P3333" s="1">
        <v>3.39E-2</v>
      </c>
      <c r="Q3333" s="1">
        <v>1.23E-2</v>
      </c>
      <c r="R3333" s="1">
        <v>1.6299999999999999E-2</v>
      </c>
      <c r="S3333" s="1">
        <v>5.7000000000000002E-3</v>
      </c>
      <c r="T3333" s="1">
        <v>9.7000000000000003E-3</v>
      </c>
      <c r="U3333" s="1">
        <v>0.4017</v>
      </c>
      <c r="V3333" s="1">
        <v>0.4325</v>
      </c>
      <c r="W3333" s="1">
        <v>0.41189999999999999</v>
      </c>
    </row>
    <row r="3335" spans="1:23" ht="43.5">
      <c r="A3335" s="25" t="s">
        <v>1081</v>
      </c>
    </row>
    <row r="3336" spans="1:23">
      <c r="A3336" s="25" t="s">
        <v>182</v>
      </c>
      <c r="B3336" t="s">
        <v>219</v>
      </c>
      <c r="C3336" t="s">
        <v>181</v>
      </c>
      <c r="D3336" t="s">
        <v>188</v>
      </c>
      <c r="E3336" t="s">
        <v>1082</v>
      </c>
      <c r="F3336" t="s">
        <v>1083</v>
      </c>
      <c r="G3336" t="s">
        <v>1084</v>
      </c>
      <c r="H3336" t="s">
        <v>1085</v>
      </c>
      <c r="I3336" t="s">
        <v>1086</v>
      </c>
      <c r="J3336" t="s">
        <v>1087</v>
      </c>
      <c r="K3336" t="s">
        <v>1088</v>
      </c>
      <c r="L3336" t="s">
        <v>1089</v>
      </c>
      <c r="M3336" t="s">
        <v>1090</v>
      </c>
      <c r="N3336" t="s">
        <v>1091</v>
      </c>
      <c r="O3336" t="s">
        <v>1092</v>
      </c>
      <c r="P3336" t="s">
        <v>243</v>
      </c>
      <c r="Q3336" t="s">
        <v>1093</v>
      </c>
      <c r="R3336" t="s">
        <v>1094</v>
      </c>
    </row>
    <row r="3337" spans="1:23">
      <c r="A3337" s="25" t="s">
        <v>215</v>
      </c>
      <c r="B3337">
        <v>49</v>
      </c>
      <c r="C3337" t="s">
        <v>189</v>
      </c>
      <c r="D3337">
        <v>152</v>
      </c>
      <c r="E3337" s="1">
        <v>1.78E-2</v>
      </c>
      <c r="F3337" s="1">
        <v>0.2767</v>
      </c>
      <c r="G3337" s="1">
        <v>6.3200000000000006E-2</v>
      </c>
      <c r="H3337" s="1">
        <v>0.10929999999999999</v>
      </c>
      <c r="I3337" s="1">
        <v>9.0899999999999995E-2</v>
      </c>
      <c r="J3337" s="1">
        <v>0.16789999999999999</v>
      </c>
      <c r="K3337" s="1">
        <v>4.24E-2</v>
      </c>
      <c r="L3337" s="1">
        <v>1.78E-2</v>
      </c>
      <c r="M3337" s="1">
        <v>0.1958</v>
      </c>
      <c r="N3337" s="1">
        <v>8.09E-2</v>
      </c>
      <c r="O3337" s="1">
        <v>0.191</v>
      </c>
      <c r="P3337" s="1">
        <v>3.6499999999999998E-2</v>
      </c>
      <c r="Q3337" s="1">
        <v>4.58E-2</v>
      </c>
    </row>
    <row r="3338" spans="1:23">
      <c r="A3338" s="25" t="s">
        <v>217</v>
      </c>
      <c r="B3338">
        <v>103</v>
      </c>
      <c r="C3338" t="s">
        <v>189</v>
      </c>
      <c r="D3338">
        <v>152</v>
      </c>
      <c r="E3338" s="1">
        <v>1.6500000000000001E-2</v>
      </c>
      <c r="F3338" s="1">
        <v>6.6500000000000004E-2</v>
      </c>
      <c r="G3338" s="1">
        <v>0.03</v>
      </c>
      <c r="H3338" s="1">
        <v>5.4600000000000003E-2</v>
      </c>
      <c r="I3338" s="1">
        <v>0.13539999999999999</v>
      </c>
      <c r="J3338" s="1">
        <v>8.43E-2</v>
      </c>
      <c r="K3338" s="1">
        <v>0.1087</v>
      </c>
      <c r="L3338" s="1">
        <v>8.2000000000000007E-3</v>
      </c>
      <c r="M3338" s="1">
        <v>0.2853</v>
      </c>
      <c r="N3338" s="1">
        <v>4.07E-2</v>
      </c>
      <c r="O3338" s="1">
        <v>0.1691</v>
      </c>
      <c r="P3338" s="1">
        <v>0.11700000000000001</v>
      </c>
      <c r="Q3338" s="1">
        <v>2.12E-2</v>
      </c>
      <c r="R3338" s="1">
        <v>5.1200000000000002E-2</v>
      </c>
    </row>
    <row r="3339" spans="1:23">
      <c r="A3339" s="25" t="s">
        <v>192</v>
      </c>
      <c r="B3339">
        <v>152</v>
      </c>
      <c r="C3339" t="s">
        <v>192</v>
      </c>
      <c r="D3339">
        <v>152</v>
      </c>
      <c r="E3339" s="1">
        <v>1.6799999999999999E-2</v>
      </c>
      <c r="F3339" s="1">
        <v>0.1202</v>
      </c>
      <c r="G3339" s="1">
        <v>3.85E-2</v>
      </c>
      <c r="H3339" s="1">
        <v>6.8599999999999994E-2</v>
      </c>
      <c r="I3339" s="1">
        <v>0.124</v>
      </c>
      <c r="J3339" s="1">
        <v>0.1056</v>
      </c>
      <c r="K3339" s="1">
        <v>9.1700000000000004E-2</v>
      </c>
      <c r="L3339" s="1">
        <v>1.06E-2</v>
      </c>
      <c r="M3339" s="1">
        <v>0.26250000000000001</v>
      </c>
      <c r="N3339" s="1">
        <v>5.0999999999999997E-2</v>
      </c>
      <c r="O3339" s="1">
        <v>0.17469999999999999</v>
      </c>
      <c r="P3339" s="1">
        <v>9.6500000000000002E-2</v>
      </c>
      <c r="Q3339" s="1">
        <v>2.75E-2</v>
      </c>
      <c r="R3339" s="1">
        <v>3.8100000000000002E-2</v>
      </c>
    </row>
    <row r="3341" spans="1:23" ht="43.5">
      <c r="A3341" s="25" t="s">
        <v>1095</v>
      </c>
    </row>
    <row r="3342" spans="1:23">
      <c r="A3342" s="25" t="s">
        <v>182</v>
      </c>
      <c r="B3342" t="s">
        <v>219</v>
      </c>
      <c r="C3342" t="s">
        <v>181</v>
      </c>
      <c r="D3342" t="s">
        <v>188</v>
      </c>
      <c r="E3342" t="s">
        <v>1082</v>
      </c>
      <c r="F3342" t="s">
        <v>1083</v>
      </c>
      <c r="G3342" t="s">
        <v>1084</v>
      </c>
      <c r="H3342" t="s">
        <v>1085</v>
      </c>
      <c r="I3342" t="s">
        <v>1086</v>
      </c>
      <c r="J3342" t="s">
        <v>1087</v>
      </c>
      <c r="K3342" t="s">
        <v>1088</v>
      </c>
      <c r="L3342" t="s">
        <v>1089</v>
      </c>
      <c r="M3342" t="s">
        <v>1090</v>
      </c>
      <c r="N3342" t="s">
        <v>1091</v>
      </c>
      <c r="O3342" t="s">
        <v>1092</v>
      </c>
      <c r="P3342" t="s">
        <v>243</v>
      </c>
      <c r="Q3342" t="s">
        <v>1093</v>
      </c>
      <c r="R3342" t="s">
        <v>1094</v>
      </c>
    </row>
    <row r="3343" spans="1:23">
      <c r="A3343" s="25" t="s">
        <v>223</v>
      </c>
      <c r="B3343">
        <v>21</v>
      </c>
      <c r="C3343" t="s">
        <v>189</v>
      </c>
      <c r="D3343">
        <v>152</v>
      </c>
      <c r="F3343" s="1">
        <v>0.11409999999999999</v>
      </c>
      <c r="G3343" s="1">
        <v>3.1899999999999998E-2</v>
      </c>
      <c r="H3343" s="1">
        <v>4.3400000000000001E-2</v>
      </c>
      <c r="I3343" s="1">
        <v>3.5200000000000002E-2</v>
      </c>
      <c r="J3343" s="1">
        <v>9.5299999999999996E-2</v>
      </c>
      <c r="K3343" s="1">
        <v>8.4099999999999994E-2</v>
      </c>
      <c r="M3343" s="1">
        <v>0.4113</v>
      </c>
      <c r="O3343" s="1">
        <v>0.1951</v>
      </c>
      <c r="P3343" s="1">
        <v>2.8000000000000001E-2</v>
      </c>
      <c r="Q3343" s="1">
        <v>3.1899999999999998E-2</v>
      </c>
      <c r="R3343" s="1">
        <v>0.1757</v>
      </c>
    </row>
    <row r="3344" spans="1:23">
      <c r="A3344" s="25" t="s">
        <v>224</v>
      </c>
      <c r="B3344">
        <v>56</v>
      </c>
      <c r="C3344" t="s">
        <v>189</v>
      </c>
      <c r="D3344">
        <v>152</v>
      </c>
      <c r="E3344" s="1">
        <v>1.2800000000000001E-2</v>
      </c>
      <c r="F3344" s="1">
        <v>3.3300000000000003E-2</v>
      </c>
      <c r="G3344" s="1">
        <v>3.8800000000000001E-2</v>
      </c>
      <c r="H3344" s="1">
        <v>3.9199999999999999E-2</v>
      </c>
      <c r="I3344" s="1">
        <v>0.1706</v>
      </c>
      <c r="J3344" s="1">
        <v>6.6500000000000004E-2</v>
      </c>
      <c r="K3344" s="1">
        <v>0.12720000000000001</v>
      </c>
      <c r="L3344" s="1">
        <v>1.2800000000000001E-2</v>
      </c>
      <c r="M3344" s="1">
        <v>0.25690000000000002</v>
      </c>
      <c r="N3344" s="1">
        <v>4.8800000000000003E-2</v>
      </c>
      <c r="O3344" s="1">
        <v>0.22670000000000001</v>
      </c>
      <c r="P3344" s="1">
        <v>0.13239999999999999</v>
      </c>
      <c r="Q3344" s="1">
        <v>6.4000000000000003E-3</v>
      </c>
    </row>
    <row r="3345" spans="1:18">
      <c r="A3345" s="25" t="s">
        <v>225</v>
      </c>
      <c r="B3345">
        <v>38</v>
      </c>
      <c r="C3345" t="s">
        <v>189</v>
      </c>
      <c r="D3345">
        <v>152</v>
      </c>
      <c r="E3345" s="1">
        <v>1.04E-2</v>
      </c>
      <c r="F3345" s="1">
        <v>0.2278</v>
      </c>
      <c r="G3345" s="1">
        <v>4.24E-2</v>
      </c>
      <c r="H3345" s="1">
        <v>0.11310000000000001</v>
      </c>
      <c r="I3345" s="1">
        <v>0.19980000000000001</v>
      </c>
      <c r="J3345" s="1">
        <v>0.1021</v>
      </c>
      <c r="K3345" s="1">
        <v>3.9600000000000003E-2</v>
      </c>
      <c r="M3345" s="1">
        <v>0.29920000000000002</v>
      </c>
      <c r="N3345" s="1">
        <v>6.8599999999999994E-2</v>
      </c>
      <c r="O3345" s="1">
        <v>0.14280000000000001</v>
      </c>
      <c r="P3345" s="1">
        <v>6.2399999999999997E-2</v>
      </c>
      <c r="Q3345" s="1">
        <v>4.2299999999999997E-2</v>
      </c>
    </row>
    <row r="3346" spans="1:18">
      <c r="A3346" s="25" t="s">
        <v>226</v>
      </c>
      <c r="B3346">
        <v>37</v>
      </c>
      <c r="C3346" t="s">
        <v>189</v>
      </c>
      <c r="D3346">
        <v>152</v>
      </c>
      <c r="E3346" s="1">
        <v>5.1299999999999998E-2</v>
      </c>
      <c r="F3346" s="1">
        <v>0.1545</v>
      </c>
      <c r="G3346" s="1">
        <v>4.0500000000000001E-2</v>
      </c>
      <c r="H3346" s="1">
        <v>9.6199999999999994E-2</v>
      </c>
      <c r="I3346" s="1">
        <v>4.4299999999999999E-2</v>
      </c>
      <c r="J3346" s="1">
        <v>0.19420000000000001</v>
      </c>
      <c r="K3346" s="1">
        <v>9.9500000000000005E-2</v>
      </c>
      <c r="L3346" s="1">
        <v>3.1800000000000002E-2</v>
      </c>
      <c r="M3346" s="1">
        <v>5.8200000000000002E-2</v>
      </c>
      <c r="N3346" s="1">
        <v>9.0899999999999995E-2</v>
      </c>
      <c r="O3346" s="1">
        <v>9.4899999999999998E-2</v>
      </c>
      <c r="P3346" s="1">
        <v>0.15</v>
      </c>
      <c r="Q3346" s="1">
        <v>4.3200000000000002E-2</v>
      </c>
    </row>
    <row r="3347" spans="1:18">
      <c r="A3347" s="25" t="s">
        <v>192</v>
      </c>
      <c r="B3347">
        <v>152</v>
      </c>
      <c r="C3347" t="s">
        <v>192</v>
      </c>
      <c r="D3347">
        <v>152</v>
      </c>
      <c r="E3347" s="1">
        <v>1.6799999999999999E-2</v>
      </c>
      <c r="F3347" s="1">
        <v>0.1202</v>
      </c>
      <c r="G3347" s="1">
        <v>3.85E-2</v>
      </c>
      <c r="H3347" s="1">
        <v>6.8599999999999994E-2</v>
      </c>
      <c r="I3347" s="1">
        <v>0.124</v>
      </c>
      <c r="J3347" s="1">
        <v>0.1056</v>
      </c>
      <c r="K3347" s="1">
        <v>9.1700000000000004E-2</v>
      </c>
      <c r="L3347" s="1">
        <v>1.06E-2</v>
      </c>
      <c r="M3347" s="1">
        <v>0.26250000000000001</v>
      </c>
      <c r="N3347" s="1">
        <v>5.0999999999999997E-2</v>
      </c>
      <c r="O3347" s="1">
        <v>0.17469999999999999</v>
      </c>
      <c r="P3347" s="1">
        <v>9.6500000000000002E-2</v>
      </c>
      <c r="Q3347" s="1">
        <v>2.75E-2</v>
      </c>
      <c r="R3347" s="1">
        <v>3.8100000000000002E-2</v>
      </c>
    </row>
    <row r="3349" spans="1:18" ht="43.5">
      <c r="A3349" s="25" t="s">
        <v>1096</v>
      </c>
    </row>
    <row r="3350" spans="1:18">
      <c r="A3350" s="25" t="s">
        <v>182</v>
      </c>
      <c r="B3350" t="s">
        <v>219</v>
      </c>
      <c r="C3350" t="s">
        <v>181</v>
      </c>
      <c r="D3350" t="s">
        <v>188</v>
      </c>
      <c r="E3350" t="s">
        <v>1082</v>
      </c>
      <c r="F3350" t="s">
        <v>1083</v>
      </c>
      <c r="G3350" t="s">
        <v>1084</v>
      </c>
      <c r="H3350" t="s">
        <v>1085</v>
      </c>
      <c r="I3350" t="s">
        <v>1086</v>
      </c>
      <c r="J3350" t="s">
        <v>1087</v>
      </c>
      <c r="K3350" t="s">
        <v>1088</v>
      </c>
      <c r="L3350" t="s">
        <v>1089</v>
      </c>
      <c r="M3350" t="s">
        <v>1090</v>
      </c>
      <c r="N3350" t="s">
        <v>1091</v>
      </c>
      <c r="O3350" t="s">
        <v>1092</v>
      </c>
      <c r="P3350" t="s">
        <v>243</v>
      </c>
      <c r="Q3350" t="s">
        <v>1093</v>
      </c>
      <c r="R3350" t="s">
        <v>1094</v>
      </c>
    </row>
    <row r="3351" spans="1:18">
      <c r="A3351" s="25" t="s">
        <v>190</v>
      </c>
      <c r="B3351">
        <v>43</v>
      </c>
      <c r="C3351" t="s">
        <v>189</v>
      </c>
      <c r="D3351">
        <v>152</v>
      </c>
      <c r="F3351" s="1">
        <v>0.1111</v>
      </c>
      <c r="G3351" s="1">
        <v>2.47E-2</v>
      </c>
      <c r="H3351" s="1">
        <v>5.1900000000000002E-2</v>
      </c>
      <c r="I3351" s="1">
        <v>6.1199999999999997E-2</v>
      </c>
      <c r="J3351" s="1">
        <v>0.13370000000000001</v>
      </c>
      <c r="K3351" s="1">
        <v>6.6400000000000001E-2</v>
      </c>
      <c r="M3351" s="1">
        <v>0.13439999999999999</v>
      </c>
      <c r="N3351" s="1">
        <v>0.1067</v>
      </c>
      <c r="O3351" s="1">
        <v>0.14580000000000001</v>
      </c>
      <c r="P3351" s="1">
        <v>0.11840000000000001</v>
      </c>
      <c r="Q3351" s="1">
        <v>7.4300000000000005E-2</v>
      </c>
    </row>
    <row r="3352" spans="1:18">
      <c r="A3352" s="25" t="s">
        <v>191</v>
      </c>
      <c r="B3352">
        <v>109</v>
      </c>
      <c r="C3352" t="s">
        <v>189</v>
      </c>
      <c r="D3352">
        <v>152</v>
      </c>
      <c r="E3352" s="1">
        <v>2.1100000000000001E-2</v>
      </c>
      <c r="F3352" s="1">
        <v>0.1225</v>
      </c>
      <c r="G3352" s="1">
        <v>4.2000000000000003E-2</v>
      </c>
      <c r="H3352" s="1">
        <v>7.2900000000000006E-2</v>
      </c>
      <c r="I3352" s="1">
        <v>0.1401</v>
      </c>
      <c r="J3352" s="1">
        <v>9.8400000000000001E-2</v>
      </c>
      <c r="K3352" s="1">
        <v>9.8199999999999996E-2</v>
      </c>
      <c r="L3352" s="1">
        <v>1.3299999999999999E-2</v>
      </c>
      <c r="M3352" s="1">
        <v>0.29530000000000001</v>
      </c>
      <c r="N3352" s="1">
        <v>3.6700000000000003E-2</v>
      </c>
      <c r="O3352" s="1">
        <v>0.18210000000000001</v>
      </c>
      <c r="P3352" s="1">
        <v>9.0800000000000006E-2</v>
      </c>
      <c r="Q3352" s="1">
        <v>1.55E-2</v>
      </c>
      <c r="R3352" s="1">
        <v>4.7899999999999998E-2</v>
      </c>
    </row>
    <row r="3353" spans="1:18">
      <c r="A3353" s="25" t="s">
        <v>192</v>
      </c>
      <c r="B3353">
        <v>152</v>
      </c>
      <c r="C3353" t="s">
        <v>192</v>
      </c>
      <c r="D3353">
        <v>152</v>
      </c>
      <c r="E3353" s="1">
        <v>1.6799999999999999E-2</v>
      </c>
      <c r="F3353" s="1">
        <v>0.1202</v>
      </c>
      <c r="G3353" s="1">
        <v>3.85E-2</v>
      </c>
      <c r="H3353" s="1">
        <v>6.8599999999999994E-2</v>
      </c>
      <c r="I3353" s="1">
        <v>0.124</v>
      </c>
      <c r="J3353" s="1">
        <v>0.1056</v>
      </c>
      <c r="K3353" s="1">
        <v>9.1700000000000004E-2</v>
      </c>
      <c r="L3353" s="1">
        <v>1.06E-2</v>
      </c>
      <c r="M3353" s="1">
        <v>0.26250000000000001</v>
      </c>
      <c r="N3353" s="1">
        <v>5.0999999999999997E-2</v>
      </c>
      <c r="O3353" s="1">
        <v>0.17469999999999999</v>
      </c>
      <c r="P3353" s="1">
        <v>9.6500000000000002E-2</v>
      </c>
      <c r="Q3353" s="1">
        <v>2.75E-2</v>
      </c>
      <c r="R3353" s="1">
        <v>3.8100000000000002E-2</v>
      </c>
    </row>
    <row r="3355" spans="1:18" ht="57.95">
      <c r="A3355" s="25" t="s">
        <v>1097</v>
      </c>
    </row>
    <row r="3356" spans="1:18">
      <c r="A3356" s="25" t="s">
        <v>182</v>
      </c>
      <c r="B3356" t="s">
        <v>219</v>
      </c>
      <c r="C3356" t="s">
        <v>181</v>
      </c>
      <c r="D3356" t="s">
        <v>188</v>
      </c>
      <c r="E3356" t="s">
        <v>1082</v>
      </c>
      <c r="F3356" t="s">
        <v>1083</v>
      </c>
      <c r="G3356" t="s">
        <v>1084</v>
      </c>
      <c r="H3356" t="s">
        <v>1085</v>
      </c>
      <c r="I3356" t="s">
        <v>1086</v>
      </c>
      <c r="J3356" t="s">
        <v>1087</v>
      </c>
      <c r="K3356" t="s">
        <v>1088</v>
      </c>
      <c r="L3356" t="s">
        <v>1089</v>
      </c>
      <c r="M3356" t="s">
        <v>1090</v>
      </c>
      <c r="N3356" t="s">
        <v>1091</v>
      </c>
      <c r="O3356" t="s">
        <v>1092</v>
      </c>
      <c r="P3356" t="s">
        <v>243</v>
      </c>
      <c r="Q3356" t="s">
        <v>1093</v>
      </c>
      <c r="R3356" t="s">
        <v>1094</v>
      </c>
    </row>
    <row r="3357" spans="1:18" ht="29.1">
      <c r="A3357" s="25" t="s">
        <v>194</v>
      </c>
      <c r="B3357">
        <v>81</v>
      </c>
      <c r="C3357" t="s">
        <v>189</v>
      </c>
      <c r="D3357">
        <v>152</v>
      </c>
      <c r="E3357" s="1">
        <v>1.44E-2</v>
      </c>
      <c r="F3357" s="1">
        <v>9.9099999999999994E-2</v>
      </c>
      <c r="G3357" s="1">
        <v>3.0300000000000001E-2</v>
      </c>
      <c r="H3357" s="1">
        <v>4.41E-2</v>
      </c>
      <c r="I3357" s="1">
        <v>0.1545</v>
      </c>
      <c r="J3357" s="1">
        <v>0.1326</v>
      </c>
      <c r="K3357" s="1">
        <v>0.1197</v>
      </c>
      <c r="L3357" s="1">
        <v>8.8999999999999999E-3</v>
      </c>
      <c r="M3357" s="1">
        <v>0.26929999999999998</v>
      </c>
      <c r="N3357" s="1">
        <v>4.5100000000000001E-2</v>
      </c>
      <c r="O3357" s="1">
        <v>6.88E-2</v>
      </c>
      <c r="P3357" s="1">
        <v>0.11310000000000001</v>
      </c>
      <c r="Q3357" s="1">
        <v>3.9399999999999998E-2</v>
      </c>
      <c r="R3357" s="1">
        <v>3.0300000000000001E-2</v>
      </c>
    </row>
    <row r="3358" spans="1:18" ht="29.1">
      <c r="A3358" s="25" t="s">
        <v>195</v>
      </c>
      <c r="B3358">
        <v>42</v>
      </c>
      <c r="C3358" t="s">
        <v>189</v>
      </c>
      <c r="D3358">
        <v>152</v>
      </c>
      <c r="E3358" s="1">
        <v>1.26E-2</v>
      </c>
      <c r="F3358" s="1">
        <v>0.22420000000000001</v>
      </c>
      <c r="G3358" s="1">
        <v>4.7899999999999998E-2</v>
      </c>
      <c r="H3358" s="1">
        <v>9.5299999999999996E-2</v>
      </c>
      <c r="I3358" s="1">
        <v>2.3E-2</v>
      </c>
      <c r="J3358" s="1">
        <v>5.9200000000000003E-2</v>
      </c>
      <c r="K3358" s="1">
        <v>3.6799999999999999E-2</v>
      </c>
      <c r="M3358" s="1">
        <v>0.24210000000000001</v>
      </c>
      <c r="N3358" s="1">
        <v>3.4200000000000001E-2</v>
      </c>
      <c r="O3358" s="1">
        <v>0.46579999999999999</v>
      </c>
      <c r="P3358" s="1">
        <v>7.1000000000000004E-3</v>
      </c>
      <c r="Q3358" s="1">
        <v>3.2000000000000002E-3</v>
      </c>
      <c r="R3358" s="1">
        <v>8.8999999999999996E-2</v>
      </c>
    </row>
    <row r="3359" spans="1:18" ht="29.1">
      <c r="A3359" s="25" t="s">
        <v>196</v>
      </c>
      <c r="B3359">
        <v>29</v>
      </c>
      <c r="C3359" t="s">
        <v>189</v>
      </c>
      <c r="D3359">
        <v>152</v>
      </c>
      <c r="E3359" s="1">
        <v>3.7499999999999999E-2</v>
      </c>
      <c r="F3359" s="1">
        <v>7.0699999999999999E-2</v>
      </c>
      <c r="G3359" s="1">
        <v>6.9599999999999995E-2</v>
      </c>
      <c r="H3359" s="1">
        <v>0.16320000000000001</v>
      </c>
      <c r="I3359" s="1">
        <v>0.1159</v>
      </c>
      <c r="J3359" s="1">
        <v>2.87E-2</v>
      </c>
      <c r="K3359" s="1">
        <v>2.3099999999999999E-2</v>
      </c>
      <c r="L3359" s="1">
        <v>3.7499999999999999E-2</v>
      </c>
      <c r="M3359" s="1">
        <v>0.25700000000000001</v>
      </c>
      <c r="N3359" s="1">
        <v>0.11119999999999999</v>
      </c>
      <c r="O3359" s="1">
        <v>0.3</v>
      </c>
      <c r="P3359" s="1">
        <v>0.14760000000000001</v>
      </c>
    </row>
    <row r="3360" spans="1:18">
      <c r="A3360" s="25" t="s">
        <v>192</v>
      </c>
      <c r="B3360">
        <v>152</v>
      </c>
      <c r="C3360" t="s">
        <v>192</v>
      </c>
      <c r="D3360">
        <v>152</v>
      </c>
      <c r="E3360" s="1">
        <v>1.6799999999999999E-2</v>
      </c>
      <c r="F3360" s="1">
        <v>0.1202</v>
      </c>
      <c r="G3360" s="1">
        <v>3.85E-2</v>
      </c>
      <c r="H3360" s="1">
        <v>6.8599999999999994E-2</v>
      </c>
      <c r="I3360" s="1">
        <v>0.124</v>
      </c>
      <c r="J3360" s="1">
        <v>0.1056</v>
      </c>
      <c r="K3360" s="1">
        <v>9.1700000000000004E-2</v>
      </c>
      <c r="L3360" s="1">
        <v>1.06E-2</v>
      </c>
      <c r="M3360" s="1">
        <v>0.26250000000000001</v>
      </c>
      <c r="N3360" s="1">
        <v>5.0999999999999997E-2</v>
      </c>
      <c r="O3360" s="1">
        <v>0.17469999999999999</v>
      </c>
      <c r="P3360" s="1">
        <v>9.6500000000000002E-2</v>
      </c>
      <c r="Q3360" s="1">
        <v>2.75E-2</v>
      </c>
      <c r="R3360" s="1">
        <v>3.8100000000000002E-2</v>
      </c>
    </row>
    <row r="3362" spans="1:18" ht="57.95">
      <c r="A3362" s="25" t="s">
        <v>1098</v>
      </c>
    </row>
    <row r="3363" spans="1:18">
      <c r="A3363" s="25" t="s">
        <v>182</v>
      </c>
      <c r="B3363" t="s">
        <v>219</v>
      </c>
      <c r="C3363" t="s">
        <v>181</v>
      </c>
      <c r="D3363" t="s">
        <v>188</v>
      </c>
      <c r="E3363" t="s">
        <v>1082</v>
      </c>
      <c r="F3363" t="s">
        <v>1083</v>
      </c>
      <c r="G3363" t="s">
        <v>1084</v>
      </c>
      <c r="H3363" t="s">
        <v>1085</v>
      </c>
      <c r="I3363" t="s">
        <v>1086</v>
      </c>
      <c r="J3363" t="s">
        <v>1087</v>
      </c>
      <c r="K3363" t="s">
        <v>1088</v>
      </c>
      <c r="L3363" t="s">
        <v>1089</v>
      </c>
      <c r="M3363" t="s">
        <v>1090</v>
      </c>
      <c r="N3363" t="s">
        <v>1091</v>
      </c>
      <c r="O3363" t="s">
        <v>1092</v>
      </c>
      <c r="P3363" t="s">
        <v>243</v>
      </c>
      <c r="Q3363" t="s">
        <v>1093</v>
      </c>
      <c r="R3363" t="s">
        <v>1094</v>
      </c>
    </row>
    <row r="3364" spans="1:18">
      <c r="A3364" s="25" t="s">
        <v>198</v>
      </c>
      <c r="B3364">
        <v>36</v>
      </c>
      <c r="C3364" t="s">
        <v>189</v>
      </c>
      <c r="D3364">
        <v>152</v>
      </c>
      <c r="F3364" s="1">
        <v>0.1905</v>
      </c>
      <c r="G3364" s="1">
        <v>5.4699999999999999E-2</v>
      </c>
      <c r="H3364" s="1">
        <v>0.14069999999999999</v>
      </c>
      <c r="I3364" s="1">
        <v>0.2268</v>
      </c>
      <c r="J3364" s="1">
        <v>0.1661</v>
      </c>
      <c r="M3364" s="1">
        <v>0.215</v>
      </c>
      <c r="N3364" s="1">
        <v>5.4600000000000003E-2</v>
      </c>
      <c r="O3364" s="1">
        <v>0.1913</v>
      </c>
      <c r="P3364" s="1">
        <v>7.9600000000000004E-2</v>
      </c>
      <c r="Q3364" s="1">
        <v>5.0900000000000001E-2</v>
      </c>
    </row>
    <row r="3365" spans="1:18">
      <c r="A3365" s="25" t="s">
        <v>199</v>
      </c>
      <c r="B3365">
        <v>116</v>
      </c>
      <c r="C3365" t="s">
        <v>189</v>
      </c>
      <c r="D3365">
        <v>152</v>
      </c>
      <c r="E3365" s="1">
        <v>2.12E-2</v>
      </c>
      <c r="F3365" s="1">
        <v>0.1019</v>
      </c>
      <c r="G3365" s="1">
        <v>3.4299999999999997E-2</v>
      </c>
      <c r="H3365" s="1">
        <v>4.9700000000000001E-2</v>
      </c>
      <c r="I3365" s="1">
        <v>9.7199999999999995E-2</v>
      </c>
      <c r="J3365" s="1">
        <v>8.9800000000000005E-2</v>
      </c>
      <c r="K3365" s="1">
        <v>0.1157</v>
      </c>
      <c r="L3365" s="1">
        <v>1.34E-2</v>
      </c>
      <c r="M3365" s="1">
        <v>0.27489999999999998</v>
      </c>
      <c r="N3365" s="1">
        <v>0.05</v>
      </c>
      <c r="O3365" s="1">
        <v>0.1704</v>
      </c>
      <c r="P3365" s="1">
        <v>0.1009</v>
      </c>
      <c r="Q3365" s="1">
        <v>2.1399999999999999E-2</v>
      </c>
      <c r="R3365" s="1">
        <v>4.8099999999999997E-2</v>
      </c>
    </row>
    <row r="3366" spans="1:18">
      <c r="A3366" s="25" t="s">
        <v>192</v>
      </c>
      <c r="B3366">
        <v>152</v>
      </c>
      <c r="C3366" t="s">
        <v>192</v>
      </c>
      <c r="D3366">
        <v>152</v>
      </c>
      <c r="E3366" s="1">
        <v>1.6799999999999999E-2</v>
      </c>
      <c r="F3366" s="1">
        <v>0.1202</v>
      </c>
      <c r="G3366" s="1">
        <v>3.85E-2</v>
      </c>
      <c r="H3366" s="1">
        <v>6.8599999999999994E-2</v>
      </c>
      <c r="I3366" s="1">
        <v>0.124</v>
      </c>
      <c r="J3366" s="1">
        <v>0.1056</v>
      </c>
      <c r="K3366" s="1">
        <v>9.1700000000000004E-2</v>
      </c>
      <c r="L3366" s="1">
        <v>1.06E-2</v>
      </c>
      <c r="M3366" s="1">
        <v>0.26250000000000001</v>
      </c>
      <c r="N3366" s="1">
        <v>5.0999999999999997E-2</v>
      </c>
      <c r="O3366" s="1">
        <v>0.17469999999999999</v>
      </c>
      <c r="P3366" s="1">
        <v>9.6500000000000002E-2</v>
      </c>
      <c r="Q3366" s="1">
        <v>2.75E-2</v>
      </c>
      <c r="R3366" s="1">
        <v>3.8100000000000002E-2</v>
      </c>
    </row>
    <row r="3368" spans="1:18" ht="57.95">
      <c r="A3368" s="25" t="s">
        <v>1099</v>
      </c>
    </row>
    <row r="3369" spans="1:18">
      <c r="A3369" s="25" t="s">
        <v>182</v>
      </c>
      <c r="B3369" t="s">
        <v>219</v>
      </c>
      <c r="C3369" t="s">
        <v>181</v>
      </c>
      <c r="D3369" t="s">
        <v>188</v>
      </c>
      <c r="E3369" t="s">
        <v>1082</v>
      </c>
      <c r="F3369" t="s">
        <v>1083</v>
      </c>
      <c r="G3369" t="s">
        <v>1084</v>
      </c>
      <c r="H3369" t="s">
        <v>1085</v>
      </c>
      <c r="I3369" t="s">
        <v>1086</v>
      </c>
      <c r="J3369" t="s">
        <v>1087</v>
      </c>
      <c r="K3369" t="s">
        <v>1088</v>
      </c>
      <c r="L3369" t="s">
        <v>1089</v>
      </c>
      <c r="M3369" t="s">
        <v>1090</v>
      </c>
      <c r="N3369" t="s">
        <v>1091</v>
      </c>
      <c r="O3369" t="s">
        <v>1092</v>
      </c>
      <c r="P3369" t="s">
        <v>243</v>
      </c>
      <c r="Q3369" t="s">
        <v>1093</v>
      </c>
      <c r="R3369" t="s">
        <v>1094</v>
      </c>
    </row>
    <row r="3370" spans="1:18">
      <c r="A3370" s="25" t="s">
        <v>201</v>
      </c>
      <c r="B3370">
        <v>20</v>
      </c>
      <c r="C3370" t="s">
        <v>189</v>
      </c>
      <c r="D3370">
        <v>152</v>
      </c>
      <c r="F3370" s="1">
        <v>0.1225</v>
      </c>
      <c r="G3370" s="1">
        <v>1.6299999999999999E-2</v>
      </c>
      <c r="H3370" s="1">
        <v>0.12870000000000001</v>
      </c>
      <c r="I3370" s="1">
        <v>0.69850000000000001</v>
      </c>
      <c r="K3370" s="1">
        <v>9.1999999999999998E-3</v>
      </c>
      <c r="M3370" s="1">
        <v>0.27729999999999999</v>
      </c>
      <c r="O3370" s="1">
        <v>0.10979999999999999</v>
      </c>
    </row>
    <row r="3371" spans="1:18">
      <c r="A3371" s="25" t="s">
        <v>202</v>
      </c>
      <c r="B3371">
        <v>1</v>
      </c>
      <c r="C3371" t="s">
        <v>189</v>
      </c>
      <c r="D3371">
        <v>152</v>
      </c>
      <c r="J3371" s="1">
        <v>1</v>
      </c>
    </row>
    <row r="3372" spans="1:18">
      <c r="A3372" s="25" t="s">
        <v>203</v>
      </c>
      <c r="B3372">
        <v>94</v>
      </c>
      <c r="C3372" t="s">
        <v>189</v>
      </c>
      <c r="D3372">
        <v>152</v>
      </c>
      <c r="E3372" s="1">
        <v>2.4899999999999999E-2</v>
      </c>
      <c r="F3372" s="1">
        <v>0.16750000000000001</v>
      </c>
      <c r="G3372" s="1">
        <v>6.2399999999999997E-2</v>
      </c>
      <c r="H3372" s="1">
        <v>5.6300000000000003E-2</v>
      </c>
      <c r="I3372" s="1">
        <v>7.9000000000000008E-3</v>
      </c>
      <c r="J3372" s="1">
        <v>0.1525</v>
      </c>
      <c r="K3372" s="1">
        <v>0.1236</v>
      </c>
      <c r="L3372" s="1">
        <v>1.84E-2</v>
      </c>
      <c r="M3372" s="1">
        <v>0.1673</v>
      </c>
      <c r="N3372" s="1">
        <v>6.8900000000000003E-2</v>
      </c>
      <c r="O3372" s="1">
        <v>0.18559999999999999</v>
      </c>
      <c r="P3372" s="1">
        <v>0.1138</v>
      </c>
      <c r="Q3372" s="1">
        <v>2.7400000000000001E-2</v>
      </c>
      <c r="R3372" s="1">
        <v>3.0300000000000001E-2</v>
      </c>
    </row>
    <row r="3373" spans="1:18">
      <c r="A3373" s="25" t="s">
        <v>205</v>
      </c>
      <c r="B3373">
        <v>37</v>
      </c>
      <c r="C3373" t="s">
        <v>189</v>
      </c>
      <c r="D3373">
        <v>152</v>
      </c>
      <c r="E3373" s="1">
        <v>9.1999999999999998E-3</v>
      </c>
      <c r="F3373" s="1">
        <v>1.84E-2</v>
      </c>
      <c r="H3373" s="1">
        <v>6.13E-2</v>
      </c>
      <c r="I3373" s="1">
        <v>4.7800000000000002E-2</v>
      </c>
      <c r="J3373" s="1">
        <v>5.7500000000000002E-2</v>
      </c>
      <c r="K3373" s="1">
        <v>7.0999999999999994E-2</v>
      </c>
      <c r="M3373" s="1">
        <v>0.46039999999999998</v>
      </c>
      <c r="N3373" s="1">
        <v>4.1799999999999997E-2</v>
      </c>
      <c r="O3373" s="1">
        <v>0.1895</v>
      </c>
      <c r="P3373" s="1">
        <v>0.1149</v>
      </c>
      <c r="Q3373" s="1">
        <v>4.3499999999999997E-2</v>
      </c>
      <c r="R3373" s="1">
        <v>7.6999999999999999E-2</v>
      </c>
    </row>
    <row r="3374" spans="1:18">
      <c r="A3374" s="25" t="s">
        <v>192</v>
      </c>
      <c r="B3374">
        <v>152</v>
      </c>
      <c r="C3374" t="s">
        <v>192</v>
      </c>
      <c r="D3374">
        <v>152</v>
      </c>
      <c r="E3374" s="1">
        <v>1.6799999999999999E-2</v>
      </c>
      <c r="F3374" s="1">
        <v>0.1202</v>
      </c>
      <c r="G3374" s="1">
        <v>3.85E-2</v>
      </c>
      <c r="H3374" s="1">
        <v>6.8599999999999994E-2</v>
      </c>
      <c r="I3374" s="1">
        <v>0.124</v>
      </c>
      <c r="J3374" s="1">
        <v>0.1056</v>
      </c>
      <c r="K3374" s="1">
        <v>9.1700000000000004E-2</v>
      </c>
      <c r="L3374" s="1">
        <v>1.06E-2</v>
      </c>
      <c r="M3374" s="1">
        <v>0.26250000000000001</v>
      </c>
      <c r="N3374" s="1">
        <v>5.0999999999999997E-2</v>
      </c>
      <c r="O3374" s="1">
        <v>0.17469999999999999</v>
      </c>
      <c r="P3374" s="1">
        <v>9.6500000000000002E-2</v>
      </c>
      <c r="Q3374" s="1">
        <v>2.75E-2</v>
      </c>
      <c r="R3374" s="1">
        <v>3.8100000000000002E-2</v>
      </c>
    </row>
    <row r="3376" spans="1:18" ht="43.5">
      <c r="A3376" s="25" t="s">
        <v>1100</v>
      </c>
    </row>
    <row r="3377" spans="1:18">
      <c r="A3377" s="25" t="s">
        <v>182</v>
      </c>
      <c r="B3377" t="s">
        <v>219</v>
      </c>
      <c r="C3377" t="s">
        <v>181</v>
      </c>
      <c r="D3377" t="s">
        <v>188</v>
      </c>
      <c r="E3377" t="s">
        <v>1082</v>
      </c>
      <c r="F3377" t="s">
        <v>1083</v>
      </c>
      <c r="G3377" t="s">
        <v>1084</v>
      </c>
      <c r="H3377" t="s">
        <v>1085</v>
      </c>
      <c r="I3377" t="s">
        <v>1086</v>
      </c>
      <c r="J3377" t="s">
        <v>1087</v>
      </c>
      <c r="K3377" t="s">
        <v>1088</v>
      </c>
      <c r="L3377" t="s">
        <v>1089</v>
      </c>
      <c r="M3377" t="s">
        <v>1090</v>
      </c>
      <c r="N3377" t="s">
        <v>1091</v>
      </c>
      <c r="O3377" t="s">
        <v>1092</v>
      </c>
      <c r="P3377" t="s">
        <v>243</v>
      </c>
      <c r="Q3377" t="s">
        <v>1093</v>
      </c>
      <c r="R3377" t="s">
        <v>1094</v>
      </c>
    </row>
    <row r="3378" spans="1:18">
      <c r="A3378" s="25" t="s">
        <v>207</v>
      </c>
      <c r="B3378">
        <v>94</v>
      </c>
      <c r="C3378" t="s">
        <v>189</v>
      </c>
      <c r="D3378">
        <v>152</v>
      </c>
      <c r="E3378" s="1">
        <v>1.7500000000000002E-2</v>
      </c>
      <c r="F3378" s="1">
        <v>0.1221</v>
      </c>
      <c r="G3378" s="1">
        <v>6.4199999999999993E-2</v>
      </c>
      <c r="H3378" s="1">
        <v>5.8299999999999998E-2</v>
      </c>
      <c r="I3378" s="1">
        <v>0.1331</v>
      </c>
      <c r="J3378" s="1">
        <v>6.0199999999999997E-2</v>
      </c>
      <c r="K3378" s="1">
        <v>0.1137</v>
      </c>
      <c r="L3378" s="1">
        <v>8.3999999999999995E-3</v>
      </c>
      <c r="M3378" s="1">
        <v>0.28510000000000002</v>
      </c>
      <c r="N3378" s="1">
        <v>7.1800000000000003E-2</v>
      </c>
      <c r="O3378" s="1">
        <v>0.20449999999999999</v>
      </c>
      <c r="P3378" s="1">
        <v>0.1123</v>
      </c>
      <c r="Q3378" s="1">
        <v>2.2700000000000001E-2</v>
      </c>
    </row>
    <row r="3379" spans="1:18">
      <c r="A3379" s="25" t="s">
        <v>208</v>
      </c>
      <c r="B3379">
        <v>37</v>
      </c>
      <c r="C3379" t="s">
        <v>189</v>
      </c>
      <c r="D3379">
        <v>152</v>
      </c>
      <c r="E3379" s="1">
        <v>2.4400000000000002E-2</v>
      </c>
      <c r="F3379" s="1">
        <v>0.1145</v>
      </c>
      <c r="G3379" s="1">
        <v>1.2200000000000001E-2</v>
      </c>
      <c r="H3379" s="1">
        <v>0.1231</v>
      </c>
      <c r="I3379" s="1">
        <v>7.3000000000000001E-3</v>
      </c>
      <c r="J3379" s="1">
        <v>0.1928</v>
      </c>
      <c r="K3379" s="1">
        <v>6.8000000000000005E-2</v>
      </c>
      <c r="L3379" s="1">
        <v>2.0199999999999999E-2</v>
      </c>
      <c r="M3379" s="1">
        <v>0.24360000000000001</v>
      </c>
      <c r="N3379" s="1">
        <v>3.5499999999999997E-2</v>
      </c>
      <c r="O3379" s="1">
        <v>0.12759999999999999</v>
      </c>
      <c r="P3379" s="1">
        <v>4.9399999999999999E-2</v>
      </c>
      <c r="Q3379" s="1">
        <v>2.75E-2</v>
      </c>
      <c r="R3379" s="1">
        <v>0.12709999999999999</v>
      </c>
    </row>
    <row r="3380" spans="1:18">
      <c r="A3380" s="25" t="s">
        <v>209</v>
      </c>
      <c r="B3380">
        <v>21</v>
      </c>
      <c r="C3380" t="s">
        <v>189</v>
      </c>
      <c r="D3380">
        <v>152</v>
      </c>
      <c r="F3380" s="1">
        <v>0.1246</v>
      </c>
      <c r="I3380" s="1">
        <v>0.31519999999999998</v>
      </c>
      <c r="J3380" s="1">
        <v>9.5799999999999996E-2</v>
      </c>
      <c r="K3380" s="1">
        <v>6.13E-2</v>
      </c>
      <c r="M3380" s="1">
        <v>0.22040000000000001</v>
      </c>
      <c r="N3380" s="1">
        <v>8.3999999999999995E-3</v>
      </c>
      <c r="O3380" s="1">
        <v>0.1615</v>
      </c>
      <c r="P3380" s="1">
        <v>0.13139999999999999</v>
      </c>
      <c r="Q3380" s="1">
        <v>4.3999999999999997E-2</v>
      </c>
    </row>
    <row r="3381" spans="1:18">
      <c r="A3381" s="25" t="s">
        <v>192</v>
      </c>
      <c r="B3381">
        <v>152</v>
      </c>
      <c r="C3381" t="s">
        <v>192</v>
      </c>
      <c r="D3381">
        <v>152</v>
      </c>
      <c r="E3381" s="1">
        <v>1.6799999999999999E-2</v>
      </c>
      <c r="F3381" s="1">
        <v>0.1202</v>
      </c>
      <c r="G3381" s="1">
        <v>3.85E-2</v>
      </c>
      <c r="H3381" s="1">
        <v>6.8599999999999994E-2</v>
      </c>
      <c r="I3381" s="1">
        <v>0.124</v>
      </c>
      <c r="J3381" s="1">
        <v>0.1056</v>
      </c>
      <c r="K3381" s="1">
        <v>9.1700000000000004E-2</v>
      </c>
      <c r="L3381" s="1">
        <v>1.06E-2</v>
      </c>
      <c r="M3381" s="1">
        <v>0.26250000000000001</v>
      </c>
      <c r="N3381" s="1">
        <v>5.0999999999999997E-2</v>
      </c>
      <c r="O3381" s="1">
        <v>0.17469999999999999</v>
      </c>
      <c r="P3381" s="1">
        <v>9.6500000000000002E-2</v>
      </c>
      <c r="Q3381" s="1">
        <v>2.75E-2</v>
      </c>
      <c r="R3381" s="1">
        <v>3.8100000000000002E-2</v>
      </c>
    </row>
    <row r="3383" spans="1:18" ht="43.5">
      <c r="A3383" s="25" t="s">
        <v>1101</v>
      </c>
    </row>
    <row r="3384" spans="1:18">
      <c r="A3384" s="25" t="s">
        <v>182</v>
      </c>
      <c r="B3384" t="s">
        <v>219</v>
      </c>
      <c r="C3384" t="s">
        <v>181</v>
      </c>
      <c r="D3384" t="s">
        <v>188</v>
      </c>
      <c r="E3384" t="s">
        <v>1082</v>
      </c>
      <c r="F3384" t="s">
        <v>1083</v>
      </c>
      <c r="G3384" t="s">
        <v>1084</v>
      </c>
      <c r="H3384" t="s">
        <v>1085</v>
      </c>
      <c r="I3384" t="s">
        <v>1086</v>
      </c>
      <c r="J3384" t="s">
        <v>1087</v>
      </c>
      <c r="K3384" t="s">
        <v>1088</v>
      </c>
      <c r="L3384" t="s">
        <v>1089</v>
      </c>
      <c r="M3384" t="s">
        <v>1090</v>
      </c>
      <c r="N3384" t="s">
        <v>1091</v>
      </c>
      <c r="O3384" t="s">
        <v>1092</v>
      </c>
      <c r="P3384" t="s">
        <v>243</v>
      </c>
      <c r="Q3384" t="s">
        <v>1093</v>
      </c>
      <c r="R3384" t="s">
        <v>1094</v>
      </c>
    </row>
    <row r="3385" spans="1:18">
      <c r="A3385" s="25" t="s">
        <v>211</v>
      </c>
      <c r="B3385">
        <v>66</v>
      </c>
      <c r="C3385" t="s">
        <v>189</v>
      </c>
      <c r="D3385">
        <v>152</v>
      </c>
      <c r="E3385" s="1">
        <v>2.7000000000000001E-3</v>
      </c>
      <c r="F3385" s="1">
        <v>7.1199999999999999E-2</v>
      </c>
      <c r="G3385" s="1">
        <v>2.4E-2</v>
      </c>
      <c r="H3385" s="1">
        <v>3.4000000000000002E-2</v>
      </c>
      <c r="I3385" s="1">
        <v>9.7900000000000001E-2</v>
      </c>
      <c r="J3385" s="1">
        <v>6.5500000000000003E-2</v>
      </c>
      <c r="K3385" s="1">
        <v>0.13339999999999999</v>
      </c>
      <c r="M3385" s="1">
        <v>0.33960000000000001</v>
      </c>
      <c r="N3385" s="1">
        <v>4.53E-2</v>
      </c>
      <c r="O3385" s="1">
        <v>0.2266</v>
      </c>
      <c r="P3385" s="1">
        <v>0.12889999999999999</v>
      </c>
      <c r="Q3385" s="1">
        <v>3.6400000000000002E-2</v>
      </c>
    </row>
    <row r="3386" spans="1:18">
      <c r="A3386" s="25" t="s">
        <v>212</v>
      </c>
      <c r="B3386">
        <v>51</v>
      </c>
      <c r="C3386" t="s">
        <v>189</v>
      </c>
      <c r="D3386">
        <v>152</v>
      </c>
      <c r="E3386" s="1">
        <v>3.09E-2</v>
      </c>
      <c r="F3386" s="1">
        <v>9.8299999999999998E-2</v>
      </c>
      <c r="G3386" s="1">
        <v>3.9399999999999998E-2</v>
      </c>
      <c r="H3386" s="1">
        <v>7.3899999999999993E-2</v>
      </c>
      <c r="I3386" s="1">
        <v>0.18479999999999999</v>
      </c>
      <c r="J3386" s="1">
        <v>0.1111</v>
      </c>
      <c r="K3386" s="1">
        <v>8.0100000000000005E-2</v>
      </c>
      <c r="L3386" s="1">
        <v>1.7000000000000001E-2</v>
      </c>
      <c r="M3386" s="1">
        <v>0.23799999999999999</v>
      </c>
      <c r="N3386" s="1">
        <v>1.2200000000000001E-2</v>
      </c>
      <c r="O3386" s="1">
        <v>9.11E-2</v>
      </c>
      <c r="P3386" s="1">
        <v>6.1899999999999997E-2</v>
      </c>
      <c r="Q3386" s="1">
        <v>2.4899999999999999E-2</v>
      </c>
      <c r="R3386" s="1">
        <v>0.1066</v>
      </c>
    </row>
    <row r="3387" spans="1:18">
      <c r="A3387" s="25" t="s">
        <v>213</v>
      </c>
      <c r="B3387">
        <v>35</v>
      </c>
      <c r="C3387" t="s">
        <v>189</v>
      </c>
      <c r="D3387">
        <v>152</v>
      </c>
      <c r="E3387" s="1">
        <v>2.35E-2</v>
      </c>
      <c r="F3387" s="1">
        <v>0.27479999999999999</v>
      </c>
      <c r="G3387" s="1">
        <v>7.0400000000000004E-2</v>
      </c>
      <c r="H3387" s="1">
        <v>0.13919999999999999</v>
      </c>
      <c r="I3387" s="1">
        <v>7.2300000000000003E-2</v>
      </c>
      <c r="J3387" s="1">
        <v>0.18859999999999999</v>
      </c>
      <c r="K3387" s="1">
        <v>1.6299999999999999E-2</v>
      </c>
      <c r="L3387" s="1">
        <v>2.35E-2</v>
      </c>
      <c r="M3387" s="1">
        <v>0.1285</v>
      </c>
      <c r="N3387" s="1">
        <v>0.13569999999999999</v>
      </c>
      <c r="O3387" s="1">
        <v>0.20860000000000001</v>
      </c>
      <c r="P3387" s="1">
        <v>8.4900000000000003E-2</v>
      </c>
      <c r="Q3387" s="1">
        <v>1.18E-2</v>
      </c>
    </row>
    <row r="3388" spans="1:18">
      <c r="A3388" s="25" t="s">
        <v>192</v>
      </c>
      <c r="B3388">
        <v>152</v>
      </c>
      <c r="C3388" t="s">
        <v>192</v>
      </c>
      <c r="D3388">
        <v>152</v>
      </c>
      <c r="E3388" s="1">
        <v>1.6799999999999999E-2</v>
      </c>
      <c r="F3388" s="1">
        <v>0.1202</v>
      </c>
      <c r="G3388" s="1">
        <v>3.85E-2</v>
      </c>
      <c r="H3388" s="1">
        <v>6.8599999999999994E-2</v>
      </c>
      <c r="I3388" s="1">
        <v>0.124</v>
      </c>
      <c r="J3388" s="1">
        <v>0.1056</v>
      </c>
      <c r="K3388" s="1">
        <v>9.1700000000000004E-2</v>
      </c>
      <c r="L3388" s="1">
        <v>1.06E-2</v>
      </c>
      <c r="M3388" s="1">
        <v>0.26250000000000001</v>
      </c>
      <c r="N3388" s="1">
        <v>5.0999999999999997E-2</v>
      </c>
      <c r="O3388" s="1">
        <v>0.17469999999999999</v>
      </c>
      <c r="P3388" s="1">
        <v>9.6500000000000002E-2</v>
      </c>
      <c r="Q3388" s="1">
        <v>2.75E-2</v>
      </c>
      <c r="R3388" s="1">
        <v>3.8100000000000002E-2</v>
      </c>
    </row>
    <row r="3390" spans="1:18" ht="57.95">
      <c r="A3390" s="25" t="s">
        <v>1102</v>
      </c>
    </row>
    <row r="3391" spans="1:18">
      <c r="A3391" s="25" t="s">
        <v>182</v>
      </c>
      <c r="B3391" t="s">
        <v>219</v>
      </c>
      <c r="C3391" t="s">
        <v>181</v>
      </c>
      <c r="D3391" t="s">
        <v>188</v>
      </c>
      <c r="E3391" t="s">
        <v>1103</v>
      </c>
      <c r="F3391" t="s">
        <v>1104</v>
      </c>
      <c r="G3391" t="s">
        <v>1105</v>
      </c>
      <c r="H3391" t="s">
        <v>1106</v>
      </c>
      <c r="I3391" t="s">
        <v>243</v>
      </c>
      <c r="J3391" t="s">
        <v>1107</v>
      </c>
    </row>
    <row r="3392" spans="1:18">
      <c r="A3392" s="25" t="s">
        <v>215</v>
      </c>
      <c r="B3392">
        <v>3299</v>
      </c>
      <c r="C3392" t="s">
        <v>189</v>
      </c>
      <c r="D3392">
        <v>10407</v>
      </c>
      <c r="E3392" s="1">
        <v>1.3599999999999999E-2</v>
      </c>
      <c r="F3392" s="1">
        <v>1.0800000000000001E-2</v>
      </c>
      <c r="G3392" s="1">
        <v>2.7300000000000001E-2</v>
      </c>
      <c r="H3392" s="1">
        <v>0.90639999999999998</v>
      </c>
      <c r="I3392" s="1">
        <v>3.0000000000000001E-3</v>
      </c>
      <c r="J3392" s="1">
        <v>3.8800000000000001E-2</v>
      </c>
    </row>
    <row r="3393" spans="1:10">
      <c r="A3393" s="25" t="s">
        <v>216</v>
      </c>
      <c r="B3393">
        <v>2</v>
      </c>
      <c r="C3393" t="s">
        <v>189</v>
      </c>
      <c r="D3393">
        <v>10407</v>
      </c>
      <c r="H3393" s="1">
        <v>1</v>
      </c>
    </row>
    <row r="3394" spans="1:10">
      <c r="A3394" s="25" t="s">
        <v>217</v>
      </c>
      <c r="B3394">
        <v>7106</v>
      </c>
      <c r="C3394" t="s">
        <v>189</v>
      </c>
      <c r="D3394">
        <v>10407</v>
      </c>
      <c r="E3394" s="1">
        <v>2.3800000000000002E-2</v>
      </c>
      <c r="F3394" s="1">
        <v>9.2999999999999992E-3</v>
      </c>
      <c r="G3394" s="1">
        <v>2.2700000000000001E-2</v>
      </c>
      <c r="H3394" s="1">
        <v>0.90980000000000005</v>
      </c>
      <c r="I3394" s="1">
        <v>1.6000000000000001E-3</v>
      </c>
      <c r="J3394" s="1">
        <v>3.2800000000000003E-2</v>
      </c>
    </row>
    <row r="3395" spans="1:10">
      <c r="A3395" s="25" t="s">
        <v>192</v>
      </c>
      <c r="B3395">
        <v>10407</v>
      </c>
      <c r="C3395" t="s">
        <v>192</v>
      </c>
      <c r="D3395">
        <v>10407</v>
      </c>
      <c r="E3395" s="1">
        <v>2.0299999999999999E-2</v>
      </c>
      <c r="F3395" s="1">
        <v>9.7999999999999997E-3</v>
      </c>
      <c r="G3395" s="1">
        <v>2.4299999999999999E-2</v>
      </c>
      <c r="H3395" s="1">
        <v>0.90869999999999995</v>
      </c>
      <c r="I3395" s="1">
        <v>2.0999999999999999E-3</v>
      </c>
      <c r="J3395" s="1">
        <v>3.49E-2</v>
      </c>
    </row>
    <row r="3397" spans="1:10" ht="57.95">
      <c r="A3397" s="25" t="s">
        <v>1108</v>
      </c>
    </row>
    <row r="3398" spans="1:10">
      <c r="A3398" s="25" t="s">
        <v>182</v>
      </c>
      <c r="B3398" t="s">
        <v>219</v>
      </c>
      <c r="C3398" t="s">
        <v>181</v>
      </c>
      <c r="D3398" t="s">
        <v>188</v>
      </c>
      <c r="E3398" t="s">
        <v>1103</v>
      </c>
      <c r="F3398" t="s">
        <v>1104</v>
      </c>
      <c r="G3398" t="s">
        <v>1105</v>
      </c>
      <c r="H3398" t="s">
        <v>1106</v>
      </c>
      <c r="I3398" t="s">
        <v>243</v>
      </c>
      <c r="J3398" t="s">
        <v>1107</v>
      </c>
    </row>
    <row r="3399" spans="1:10">
      <c r="A3399" s="25" t="s">
        <v>223</v>
      </c>
      <c r="B3399">
        <v>881</v>
      </c>
      <c r="C3399" t="s">
        <v>189</v>
      </c>
      <c r="D3399">
        <v>10407</v>
      </c>
      <c r="E3399" s="1">
        <v>9.1000000000000004E-3</v>
      </c>
      <c r="F3399" s="1">
        <v>6.4000000000000003E-3</v>
      </c>
      <c r="G3399" s="1">
        <v>2.4799999999999999E-2</v>
      </c>
      <c r="H3399" s="1">
        <v>0.91459999999999997</v>
      </c>
      <c r="I3399" s="1">
        <v>3.3E-3</v>
      </c>
      <c r="J3399" s="1">
        <v>4.1700000000000001E-2</v>
      </c>
    </row>
    <row r="3400" spans="1:10">
      <c r="A3400" s="25" t="s">
        <v>224</v>
      </c>
      <c r="B3400">
        <v>2871</v>
      </c>
      <c r="C3400" t="s">
        <v>189</v>
      </c>
      <c r="D3400">
        <v>10407</v>
      </c>
      <c r="E3400" s="1">
        <v>3.0099999999999998E-2</v>
      </c>
      <c r="F3400" s="1">
        <v>9.1999999999999998E-3</v>
      </c>
      <c r="G3400" s="1">
        <v>2.7099999999999999E-2</v>
      </c>
      <c r="H3400" s="1">
        <v>0.88959999999999995</v>
      </c>
      <c r="I3400" s="1">
        <v>3.0999999999999999E-3</v>
      </c>
      <c r="J3400" s="1">
        <v>4.0899999999999999E-2</v>
      </c>
    </row>
    <row r="3401" spans="1:10">
      <c r="A3401" s="25" t="s">
        <v>225</v>
      </c>
      <c r="B3401">
        <v>2805</v>
      </c>
      <c r="C3401" t="s">
        <v>189</v>
      </c>
      <c r="D3401">
        <v>10407</v>
      </c>
      <c r="E3401" s="1">
        <v>2.53E-2</v>
      </c>
      <c r="F3401" s="1">
        <v>1.06E-2</v>
      </c>
      <c r="G3401" s="1">
        <v>3.09E-2</v>
      </c>
      <c r="H3401" s="1">
        <v>0.89070000000000005</v>
      </c>
      <c r="I3401" s="1">
        <v>1.5E-3</v>
      </c>
      <c r="J3401" s="1">
        <v>4.0899999999999999E-2</v>
      </c>
    </row>
    <row r="3402" spans="1:10">
      <c r="A3402" s="25" t="s">
        <v>226</v>
      </c>
      <c r="B3402">
        <v>3850</v>
      </c>
      <c r="C3402" t="s">
        <v>189</v>
      </c>
      <c r="D3402">
        <v>10407</v>
      </c>
      <c r="E3402" s="1">
        <v>1.38E-2</v>
      </c>
      <c r="F3402" s="1">
        <v>1.09E-2</v>
      </c>
      <c r="G3402" s="1">
        <v>1.7600000000000001E-2</v>
      </c>
      <c r="H3402" s="1">
        <v>0.93210000000000004</v>
      </c>
      <c r="I3402" s="1">
        <v>1.2999999999999999E-3</v>
      </c>
      <c r="J3402" s="1">
        <v>2.4299999999999999E-2</v>
      </c>
    </row>
    <row r="3403" spans="1:10">
      <c r="A3403" s="25" t="s">
        <v>192</v>
      </c>
      <c r="B3403">
        <v>10407</v>
      </c>
      <c r="C3403" t="s">
        <v>192</v>
      </c>
      <c r="D3403">
        <v>10407</v>
      </c>
      <c r="E3403" s="1">
        <v>2.0299999999999999E-2</v>
      </c>
      <c r="F3403" s="1">
        <v>9.7999999999999997E-3</v>
      </c>
      <c r="G3403" s="1">
        <v>2.4299999999999999E-2</v>
      </c>
      <c r="H3403" s="1">
        <v>0.90869999999999995</v>
      </c>
      <c r="I3403" s="1">
        <v>2.0999999999999999E-3</v>
      </c>
      <c r="J3403" s="1">
        <v>3.49E-2</v>
      </c>
    </row>
    <row r="3405" spans="1:10" ht="57.95">
      <c r="A3405" s="25" t="s">
        <v>1109</v>
      </c>
    </row>
    <row r="3406" spans="1:10">
      <c r="A3406" s="25" t="s">
        <v>182</v>
      </c>
      <c r="B3406" t="s">
        <v>219</v>
      </c>
      <c r="C3406" t="s">
        <v>181</v>
      </c>
      <c r="D3406" t="s">
        <v>188</v>
      </c>
      <c r="E3406" t="s">
        <v>1103</v>
      </c>
      <c r="F3406" t="s">
        <v>1104</v>
      </c>
      <c r="G3406" t="s">
        <v>1105</v>
      </c>
      <c r="H3406" t="s">
        <v>1106</v>
      </c>
      <c r="I3406" t="s">
        <v>243</v>
      </c>
      <c r="J3406" t="s">
        <v>1107</v>
      </c>
    </row>
    <row r="3407" spans="1:10">
      <c r="A3407" s="25" t="s">
        <v>190</v>
      </c>
      <c r="B3407">
        <v>4888</v>
      </c>
      <c r="C3407" t="s">
        <v>189</v>
      </c>
      <c r="D3407">
        <v>10407</v>
      </c>
      <c r="E3407" s="1">
        <v>1.9E-2</v>
      </c>
      <c r="F3407" s="1">
        <v>9.1999999999999998E-3</v>
      </c>
      <c r="G3407" s="1">
        <v>2.5899999999999999E-2</v>
      </c>
      <c r="H3407" s="1">
        <v>0.91290000000000004</v>
      </c>
      <c r="I3407" s="1">
        <v>2.5000000000000001E-3</v>
      </c>
      <c r="J3407" s="1">
        <v>3.0499999999999999E-2</v>
      </c>
    </row>
    <row r="3408" spans="1:10">
      <c r="A3408" s="25" t="s">
        <v>191</v>
      </c>
      <c r="B3408">
        <v>5462</v>
      </c>
      <c r="C3408" t="s">
        <v>189</v>
      </c>
      <c r="D3408">
        <v>10407</v>
      </c>
      <c r="E3408" s="1">
        <v>2.0899999999999998E-2</v>
      </c>
      <c r="F3408" s="1">
        <v>1.01E-2</v>
      </c>
      <c r="G3408" s="1">
        <v>2.3300000000000001E-2</v>
      </c>
      <c r="H3408" s="1">
        <v>0.90649999999999997</v>
      </c>
      <c r="I3408" s="1">
        <v>1.8E-3</v>
      </c>
      <c r="J3408" s="1">
        <v>3.7499999999999999E-2</v>
      </c>
    </row>
    <row r="3409" spans="1:10">
      <c r="A3409" s="25" t="s">
        <v>192</v>
      </c>
      <c r="B3409">
        <v>10407</v>
      </c>
      <c r="C3409" t="s">
        <v>192</v>
      </c>
      <c r="D3409">
        <v>10407</v>
      </c>
      <c r="E3409" s="1">
        <v>2.0299999999999999E-2</v>
      </c>
      <c r="F3409" s="1">
        <v>9.7999999999999997E-3</v>
      </c>
      <c r="G3409" s="1">
        <v>2.4299999999999999E-2</v>
      </c>
      <c r="H3409" s="1">
        <v>0.90869999999999995</v>
      </c>
      <c r="I3409" s="1">
        <v>2.0999999999999999E-3</v>
      </c>
      <c r="J3409" s="1">
        <v>3.49E-2</v>
      </c>
    </row>
    <row r="3411" spans="1:10" ht="57.95">
      <c r="A3411" s="25" t="s">
        <v>1110</v>
      </c>
    </row>
    <row r="3412" spans="1:10">
      <c r="A3412" s="25" t="s">
        <v>182</v>
      </c>
      <c r="B3412" t="s">
        <v>219</v>
      </c>
      <c r="C3412" t="s">
        <v>181</v>
      </c>
      <c r="D3412" t="s">
        <v>188</v>
      </c>
      <c r="E3412" t="s">
        <v>1103</v>
      </c>
      <c r="F3412" t="s">
        <v>1104</v>
      </c>
      <c r="G3412" t="s">
        <v>1105</v>
      </c>
      <c r="H3412" t="s">
        <v>1106</v>
      </c>
      <c r="I3412" t="s">
        <v>243</v>
      </c>
      <c r="J3412" t="s">
        <v>1107</v>
      </c>
    </row>
    <row r="3413" spans="1:10" ht="29.1">
      <c r="A3413" s="25" t="s">
        <v>194</v>
      </c>
      <c r="B3413">
        <v>5947</v>
      </c>
      <c r="C3413" t="s">
        <v>189</v>
      </c>
      <c r="D3413">
        <v>10407</v>
      </c>
      <c r="E3413" s="1">
        <v>1.4500000000000001E-2</v>
      </c>
      <c r="F3413" s="1">
        <v>8.5000000000000006E-3</v>
      </c>
      <c r="G3413" s="1">
        <v>1.8800000000000001E-2</v>
      </c>
      <c r="H3413" s="1">
        <v>0.92749999999999999</v>
      </c>
      <c r="I3413" s="1">
        <v>8.9999999999999998E-4</v>
      </c>
      <c r="J3413" s="1">
        <v>2.98E-2</v>
      </c>
    </row>
    <row r="3414" spans="1:10" ht="29.1">
      <c r="A3414" s="25" t="s">
        <v>195</v>
      </c>
      <c r="B3414">
        <v>2692</v>
      </c>
      <c r="C3414" t="s">
        <v>189</v>
      </c>
      <c r="D3414">
        <v>10407</v>
      </c>
      <c r="E3414" s="1">
        <v>2.3300000000000001E-2</v>
      </c>
      <c r="F3414" s="1">
        <v>0.01</v>
      </c>
      <c r="G3414" s="1">
        <v>4.0599999999999997E-2</v>
      </c>
      <c r="H3414" s="1">
        <v>0.87749999999999995</v>
      </c>
      <c r="I3414" s="1">
        <v>5.5999999999999999E-3</v>
      </c>
      <c r="J3414" s="1">
        <v>4.2999999999999997E-2</v>
      </c>
    </row>
    <row r="3415" spans="1:10" ht="29.1">
      <c r="A3415" s="25" t="s">
        <v>196</v>
      </c>
      <c r="B3415">
        <v>1711</v>
      </c>
      <c r="C3415" t="s">
        <v>189</v>
      </c>
      <c r="D3415">
        <v>10407</v>
      </c>
      <c r="E3415" s="1">
        <v>5.7299999999999997E-2</v>
      </c>
      <c r="F3415" s="1">
        <v>1.83E-2</v>
      </c>
      <c r="G3415" s="1">
        <v>3.2500000000000001E-2</v>
      </c>
      <c r="H3415" s="1">
        <v>0.83130000000000004</v>
      </c>
      <c r="I3415" s="1">
        <v>3.7000000000000002E-3</v>
      </c>
      <c r="J3415" s="1">
        <v>5.6800000000000003E-2</v>
      </c>
    </row>
    <row r="3416" spans="1:10">
      <c r="A3416" s="25" t="s">
        <v>192</v>
      </c>
      <c r="B3416">
        <v>10407</v>
      </c>
      <c r="C3416" t="s">
        <v>192</v>
      </c>
      <c r="D3416">
        <v>10407</v>
      </c>
      <c r="E3416" s="1">
        <v>2.0299999999999999E-2</v>
      </c>
      <c r="F3416" s="1">
        <v>9.7999999999999997E-3</v>
      </c>
      <c r="G3416" s="1">
        <v>2.4299999999999999E-2</v>
      </c>
      <c r="H3416" s="1">
        <v>0.90869999999999995</v>
      </c>
      <c r="I3416" s="1">
        <v>2.0999999999999999E-3</v>
      </c>
      <c r="J3416" s="1">
        <v>3.49E-2</v>
      </c>
    </row>
    <row r="3418" spans="1:10" ht="57.95">
      <c r="A3418" s="25" t="s">
        <v>1111</v>
      </c>
    </row>
    <row r="3419" spans="1:10">
      <c r="A3419" s="25" t="s">
        <v>182</v>
      </c>
      <c r="B3419" t="s">
        <v>219</v>
      </c>
      <c r="C3419" t="s">
        <v>181</v>
      </c>
      <c r="D3419" t="s">
        <v>188</v>
      </c>
      <c r="E3419" t="s">
        <v>1103</v>
      </c>
      <c r="F3419" t="s">
        <v>1104</v>
      </c>
      <c r="G3419" t="s">
        <v>1105</v>
      </c>
      <c r="H3419" t="s">
        <v>1106</v>
      </c>
      <c r="I3419" t="s">
        <v>243</v>
      </c>
      <c r="J3419" t="s">
        <v>1107</v>
      </c>
    </row>
    <row r="3420" spans="1:10">
      <c r="A3420" s="25" t="s">
        <v>198</v>
      </c>
      <c r="B3420">
        <v>2256</v>
      </c>
      <c r="C3420" t="s">
        <v>189</v>
      </c>
      <c r="D3420">
        <v>10407</v>
      </c>
      <c r="E3420" s="1">
        <v>3.27E-2</v>
      </c>
      <c r="F3420" s="1">
        <v>1.5900000000000001E-2</v>
      </c>
      <c r="G3420" s="1">
        <v>1.9800000000000002E-2</v>
      </c>
      <c r="H3420" s="1">
        <v>0.88349999999999995</v>
      </c>
      <c r="I3420" s="1">
        <v>2E-3</v>
      </c>
      <c r="J3420" s="1">
        <v>4.6199999999999998E-2</v>
      </c>
    </row>
    <row r="3421" spans="1:10">
      <c r="A3421" s="25" t="s">
        <v>199</v>
      </c>
      <c r="B3421">
        <v>8151</v>
      </c>
      <c r="C3421" t="s">
        <v>189</v>
      </c>
      <c r="D3421">
        <v>10407</v>
      </c>
      <c r="E3421" s="1">
        <v>1.7500000000000002E-2</v>
      </c>
      <c r="F3421" s="1">
        <v>8.5000000000000006E-3</v>
      </c>
      <c r="G3421" s="1">
        <v>2.53E-2</v>
      </c>
      <c r="H3421" s="1">
        <v>0.9143</v>
      </c>
      <c r="I3421" s="1">
        <v>2.0999999999999999E-3</v>
      </c>
      <c r="J3421" s="1">
        <v>3.2300000000000002E-2</v>
      </c>
    </row>
    <row r="3422" spans="1:10">
      <c r="A3422" s="25" t="s">
        <v>192</v>
      </c>
      <c r="B3422">
        <v>10407</v>
      </c>
      <c r="C3422" t="s">
        <v>192</v>
      </c>
      <c r="D3422">
        <v>10407</v>
      </c>
      <c r="E3422" s="1">
        <v>2.0299999999999999E-2</v>
      </c>
      <c r="F3422" s="1">
        <v>9.7999999999999997E-3</v>
      </c>
      <c r="G3422" s="1">
        <v>2.4299999999999999E-2</v>
      </c>
      <c r="H3422" s="1">
        <v>0.90869999999999995</v>
      </c>
      <c r="I3422" s="1">
        <v>2.0999999999999999E-3</v>
      </c>
      <c r="J3422" s="1">
        <v>3.49E-2</v>
      </c>
    </row>
    <row r="3424" spans="1:10" ht="57.95">
      <c r="A3424" s="25" t="s">
        <v>1112</v>
      </c>
    </row>
    <row r="3425" spans="1:10">
      <c r="A3425" s="25" t="s">
        <v>182</v>
      </c>
      <c r="B3425" t="s">
        <v>219</v>
      </c>
      <c r="C3425" t="s">
        <v>181</v>
      </c>
      <c r="D3425" t="s">
        <v>188</v>
      </c>
      <c r="E3425" t="s">
        <v>1103</v>
      </c>
      <c r="F3425" t="s">
        <v>1104</v>
      </c>
      <c r="G3425" t="s">
        <v>1105</v>
      </c>
      <c r="H3425" t="s">
        <v>1106</v>
      </c>
      <c r="I3425" t="s">
        <v>243</v>
      </c>
      <c r="J3425" t="s">
        <v>1107</v>
      </c>
    </row>
    <row r="3426" spans="1:10">
      <c r="A3426" s="25" t="s">
        <v>201</v>
      </c>
      <c r="B3426">
        <v>765</v>
      </c>
      <c r="C3426" t="s">
        <v>189</v>
      </c>
      <c r="D3426">
        <v>10407</v>
      </c>
      <c r="E3426" s="1">
        <v>3.9E-2</v>
      </c>
      <c r="F3426" s="1">
        <v>9.7999999999999997E-3</v>
      </c>
      <c r="G3426" s="1">
        <v>2.2800000000000001E-2</v>
      </c>
      <c r="H3426" s="1">
        <v>0.85199999999999998</v>
      </c>
      <c r="I3426" s="1">
        <v>2.9999999999999997E-4</v>
      </c>
      <c r="J3426" s="1">
        <v>7.6100000000000001E-2</v>
      </c>
    </row>
    <row r="3427" spans="1:10">
      <c r="A3427" s="25" t="s">
        <v>202</v>
      </c>
      <c r="B3427">
        <v>109</v>
      </c>
      <c r="C3427" t="s">
        <v>189</v>
      </c>
      <c r="D3427">
        <v>10407</v>
      </c>
      <c r="E3427" s="1">
        <v>7.6600000000000001E-2</v>
      </c>
      <c r="F3427" s="1">
        <v>8.9999999999999993E-3</v>
      </c>
      <c r="G3427" s="1">
        <v>6.9099999999999995E-2</v>
      </c>
      <c r="H3427" s="1">
        <v>0.76119999999999999</v>
      </c>
      <c r="I3427" s="1">
        <v>1.8200000000000001E-2</v>
      </c>
      <c r="J3427" s="1">
        <v>6.6000000000000003E-2</v>
      </c>
    </row>
    <row r="3428" spans="1:10">
      <c r="A3428" s="25" t="s">
        <v>203</v>
      </c>
      <c r="B3428">
        <v>8021</v>
      </c>
      <c r="C3428" t="s">
        <v>189</v>
      </c>
      <c r="D3428">
        <v>10407</v>
      </c>
      <c r="E3428" s="1">
        <v>1.6199999999999999E-2</v>
      </c>
      <c r="F3428" s="1">
        <v>9.7000000000000003E-3</v>
      </c>
      <c r="G3428" s="1">
        <v>2.3099999999999999E-2</v>
      </c>
      <c r="H3428" s="1">
        <v>0.91979999999999995</v>
      </c>
      <c r="I3428" s="1">
        <v>2.0999999999999999E-3</v>
      </c>
      <c r="J3428" s="1">
        <v>2.9100000000000001E-2</v>
      </c>
    </row>
    <row r="3429" spans="1:10">
      <c r="A3429" s="25" t="s">
        <v>204</v>
      </c>
      <c r="B3429">
        <v>31</v>
      </c>
      <c r="C3429" t="s">
        <v>189</v>
      </c>
      <c r="D3429">
        <v>10407</v>
      </c>
      <c r="E3429" s="1">
        <v>1.9E-3</v>
      </c>
      <c r="F3429" s="1">
        <v>0.1158</v>
      </c>
      <c r="H3429" s="1">
        <v>0.70689999999999997</v>
      </c>
      <c r="I3429" s="1">
        <v>1.0800000000000001E-2</v>
      </c>
      <c r="J3429" s="1">
        <v>0.16450000000000001</v>
      </c>
    </row>
    <row r="3430" spans="1:10">
      <c r="A3430" s="25" t="s">
        <v>205</v>
      </c>
      <c r="B3430">
        <v>1481</v>
      </c>
      <c r="C3430" t="s">
        <v>189</v>
      </c>
      <c r="D3430">
        <v>10407</v>
      </c>
      <c r="E3430" s="1">
        <v>3.2300000000000002E-2</v>
      </c>
      <c r="F3430" s="1">
        <v>9.2999999999999992E-3</v>
      </c>
      <c r="G3430" s="1">
        <v>2.9899999999999999E-2</v>
      </c>
      <c r="H3430" s="1">
        <v>0.88290000000000002</v>
      </c>
      <c r="I3430" s="1">
        <v>1.9E-3</v>
      </c>
      <c r="J3430" s="1">
        <v>4.3700000000000003E-2</v>
      </c>
    </row>
    <row r="3431" spans="1:10">
      <c r="A3431" s="25" t="s">
        <v>192</v>
      </c>
      <c r="B3431">
        <v>10407</v>
      </c>
      <c r="C3431" t="s">
        <v>192</v>
      </c>
      <c r="D3431">
        <v>10407</v>
      </c>
      <c r="E3431" s="1">
        <v>2.0299999999999999E-2</v>
      </c>
      <c r="F3431" s="1">
        <v>9.7999999999999997E-3</v>
      </c>
      <c r="G3431" s="1">
        <v>2.4299999999999999E-2</v>
      </c>
      <c r="H3431" s="1">
        <v>0.90869999999999995</v>
      </c>
      <c r="I3431" s="1">
        <v>2.0999999999999999E-3</v>
      </c>
      <c r="J3431" s="1">
        <v>3.49E-2</v>
      </c>
    </row>
    <row r="3433" spans="1:10" ht="57.95">
      <c r="A3433" s="25" t="s">
        <v>1113</v>
      </c>
    </row>
    <row r="3434" spans="1:10">
      <c r="A3434" s="25" t="s">
        <v>182</v>
      </c>
      <c r="B3434" t="s">
        <v>219</v>
      </c>
      <c r="C3434" t="s">
        <v>181</v>
      </c>
      <c r="D3434" t="s">
        <v>188</v>
      </c>
      <c r="E3434" t="s">
        <v>1103</v>
      </c>
      <c r="F3434" t="s">
        <v>1104</v>
      </c>
      <c r="G3434" t="s">
        <v>1105</v>
      </c>
      <c r="H3434" t="s">
        <v>1106</v>
      </c>
      <c r="I3434" t="s">
        <v>243</v>
      </c>
      <c r="J3434" t="s">
        <v>1107</v>
      </c>
    </row>
    <row r="3435" spans="1:10">
      <c r="A3435" s="25" t="s">
        <v>207</v>
      </c>
      <c r="B3435">
        <v>7235</v>
      </c>
      <c r="C3435" t="s">
        <v>189</v>
      </c>
      <c r="D3435">
        <v>10407</v>
      </c>
      <c r="E3435" s="1">
        <v>2.2100000000000002E-2</v>
      </c>
      <c r="F3435" s="1">
        <v>1.04E-2</v>
      </c>
      <c r="G3435" s="1">
        <v>2.5100000000000001E-2</v>
      </c>
      <c r="H3435" s="1">
        <v>0.90110000000000001</v>
      </c>
      <c r="I3435" s="1">
        <v>1.4E-3</v>
      </c>
      <c r="J3435" s="1">
        <v>3.9800000000000002E-2</v>
      </c>
    </row>
    <row r="3436" spans="1:10">
      <c r="A3436" s="25" t="s">
        <v>208</v>
      </c>
      <c r="B3436">
        <v>2239</v>
      </c>
      <c r="C3436" t="s">
        <v>189</v>
      </c>
      <c r="D3436">
        <v>10407</v>
      </c>
      <c r="E3436" s="1">
        <v>1.12E-2</v>
      </c>
      <c r="F3436" s="1">
        <v>8.5000000000000006E-3</v>
      </c>
      <c r="G3436" s="1">
        <v>1.8200000000000001E-2</v>
      </c>
      <c r="H3436" s="1">
        <v>0.94040000000000001</v>
      </c>
      <c r="I3436" s="1">
        <v>4.4999999999999997E-3</v>
      </c>
      <c r="J3436" s="1">
        <v>1.7100000000000001E-2</v>
      </c>
    </row>
    <row r="3437" spans="1:10">
      <c r="A3437" s="25" t="s">
        <v>209</v>
      </c>
      <c r="B3437">
        <v>933</v>
      </c>
      <c r="C3437" t="s">
        <v>189</v>
      </c>
      <c r="D3437">
        <v>10407</v>
      </c>
      <c r="E3437" s="1">
        <v>3.0499999999999999E-2</v>
      </c>
      <c r="F3437" s="1">
        <v>8.3999999999999995E-3</v>
      </c>
      <c r="G3437" s="1">
        <v>3.39E-2</v>
      </c>
      <c r="H3437" s="1">
        <v>0.88470000000000004</v>
      </c>
      <c r="I3437" s="1">
        <v>6.9999999999999999E-4</v>
      </c>
      <c r="J3437" s="1">
        <v>4.19E-2</v>
      </c>
    </row>
    <row r="3438" spans="1:10">
      <c r="A3438" s="25" t="s">
        <v>192</v>
      </c>
      <c r="B3438">
        <v>10407</v>
      </c>
      <c r="C3438" t="s">
        <v>192</v>
      </c>
      <c r="D3438">
        <v>10407</v>
      </c>
      <c r="E3438" s="1">
        <v>2.0299999999999999E-2</v>
      </c>
      <c r="F3438" s="1">
        <v>9.7999999999999997E-3</v>
      </c>
      <c r="G3438" s="1">
        <v>2.4299999999999999E-2</v>
      </c>
      <c r="H3438" s="1">
        <v>0.90869999999999995</v>
      </c>
      <c r="I3438" s="1">
        <v>2.0999999999999999E-3</v>
      </c>
      <c r="J3438" s="1">
        <v>3.49E-2</v>
      </c>
    </row>
    <row r="3440" spans="1:10" ht="57.95">
      <c r="A3440" s="25" t="s">
        <v>1114</v>
      </c>
    </row>
    <row r="3441" spans="1:10">
      <c r="A3441" s="25" t="s">
        <v>182</v>
      </c>
      <c r="B3441" t="s">
        <v>219</v>
      </c>
      <c r="C3441" t="s">
        <v>181</v>
      </c>
      <c r="D3441" t="s">
        <v>188</v>
      </c>
      <c r="E3441" t="s">
        <v>1103</v>
      </c>
      <c r="F3441" t="s">
        <v>1104</v>
      </c>
      <c r="G3441" t="s">
        <v>1105</v>
      </c>
      <c r="H3441" t="s">
        <v>1106</v>
      </c>
      <c r="I3441" t="s">
        <v>243</v>
      </c>
      <c r="J3441" t="s">
        <v>1107</v>
      </c>
    </row>
    <row r="3442" spans="1:10">
      <c r="A3442" s="25" t="s">
        <v>211</v>
      </c>
      <c r="B3442">
        <v>4964</v>
      </c>
      <c r="C3442" t="s">
        <v>189</v>
      </c>
      <c r="D3442">
        <v>10407</v>
      </c>
      <c r="E3442" s="1">
        <v>2.4299999999999999E-2</v>
      </c>
      <c r="F3442" s="1">
        <v>1.09E-2</v>
      </c>
      <c r="G3442" s="1">
        <v>2.7099999999999999E-2</v>
      </c>
      <c r="H3442" s="1">
        <v>0.90029999999999999</v>
      </c>
      <c r="I3442" s="1">
        <v>1.4E-3</v>
      </c>
      <c r="J3442" s="1">
        <v>3.5999999999999997E-2</v>
      </c>
    </row>
    <row r="3443" spans="1:10">
      <c r="A3443" s="25" t="s">
        <v>212</v>
      </c>
      <c r="B3443">
        <v>3365</v>
      </c>
      <c r="C3443" t="s">
        <v>189</v>
      </c>
      <c r="D3443">
        <v>10407</v>
      </c>
      <c r="E3443" s="1">
        <v>1.9300000000000001E-2</v>
      </c>
      <c r="F3443" s="1">
        <v>9.9000000000000008E-3</v>
      </c>
      <c r="G3443" s="1">
        <v>1.7899999999999999E-2</v>
      </c>
      <c r="H3443" s="1">
        <v>0.92190000000000005</v>
      </c>
      <c r="I3443" s="1">
        <v>2.5000000000000001E-3</v>
      </c>
      <c r="J3443" s="1">
        <v>2.8500000000000001E-2</v>
      </c>
    </row>
    <row r="3444" spans="1:10">
      <c r="A3444" s="25" t="s">
        <v>213</v>
      </c>
      <c r="B3444">
        <v>2078</v>
      </c>
      <c r="C3444" t="s">
        <v>189</v>
      </c>
      <c r="D3444">
        <v>10407</v>
      </c>
      <c r="E3444" s="1">
        <v>1.32E-2</v>
      </c>
      <c r="F3444" s="1">
        <v>7.4000000000000003E-3</v>
      </c>
      <c r="G3444" s="1">
        <v>2.7099999999999999E-2</v>
      </c>
      <c r="H3444" s="1">
        <v>0.90810000000000002</v>
      </c>
      <c r="I3444" s="1">
        <v>2.8E-3</v>
      </c>
      <c r="J3444" s="1">
        <v>4.1500000000000002E-2</v>
      </c>
    </row>
    <row r="3445" spans="1:10">
      <c r="A3445" s="25" t="s">
        <v>192</v>
      </c>
      <c r="B3445">
        <v>10407</v>
      </c>
      <c r="C3445" t="s">
        <v>192</v>
      </c>
      <c r="D3445">
        <v>10407</v>
      </c>
      <c r="E3445" s="1">
        <v>2.0299999999999999E-2</v>
      </c>
      <c r="F3445" s="1">
        <v>9.7999999999999997E-3</v>
      </c>
      <c r="G3445" s="1">
        <v>2.4299999999999999E-2</v>
      </c>
      <c r="H3445" s="1">
        <v>0.90869999999999995</v>
      </c>
      <c r="I3445" s="1">
        <v>2.0999999999999999E-3</v>
      </c>
      <c r="J3445" s="1">
        <v>3.49E-2</v>
      </c>
    </row>
    <row r="3447" spans="1:10" ht="43.5">
      <c r="A3447" s="25" t="s">
        <v>1115</v>
      </c>
    </row>
    <row r="3448" spans="1:10">
      <c r="A3448" s="25" t="s">
        <v>182</v>
      </c>
      <c r="B3448" t="s">
        <v>219</v>
      </c>
      <c r="C3448" t="s">
        <v>181</v>
      </c>
      <c r="D3448" t="s">
        <v>188</v>
      </c>
      <c r="E3448" t="s">
        <v>1103</v>
      </c>
      <c r="F3448" t="s">
        <v>1104</v>
      </c>
      <c r="G3448" t="s">
        <v>1105</v>
      </c>
      <c r="H3448" t="s">
        <v>1106</v>
      </c>
      <c r="I3448" t="s">
        <v>243</v>
      </c>
      <c r="J3448" t="s">
        <v>1107</v>
      </c>
    </row>
    <row r="3449" spans="1:10">
      <c r="A3449" s="25" t="s">
        <v>215</v>
      </c>
      <c r="B3449">
        <v>3300</v>
      </c>
      <c r="C3449" t="s">
        <v>189</v>
      </c>
      <c r="D3449">
        <v>10411</v>
      </c>
      <c r="E3449" s="1">
        <v>5.2600000000000001E-2</v>
      </c>
      <c r="F3449" s="1">
        <v>1.18E-2</v>
      </c>
      <c r="G3449" s="1">
        <v>6.0499999999999998E-2</v>
      </c>
      <c r="H3449" s="1">
        <v>0.74619999999999997</v>
      </c>
      <c r="I3449" s="1">
        <v>3.5000000000000001E-3</v>
      </c>
      <c r="J3449" s="1">
        <v>0.12540000000000001</v>
      </c>
    </row>
    <row r="3450" spans="1:10">
      <c r="A3450" s="25" t="s">
        <v>216</v>
      </c>
      <c r="B3450">
        <v>2</v>
      </c>
      <c r="C3450" t="s">
        <v>189</v>
      </c>
      <c r="D3450">
        <v>10411</v>
      </c>
      <c r="F3450" s="1">
        <v>0.34029999999999999</v>
      </c>
      <c r="H3450" s="1">
        <v>0.65969999999999995</v>
      </c>
    </row>
    <row r="3451" spans="1:10">
      <c r="A3451" s="25" t="s">
        <v>217</v>
      </c>
      <c r="B3451">
        <v>7109</v>
      </c>
      <c r="C3451" t="s">
        <v>189</v>
      </c>
      <c r="D3451">
        <v>10411</v>
      </c>
      <c r="E3451" s="1">
        <v>8.2299999999999998E-2</v>
      </c>
      <c r="F3451" s="1">
        <v>1.29E-2</v>
      </c>
      <c r="G3451" s="1">
        <v>5.5800000000000002E-2</v>
      </c>
      <c r="H3451" s="1">
        <v>0.71289999999999998</v>
      </c>
      <c r="I3451" s="1">
        <v>2.8E-3</v>
      </c>
      <c r="J3451" s="1">
        <v>0.1333</v>
      </c>
    </row>
    <row r="3452" spans="1:10">
      <c r="A3452" s="25" t="s">
        <v>192</v>
      </c>
      <c r="B3452">
        <v>10411</v>
      </c>
      <c r="C3452" t="s">
        <v>192</v>
      </c>
      <c r="D3452">
        <v>10411</v>
      </c>
      <c r="E3452" s="1">
        <v>7.2099999999999997E-2</v>
      </c>
      <c r="F3452" s="1">
        <v>1.26E-2</v>
      </c>
      <c r="G3452" s="1">
        <v>5.74E-2</v>
      </c>
      <c r="H3452" s="1">
        <v>0.72430000000000005</v>
      </c>
      <c r="I3452" s="1">
        <v>3.0000000000000001E-3</v>
      </c>
      <c r="J3452" s="1">
        <v>0.13059999999999999</v>
      </c>
    </row>
    <row r="3454" spans="1:10" ht="43.5">
      <c r="A3454" s="25" t="s">
        <v>1116</v>
      </c>
    </row>
    <row r="3455" spans="1:10">
      <c r="A3455" s="25" t="s">
        <v>182</v>
      </c>
      <c r="B3455" t="s">
        <v>219</v>
      </c>
      <c r="C3455" t="s">
        <v>181</v>
      </c>
      <c r="D3455" t="s">
        <v>188</v>
      </c>
      <c r="E3455" t="s">
        <v>1103</v>
      </c>
      <c r="F3455" t="s">
        <v>1104</v>
      </c>
      <c r="G3455" t="s">
        <v>1105</v>
      </c>
      <c r="H3455" t="s">
        <v>1106</v>
      </c>
      <c r="I3455" t="s">
        <v>243</v>
      </c>
      <c r="J3455" t="s">
        <v>1107</v>
      </c>
    </row>
    <row r="3456" spans="1:10">
      <c r="A3456" s="25" t="s">
        <v>223</v>
      </c>
      <c r="B3456">
        <v>880</v>
      </c>
      <c r="C3456" t="s">
        <v>189</v>
      </c>
      <c r="D3456">
        <v>10411</v>
      </c>
      <c r="E3456" s="1">
        <v>6.5600000000000006E-2</v>
      </c>
      <c r="F3456" s="1">
        <v>1.1599999999999999E-2</v>
      </c>
      <c r="G3456" s="1">
        <v>8.9300000000000004E-2</v>
      </c>
      <c r="H3456" s="1">
        <v>0.67269999999999996</v>
      </c>
      <c r="I3456" s="1">
        <v>8.9999999999999998E-4</v>
      </c>
      <c r="J3456" s="1">
        <v>0.1598</v>
      </c>
    </row>
    <row r="3457" spans="1:10">
      <c r="A3457" s="25" t="s">
        <v>224</v>
      </c>
      <c r="B3457">
        <v>2871</v>
      </c>
      <c r="C3457" t="s">
        <v>189</v>
      </c>
      <c r="D3457">
        <v>10411</v>
      </c>
      <c r="E3457" s="1">
        <v>9.5200000000000007E-2</v>
      </c>
      <c r="F3457" s="1">
        <v>1.55E-2</v>
      </c>
      <c r="G3457" s="1">
        <v>6.6699999999999995E-2</v>
      </c>
      <c r="H3457" s="1">
        <v>0.64539999999999997</v>
      </c>
      <c r="I3457" s="1">
        <v>4.1999999999999997E-3</v>
      </c>
      <c r="J3457" s="1">
        <v>0.17299999999999999</v>
      </c>
    </row>
    <row r="3458" spans="1:10">
      <c r="A3458" s="25" t="s">
        <v>225</v>
      </c>
      <c r="B3458">
        <v>2808</v>
      </c>
      <c r="C3458" t="s">
        <v>189</v>
      </c>
      <c r="D3458">
        <v>10411</v>
      </c>
      <c r="E3458" s="1">
        <v>8.48E-2</v>
      </c>
      <c r="F3458" s="1">
        <v>1.35E-2</v>
      </c>
      <c r="G3458" s="1">
        <v>5.3100000000000001E-2</v>
      </c>
      <c r="H3458" s="1">
        <v>0.71120000000000005</v>
      </c>
      <c r="I3458" s="1">
        <v>2.7000000000000001E-3</v>
      </c>
      <c r="J3458" s="1">
        <v>0.13469999999999999</v>
      </c>
    </row>
    <row r="3459" spans="1:10">
      <c r="A3459" s="25" t="s">
        <v>226</v>
      </c>
      <c r="B3459">
        <v>3852</v>
      </c>
      <c r="C3459" t="s">
        <v>189</v>
      </c>
      <c r="D3459">
        <v>10411</v>
      </c>
      <c r="E3459" s="1">
        <v>4.9599999999999998E-2</v>
      </c>
      <c r="F3459" s="1">
        <v>1.0200000000000001E-2</v>
      </c>
      <c r="G3459" s="1">
        <v>4.3099999999999999E-2</v>
      </c>
      <c r="H3459" s="1">
        <v>0.80589999999999995</v>
      </c>
      <c r="I3459" s="1">
        <v>3.0999999999999999E-3</v>
      </c>
      <c r="J3459" s="1">
        <v>8.8200000000000001E-2</v>
      </c>
    </row>
    <row r="3460" spans="1:10">
      <c r="A3460" s="25" t="s">
        <v>192</v>
      </c>
      <c r="B3460">
        <v>10411</v>
      </c>
      <c r="C3460" t="s">
        <v>192</v>
      </c>
      <c r="D3460">
        <v>10411</v>
      </c>
      <c r="E3460" s="1">
        <v>7.2099999999999997E-2</v>
      </c>
      <c r="F3460" s="1">
        <v>1.26E-2</v>
      </c>
      <c r="G3460" s="1">
        <v>5.74E-2</v>
      </c>
      <c r="H3460" s="1">
        <v>0.72430000000000005</v>
      </c>
      <c r="I3460" s="1">
        <v>3.0000000000000001E-3</v>
      </c>
      <c r="J3460" s="1">
        <v>0.13059999999999999</v>
      </c>
    </row>
    <row r="3462" spans="1:10" ht="43.5">
      <c r="A3462" s="25" t="s">
        <v>1117</v>
      </c>
    </row>
    <row r="3463" spans="1:10">
      <c r="A3463" s="25" t="s">
        <v>182</v>
      </c>
      <c r="B3463" t="s">
        <v>219</v>
      </c>
      <c r="C3463" t="s">
        <v>181</v>
      </c>
      <c r="D3463" t="s">
        <v>188</v>
      </c>
      <c r="E3463" t="s">
        <v>1103</v>
      </c>
      <c r="F3463" t="s">
        <v>1104</v>
      </c>
      <c r="G3463" t="s">
        <v>1105</v>
      </c>
      <c r="H3463" t="s">
        <v>1106</v>
      </c>
      <c r="I3463" t="s">
        <v>243</v>
      </c>
      <c r="J3463" t="s">
        <v>1107</v>
      </c>
    </row>
    <row r="3464" spans="1:10">
      <c r="A3464" s="25" t="s">
        <v>190</v>
      </c>
      <c r="B3464">
        <v>4896</v>
      </c>
      <c r="C3464" t="s">
        <v>189</v>
      </c>
      <c r="D3464">
        <v>10411</v>
      </c>
      <c r="E3464" s="1">
        <v>4.7199999999999999E-2</v>
      </c>
      <c r="F3464" s="1">
        <v>1.0200000000000001E-2</v>
      </c>
      <c r="G3464" s="1">
        <v>4.5600000000000002E-2</v>
      </c>
      <c r="H3464" s="1">
        <v>0.79549999999999998</v>
      </c>
      <c r="I3464" s="1">
        <v>3.5999999999999999E-3</v>
      </c>
      <c r="J3464" s="1">
        <v>9.7900000000000001E-2</v>
      </c>
    </row>
    <row r="3465" spans="1:10">
      <c r="A3465" s="25" t="s">
        <v>191</v>
      </c>
      <c r="B3465">
        <v>5458</v>
      </c>
      <c r="C3465" t="s">
        <v>189</v>
      </c>
      <c r="D3465">
        <v>10411</v>
      </c>
      <c r="E3465" s="1">
        <v>8.7300000000000003E-2</v>
      </c>
      <c r="F3465" s="1">
        <v>1.37E-2</v>
      </c>
      <c r="G3465" s="1">
        <v>6.4699999999999994E-2</v>
      </c>
      <c r="H3465" s="1">
        <v>0.68069999999999997</v>
      </c>
      <c r="I3465" s="1">
        <v>2.7000000000000001E-3</v>
      </c>
      <c r="J3465" s="1">
        <v>0.15090000000000001</v>
      </c>
    </row>
    <row r="3466" spans="1:10">
      <c r="A3466" s="25" t="s">
        <v>192</v>
      </c>
      <c r="B3466">
        <v>10411</v>
      </c>
      <c r="C3466" t="s">
        <v>192</v>
      </c>
      <c r="D3466">
        <v>10411</v>
      </c>
      <c r="E3466" s="1">
        <v>7.2099999999999997E-2</v>
      </c>
      <c r="F3466" s="1">
        <v>1.26E-2</v>
      </c>
      <c r="G3466" s="1">
        <v>5.74E-2</v>
      </c>
      <c r="H3466" s="1">
        <v>0.72430000000000005</v>
      </c>
      <c r="I3466" s="1">
        <v>3.0000000000000001E-3</v>
      </c>
      <c r="J3466" s="1">
        <v>0.13059999999999999</v>
      </c>
    </row>
    <row r="3468" spans="1:10" ht="57.95">
      <c r="A3468" s="25" t="s">
        <v>1118</v>
      </c>
    </row>
    <row r="3469" spans="1:10">
      <c r="A3469" s="25" t="s">
        <v>182</v>
      </c>
      <c r="B3469" t="s">
        <v>219</v>
      </c>
      <c r="C3469" t="s">
        <v>181</v>
      </c>
      <c r="D3469" t="s">
        <v>188</v>
      </c>
      <c r="E3469" t="s">
        <v>1103</v>
      </c>
      <c r="F3469" t="s">
        <v>1104</v>
      </c>
      <c r="G3469" t="s">
        <v>1105</v>
      </c>
      <c r="H3469" t="s">
        <v>1106</v>
      </c>
      <c r="I3469" t="s">
        <v>243</v>
      </c>
      <c r="J3469" t="s">
        <v>1107</v>
      </c>
    </row>
    <row r="3470" spans="1:10" ht="29.1">
      <c r="A3470" s="25" t="s">
        <v>194</v>
      </c>
      <c r="B3470">
        <v>5941</v>
      </c>
      <c r="C3470" t="s">
        <v>189</v>
      </c>
      <c r="D3470">
        <v>10411</v>
      </c>
      <c r="E3470" s="1">
        <v>3.6400000000000002E-2</v>
      </c>
      <c r="F3470" s="1">
        <v>1.1299999999999999E-2</v>
      </c>
      <c r="G3470" s="1">
        <v>4.7300000000000002E-2</v>
      </c>
      <c r="H3470" s="1">
        <v>0.80559999999999998</v>
      </c>
      <c r="I3470" s="1">
        <v>2.3E-3</v>
      </c>
      <c r="J3470" s="1">
        <v>9.7199999999999995E-2</v>
      </c>
    </row>
    <row r="3471" spans="1:10" ht="29.1">
      <c r="A3471" s="25" t="s">
        <v>195</v>
      </c>
      <c r="B3471">
        <v>2697</v>
      </c>
      <c r="C3471" t="s">
        <v>189</v>
      </c>
      <c r="D3471">
        <v>10411</v>
      </c>
      <c r="E3471" s="1">
        <v>9.5200000000000007E-2</v>
      </c>
      <c r="F3471" s="1">
        <v>1.34E-2</v>
      </c>
      <c r="G3471" s="1">
        <v>8.6900000000000005E-2</v>
      </c>
      <c r="H3471" s="1">
        <v>0.62909999999999999</v>
      </c>
      <c r="I3471" s="1">
        <v>3.8E-3</v>
      </c>
      <c r="J3471" s="1">
        <v>0.17169999999999999</v>
      </c>
    </row>
    <row r="3472" spans="1:10" ht="29.1">
      <c r="A3472" s="25" t="s">
        <v>196</v>
      </c>
      <c r="B3472">
        <v>1716</v>
      </c>
      <c r="C3472" t="s">
        <v>189</v>
      </c>
      <c r="D3472">
        <v>10411</v>
      </c>
      <c r="E3472" s="1">
        <v>0.2949</v>
      </c>
      <c r="F3472" s="1">
        <v>1.8599999999999998E-2</v>
      </c>
      <c r="G3472" s="1">
        <v>7.3999999999999996E-2</v>
      </c>
      <c r="H3472" s="1">
        <v>0.30409999999999998</v>
      </c>
      <c r="I3472" s="1">
        <v>7.1000000000000004E-3</v>
      </c>
      <c r="J3472" s="1">
        <v>0.3014</v>
      </c>
    </row>
    <row r="3473" spans="1:10">
      <c r="A3473" s="25" t="s">
        <v>192</v>
      </c>
      <c r="B3473">
        <v>10411</v>
      </c>
      <c r="C3473" t="s">
        <v>192</v>
      </c>
      <c r="D3473">
        <v>10411</v>
      </c>
      <c r="E3473" s="1">
        <v>7.2099999999999997E-2</v>
      </c>
      <c r="F3473" s="1">
        <v>1.26E-2</v>
      </c>
      <c r="G3473" s="1">
        <v>5.74E-2</v>
      </c>
      <c r="H3473" s="1">
        <v>0.72430000000000005</v>
      </c>
      <c r="I3473" s="1">
        <v>3.0000000000000001E-3</v>
      </c>
      <c r="J3473" s="1">
        <v>0.13059999999999999</v>
      </c>
    </row>
    <row r="3475" spans="1:10" ht="43.5">
      <c r="A3475" s="25" t="s">
        <v>1119</v>
      </c>
    </row>
    <row r="3476" spans="1:10">
      <c r="A3476" s="25" t="s">
        <v>182</v>
      </c>
      <c r="B3476" t="s">
        <v>219</v>
      </c>
      <c r="C3476" t="s">
        <v>181</v>
      </c>
      <c r="D3476" t="s">
        <v>188</v>
      </c>
      <c r="E3476" t="s">
        <v>1103</v>
      </c>
      <c r="F3476" t="s">
        <v>1104</v>
      </c>
      <c r="G3476" t="s">
        <v>1105</v>
      </c>
      <c r="H3476" t="s">
        <v>1106</v>
      </c>
      <c r="I3476" t="s">
        <v>243</v>
      </c>
      <c r="J3476" t="s">
        <v>1107</v>
      </c>
    </row>
    <row r="3477" spans="1:10">
      <c r="A3477" s="25" t="s">
        <v>198</v>
      </c>
      <c r="B3477">
        <v>2258</v>
      </c>
      <c r="C3477" t="s">
        <v>189</v>
      </c>
      <c r="D3477">
        <v>10411</v>
      </c>
      <c r="E3477" s="1">
        <v>8.3000000000000004E-2</v>
      </c>
      <c r="F3477" s="1">
        <v>1.9099999999999999E-2</v>
      </c>
      <c r="G3477" s="1">
        <v>5.7299999999999997E-2</v>
      </c>
      <c r="H3477" s="1">
        <v>0.70909999999999995</v>
      </c>
      <c r="I3477" s="1">
        <v>4.8999999999999998E-3</v>
      </c>
      <c r="J3477" s="1">
        <v>0.12670000000000001</v>
      </c>
    </row>
    <row r="3478" spans="1:10">
      <c r="A3478" s="25" t="s">
        <v>199</v>
      </c>
      <c r="B3478">
        <v>8153</v>
      </c>
      <c r="C3478" t="s">
        <v>189</v>
      </c>
      <c r="D3478">
        <v>10411</v>
      </c>
      <c r="E3478" s="1">
        <v>6.9699999999999998E-2</v>
      </c>
      <c r="F3478" s="1">
        <v>1.11E-2</v>
      </c>
      <c r="G3478" s="1">
        <v>5.7500000000000002E-2</v>
      </c>
      <c r="H3478" s="1">
        <v>0.72760000000000002</v>
      </c>
      <c r="I3478" s="1">
        <v>2.5999999999999999E-3</v>
      </c>
      <c r="J3478" s="1">
        <v>0.13150000000000001</v>
      </c>
    </row>
    <row r="3479" spans="1:10">
      <c r="A3479" s="25" t="s">
        <v>192</v>
      </c>
      <c r="B3479">
        <v>10411</v>
      </c>
      <c r="C3479" t="s">
        <v>192</v>
      </c>
      <c r="D3479">
        <v>10411</v>
      </c>
      <c r="E3479" s="1">
        <v>7.2099999999999997E-2</v>
      </c>
      <c r="F3479" s="1">
        <v>1.26E-2</v>
      </c>
      <c r="G3479" s="1">
        <v>5.74E-2</v>
      </c>
      <c r="H3479" s="1">
        <v>0.72430000000000005</v>
      </c>
      <c r="I3479" s="1">
        <v>3.0000000000000001E-3</v>
      </c>
      <c r="J3479" s="1">
        <v>0.13059999999999999</v>
      </c>
    </row>
    <row r="3481" spans="1:10" ht="43.5">
      <c r="A3481" s="25" t="s">
        <v>1120</v>
      </c>
    </row>
    <row r="3482" spans="1:10">
      <c r="A3482" s="25" t="s">
        <v>182</v>
      </c>
      <c r="B3482" t="s">
        <v>219</v>
      </c>
      <c r="C3482" t="s">
        <v>181</v>
      </c>
      <c r="D3482" t="s">
        <v>188</v>
      </c>
      <c r="E3482" t="s">
        <v>1103</v>
      </c>
      <c r="F3482" t="s">
        <v>1104</v>
      </c>
      <c r="G3482" t="s">
        <v>1105</v>
      </c>
      <c r="H3482" t="s">
        <v>1106</v>
      </c>
      <c r="I3482" t="s">
        <v>243</v>
      </c>
      <c r="J3482" t="s">
        <v>1107</v>
      </c>
    </row>
    <row r="3483" spans="1:10">
      <c r="A3483" s="25" t="s">
        <v>201</v>
      </c>
      <c r="B3483">
        <v>764</v>
      </c>
      <c r="C3483" t="s">
        <v>189</v>
      </c>
      <c r="D3483">
        <v>10411</v>
      </c>
      <c r="E3483" s="1">
        <v>0.17549999999999999</v>
      </c>
      <c r="F3483" s="1">
        <v>3.3700000000000001E-2</v>
      </c>
      <c r="G3483" s="1">
        <v>0.1133</v>
      </c>
      <c r="H3483" s="1">
        <v>0.4531</v>
      </c>
      <c r="I3483" s="1">
        <v>8.5000000000000006E-3</v>
      </c>
      <c r="J3483" s="1">
        <v>0.216</v>
      </c>
    </row>
    <row r="3484" spans="1:10">
      <c r="A3484" s="25" t="s">
        <v>202</v>
      </c>
      <c r="B3484">
        <v>109</v>
      </c>
      <c r="C3484" t="s">
        <v>189</v>
      </c>
      <c r="D3484">
        <v>10411</v>
      </c>
      <c r="E3484" s="1">
        <v>0.27089999999999997</v>
      </c>
      <c r="F3484" s="1">
        <v>2.24E-2</v>
      </c>
      <c r="G3484" s="1">
        <v>5.21E-2</v>
      </c>
      <c r="H3484" s="1">
        <v>0.42870000000000003</v>
      </c>
      <c r="I3484" s="1">
        <v>2.5999999999999999E-3</v>
      </c>
      <c r="J3484" s="1">
        <v>0.2233</v>
      </c>
    </row>
    <row r="3485" spans="1:10">
      <c r="A3485" s="25" t="s">
        <v>203</v>
      </c>
      <c r="B3485">
        <v>8026</v>
      </c>
      <c r="C3485" t="s">
        <v>189</v>
      </c>
      <c r="D3485">
        <v>10411</v>
      </c>
      <c r="E3485" s="1">
        <v>4.4499999999999998E-2</v>
      </c>
      <c r="F3485" s="1">
        <v>9.5999999999999992E-3</v>
      </c>
      <c r="G3485" s="1">
        <v>4.6399999999999997E-2</v>
      </c>
      <c r="H3485" s="1">
        <v>0.78200000000000003</v>
      </c>
      <c r="I3485" s="1">
        <v>2.7000000000000001E-3</v>
      </c>
      <c r="J3485" s="1">
        <v>0.1149</v>
      </c>
    </row>
    <row r="3486" spans="1:10">
      <c r="A3486" s="25" t="s">
        <v>204</v>
      </c>
      <c r="B3486">
        <v>31</v>
      </c>
      <c r="C3486" t="s">
        <v>189</v>
      </c>
      <c r="D3486">
        <v>10411</v>
      </c>
      <c r="E3486" s="1">
        <v>1.0800000000000001E-2</v>
      </c>
      <c r="F3486" s="1">
        <v>8.8300000000000003E-2</v>
      </c>
      <c r="G3486" s="1">
        <v>2.1700000000000001E-2</v>
      </c>
      <c r="H3486" s="1">
        <v>0.79179999999999995</v>
      </c>
      <c r="J3486" s="1">
        <v>8.7400000000000005E-2</v>
      </c>
    </row>
    <row r="3487" spans="1:10">
      <c r="A3487" s="25" t="s">
        <v>205</v>
      </c>
      <c r="B3487">
        <v>1481</v>
      </c>
      <c r="C3487" t="s">
        <v>189</v>
      </c>
      <c r="D3487">
        <v>10411</v>
      </c>
      <c r="E3487" s="1">
        <v>0.17050000000000001</v>
      </c>
      <c r="F3487" s="1">
        <v>1.7600000000000001E-2</v>
      </c>
      <c r="G3487" s="1">
        <v>9.3100000000000002E-2</v>
      </c>
      <c r="H3487" s="1">
        <v>0.54279999999999995</v>
      </c>
      <c r="I3487" s="1">
        <v>2.2000000000000001E-3</v>
      </c>
      <c r="J3487" s="1">
        <v>0.17380000000000001</v>
      </c>
    </row>
    <row r="3488" spans="1:10">
      <c r="A3488" s="25" t="s">
        <v>192</v>
      </c>
      <c r="B3488">
        <v>10411</v>
      </c>
      <c r="C3488" t="s">
        <v>192</v>
      </c>
      <c r="D3488">
        <v>10411</v>
      </c>
      <c r="E3488" s="1">
        <v>7.2099999999999997E-2</v>
      </c>
      <c r="F3488" s="1">
        <v>1.26E-2</v>
      </c>
      <c r="G3488" s="1">
        <v>5.74E-2</v>
      </c>
      <c r="H3488" s="1">
        <v>0.72430000000000005</v>
      </c>
      <c r="I3488" s="1">
        <v>3.0000000000000001E-3</v>
      </c>
      <c r="J3488" s="1">
        <v>0.13059999999999999</v>
      </c>
    </row>
    <row r="3490" spans="1:10" ht="43.5">
      <c r="A3490" s="25" t="s">
        <v>1121</v>
      </c>
    </row>
    <row r="3491" spans="1:10">
      <c r="A3491" s="25" t="s">
        <v>182</v>
      </c>
      <c r="B3491" t="s">
        <v>219</v>
      </c>
      <c r="C3491" t="s">
        <v>181</v>
      </c>
      <c r="D3491" t="s">
        <v>188</v>
      </c>
      <c r="E3491" t="s">
        <v>1103</v>
      </c>
      <c r="F3491" t="s">
        <v>1104</v>
      </c>
      <c r="G3491" t="s">
        <v>1105</v>
      </c>
      <c r="H3491" t="s">
        <v>1106</v>
      </c>
      <c r="I3491" t="s">
        <v>243</v>
      </c>
      <c r="J3491" t="s">
        <v>1107</v>
      </c>
    </row>
    <row r="3492" spans="1:10">
      <c r="A3492" s="25" t="s">
        <v>207</v>
      </c>
      <c r="B3492">
        <v>7235</v>
      </c>
      <c r="C3492" t="s">
        <v>189</v>
      </c>
      <c r="D3492">
        <v>10411</v>
      </c>
      <c r="E3492" s="1">
        <v>7.5499999999999998E-2</v>
      </c>
      <c r="F3492" s="1">
        <v>1.18E-2</v>
      </c>
      <c r="G3492" s="1">
        <v>6.4100000000000004E-2</v>
      </c>
      <c r="H3492" s="1">
        <v>0.70779999999999998</v>
      </c>
      <c r="I3492" s="1">
        <v>3.8999999999999998E-3</v>
      </c>
      <c r="J3492" s="1">
        <v>0.13700000000000001</v>
      </c>
    </row>
    <row r="3493" spans="1:10">
      <c r="A3493" s="25" t="s">
        <v>208</v>
      </c>
      <c r="B3493">
        <v>2242</v>
      </c>
      <c r="C3493" t="s">
        <v>189</v>
      </c>
      <c r="D3493">
        <v>10411</v>
      </c>
      <c r="E3493" s="1">
        <v>5.9299999999999999E-2</v>
      </c>
      <c r="F3493" s="1">
        <v>1.49E-2</v>
      </c>
      <c r="G3493" s="1">
        <v>3.6700000000000003E-2</v>
      </c>
      <c r="H3493" s="1">
        <v>0.78590000000000004</v>
      </c>
      <c r="I3493" s="1">
        <v>1.4E-3</v>
      </c>
      <c r="J3493" s="1">
        <v>0.1018</v>
      </c>
    </row>
    <row r="3494" spans="1:10">
      <c r="A3494" s="25" t="s">
        <v>209</v>
      </c>
      <c r="B3494">
        <v>934</v>
      </c>
      <c r="C3494" t="s">
        <v>189</v>
      </c>
      <c r="D3494">
        <v>10411</v>
      </c>
      <c r="E3494" s="1">
        <v>7.9399999999999998E-2</v>
      </c>
      <c r="F3494" s="1">
        <v>1.2200000000000001E-2</v>
      </c>
      <c r="G3494" s="1">
        <v>5.7700000000000001E-2</v>
      </c>
      <c r="H3494" s="1">
        <v>0.69389999999999996</v>
      </c>
      <c r="J3494" s="1">
        <v>0.15690000000000001</v>
      </c>
    </row>
    <row r="3495" spans="1:10">
      <c r="A3495" s="25" t="s">
        <v>192</v>
      </c>
      <c r="B3495">
        <v>10411</v>
      </c>
      <c r="C3495" t="s">
        <v>192</v>
      </c>
      <c r="D3495">
        <v>10411</v>
      </c>
      <c r="E3495" s="1">
        <v>7.2099999999999997E-2</v>
      </c>
      <c r="F3495" s="1">
        <v>1.26E-2</v>
      </c>
      <c r="G3495" s="1">
        <v>5.74E-2</v>
      </c>
      <c r="H3495" s="1">
        <v>0.72430000000000005</v>
      </c>
      <c r="I3495" s="1">
        <v>3.0000000000000001E-3</v>
      </c>
      <c r="J3495" s="1">
        <v>0.13059999999999999</v>
      </c>
    </row>
    <row r="3497" spans="1:10" ht="43.5">
      <c r="A3497" s="25" t="s">
        <v>1122</v>
      </c>
    </row>
    <row r="3498" spans="1:10">
      <c r="A3498" s="25" t="s">
        <v>182</v>
      </c>
      <c r="B3498" t="s">
        <v>219</v>
      </c>
      <c r="C3498" t="s">
        <v>181</v>
      </c>
      <c r="D3498" t="s">
        <v>188</v>
      </c>
      <c r="E3498" t="s">
        <v>1103</v>
      </c>
      <c r="F3498" t="s">
        <v>1104</v>
      </c>
      <c r="G3498" t="s">
        <v>1105</v>
      </c>
      <c r="H3498" t="s">
        <v>1106</v>
      </c>
      <c r="I3498" t="s">
        <v>243</v>
      </c>
      <c r="J3498" t="s">
        <v>1107</v>
      </c>
    </row>
    <row r="3499" spans="1:10">
      <c r="A3499" s="25" t="s">
        <v>211</v>
      </c>
      <c r="B3499">
        <v>4963</v>
      </c>
      <c r="C3499" t="s">
        <v>189</v>
      </c>
      <c r="D3499">
        <v>10411</v>
      </c>
      <c r="E3499" s="1">
        <v>7.0099999999999996E-2</v>
      </c>
      <c r="F3499" s="1">
        <v>1.03E-2</v>
      </c>
      <c r="G3499" s="1">
        <v>6.2899999999999998E-2</v>
      </c>
      <c r="H3499" s="1">
        <v>0.72689999999999999</v>
      </c>
      <c r="I3499" s="1">
        <v>1.9E-3</v>
      </c>
      <c r="J3499" s="1">
        <v>0.1278</v>
      </c>
    </row>
    <row r="3500" spans="1:10">
      <c r="A3500" s="25" t="s">
        <v>212</v>
      </c>
      <c r="B3500">
        <v>3366</v>
      </c>
      <c r="C3500" t="s">
        <v>189</v>
      </c>
      <c r="D3500">
        <v>10411</v>
      </c>
      <c r="E3500" s="1">
        <v>8.4000000000000005E-2</v>
      </c>
      <c r="F3500" s="1">
        <v>1.61E-2</v>
      </c>
      <c r="G3500" s="1">
        <v>4.7800000000000002E-2</v>
      </c>
      <c r="H3500" s="1">
        <v>0.72450000000000003</v>
      </c>
      <c r="I3500" s="1">
        <v>3.3E-3</v>
      </c>
      <c r="J3500" s="1">
        <v>0.12429999999999999</v>
      </c>
    </row>
    <row r="3501" spans="1:10">
      <c r="A3501" s="25" t="s">
        <v>213</v>
      </c>
      <c r="B3501">
        <v>2082</v>
      </c>
      <c r="C3501" t="s">
        <v>189</v>
      </c>
      <c r="D3501">
        <v>10411</v>
      </c>
      <c r="E3501" s="1">
        <v>5.96E-2</v>
      </c>
      <c r="F3501" s="1">
        <v>1.24E-2</v>
      </c>
      <c r="G3501" s="1">
        <v>5.9200000000000003E-2</v>
      </c>
      <c r="H3501" s="1">
        <v>0.71819999999999995</v>
      </c>
      <c r="I3501" s="1">
        <v>5.0000000000000001E-3</v>
      </c>
      <c r="J3501" s="1">
        <v>0.14560000000000001</v>
      </c>
    </row>
    <row r="3502" spans="1:10">
      <c r="A3502" s="25" t="s">
        <v>192</v>
      </c>
      <c r="B3502">
        <v>10411</v>
      </c>
      <c r="C3502" t="s">
        <v>192</v>
      </c>
      <c r="D3502">
        <v>10411</v>
      </c>
      <c r="E3502" s="1">
        <v>7.2099999999999997E-2</v>
      </c>
      <c r="F3502" s="1">
        <v>1.26E-2</v>
      </c>
      <c r="G3502" s="1">
        <v>5.74E-2</v>
      </c>
      <c r="H3502" s="1">
        <v>0.72430000000000005</v>
      </c>
      <c r="I3502" s="1">
        <v>3.0000000000000001E-3</v>
      </c>
      <c r="J3502" s="1">
        <v>0.13059999999999999</v>
      </c>
    </row>
    <row r="3504" spans="1:10" ht="43.5">
      <c r="A3504" s="25" t="s">
        <v>1123</v>
      </c>
    </row>
    <row r="3505" spans="1:20">
      <c r="A3505" s="25" t="s">
        <v>182</v>
      </c>
      <c r="B3505" t="s">
        <v>219</v>
      </c>
      <c r="C3505" t="s">
        <v>181</v>
      </c>
      <c r="D3505" t="s">
        <v>188</v>
      </c>
      <c r="E3505" t="s">
        <v>1059</v>
      </c>
      <c r="F3505" t="s">
        <v>1124</v>
      </c>
      <c r="G3505" t="s">
        <v>1061</v>
      </c>
      <c r="H3505" t="s">
        <v>241</v>
      </c>
      <c r="I3505" t="s">
        <v>1063</v>
      </c>
      <c r="J3505" t="s">
        <v>324</v>
      </c>
      <c r="K3505" t="s">
        <v>269</v>
      </c>
      <c r="L3505" t="s">
        <v>243</v>
      </c>
      <c r="M3505" t="s">
        <v>1065</v>
      </c>
      <c r="N3505" t="s">
        <v>1066</v>
      </c>
      <c r="O3505" t="s">
        <v>1067</v>
      </c>
      <c r="P3505" t="s">
        <v>1068</v>
      </c>
      <c r="Q3505" t="s">
        <v>1069</v>
      </c>
      <c r="R3505" t="s">
        <v>1070</v>
      </c>
      <c r="S3505" t="s">
        <v>1072</v>
      </c>
      <c r="T3505" t="s">
        <v>1073</v>
      </c>
    </row>
    <row r="3506" spans="1:20">
      <c r="A3506" s="25" t="s">
        <v>215</v>
      </c>
      <c r="B3506">
        <v>3306</v>
      </c>
      <c r="C3506" t="s">
        <v>189</v>
      </c>
      <c r="D3506">
        <v>10429</v>
      </c>
      <c r="E3506" s="1">
        <v>1.2800000000000001E-2</v>
      </c>
      <c r="F3506" s="1">
        <v>6.7000000000000002E-3</v>
      </c>
      <c r="G3506" s="1">
        <v>2.8999999999999998E-3</v>
      </c>
      <c r="H3506" s="1">
        <v>0.1227</v>
      </c>
      <c r="I3506" s="1">
        <v>1.2999999999999999E-3</v>
      </c>
      <c r="J3506" s="1">
        <v>0.45400000000000001</v>
      </c>
      <c r="K3506" s="1">
        <v>3.5999999999999999E-3</v>
      </c>
      <c r="L3506" s="1">
        <v>1.9E-3</v>
      </c>
      <c r="M3506" s="1">
        <v>8.3000000000000001E-3</v>
      </c>
      <c r="N3506" s="1">
        <v>2.12E-2</v>
      </c>
      <c r="O3506" s="1">
        <v>1.03E-2</v>
      </c>
      <c r="P3506" s="1">
        <v>1.4500000000000001E-2</v>
      </c>
      <c r="Q3506" s="1">
        <v>5.4999999999999997E-3</v>
      </c>
      <c r="R3506" s="1">
        <v>3.44E-2</v>
      </c>
      <c r="S3506" s="1">
        <v>0.35580000000000001</v>
      </c>
      <c r="T3506" s="1">
        <v>0.30449999999999999</v>
      </c>
    </row>
    <row r="3507" spans="1:20">
      <c r="A3507" s="25" t="s">
        <v>216</v>
      </c>
      <c r="B3507">
        <v>2</v>
      </c>
      <c r="C3507" t="s">
        <v>189</v>
      </c>
      <c r="D3507">
        <v>10429</v>
      </c>
      <c r="S3507" s="1">
        <v>1</v>
      </c>
      <c r="T3507" s="1">
        <v>1</v>
      </c>
    </row>
    <row r="3508" spans="1:20">
      <c r="A3508" s="25" t="s">
        <v>217</v>
      </c>
      <c r="B3508">
        <v>7121</v>
      </c>
      <c r="C3508" t="s">
        <v>189</v>
      </c>
      <c r="D3508">
        <v>10429</v>
      </c>
      <c r="E3508" s="1">
        <v>9.9000000000000008E-3</v>
      </c>
      <c r="F3508" s="1">
        <v>1.49E-2</v>
      </c>
      <c r="G3508" s="1">
        <v>5.7000000000000002E-3</v>
      </c>
      <c r="H3508" s="1">
        <v>4.6899999999999997E-2</v>
      </c>
      <c r="I3508" s="1">
        <v>8.0000000000000004E-4</v>
      </c>
      <c r="J3508" s="1">
        <v>0.45079999999999998</v>
      </c>
      <c r="K3508" s="1">
        <v>5.4000000000000003E-3</v>
      </c>
      <c r="L3508" s="1">
        <v>1.1000000000000001E-3</v>
      </c>
      <c r="M3508" s="1">
        <v>8.3999999999999995E-3</v>
      </c>
      <c r="N3508" s="1">
        <v>2.7400000000000001E-2</v>
      </c>
      <c r="O3508" s="1">
        <v>1.7399999999999999E-2</v>
      </c>
      <c r="P3508" s="1">
        <v>2.24E-2</v>
      </c>
      <c r="Q3508" s="1">
        <v>1.0999999999999999E-2</v>
      </c>
      <c r="R3508" s="1">
        <v>3.7199999999999997E-2</v>
      </c>
      <c r="S3508" s="1">
        <v>0.41949999999999998</v>
      </c>
      <c r="T3508" s="1">
        <v>0.37090000000000001</v>
      </c>
    </row>
    <row r="3509" spans="1:20">
      <c r="A3509" s="25" t="s">
        <v>192</v>
      </c>
      <c r="B3509">
        <v>10429</v>
      </c>
      <c r="C3509" t="s">
        <v>192</v>
      </c>
      <c r="D3509">
        <v>10429</v>
      </c>
      <c r="E3509" s="1">
        <v>1.09E-2</v>
      </c>
      <c r="F3509" s="1">
        <v>1.21E-2</v>
      </c>
      <c r="G3509" s="1">
        <v>4.7000000000000002E-3</v>
      </c>
      <c r="H3509" s="1">
        <v>7.2700000000000001E-2</v>
      </c>
      <c r="I3509" s="1">
        <v>1E-3</v>
      </c>
      <c r="J3509" s="1">
        <v>0.45190000000000002</v>
      </c>
      <c r="K3509" s="1">
        <v>4.7999999999999996E-3</v>
      </c>
      <c r="L3509" s="1">
        <v>1.2999999999999999E-3</v>
      </c>
      <c r="M3509" s="1">
        <v>8.3999999999999995E-3</v>
      </c>
      <c r="N3509" s="1">
        <v>2.53E-2</v>
      </c>
      <c r="O3509" s="1">
        <v>1.4999999999999999E-2</v>
      </c>
      <c r="P3509" s="1">
        <v>1.9699999999999999E-2</v>
      </c>
      <c r="Q3509" s="1">
        <v>9.1000000000000004E-3</v>
      </c>
      <c r="R3509" s="1">
        <v>3.6299999999999999E-2</v>
      </c>
      <c r="S3509" s="1">
        <v>0.39789999999999998</v>
      </c>
      <c r="T3509" s="1">
        <v>0.34839999999999999</v>
      </c>
    </row>
    <row r="3511" spans="1:20" ht="43.5">
      <c r="A3511" s="25" t="s">
        <v>1125</v>
      </c>
    </row>
    <row r="3512" spans="1:20">
      <c r="A3512" s="25" t="s">
        <v>182</v>
      </c>
      <c r="B3512" t="s">
        <v>219</v>
      </c>
      <c r="C3512" t="s">
        <v>181</v>
      </c>
      <c r="D3512" t="s">
        <v>188</v>
      </c>
      <c r="E3512" t="s">
        <v>1059</v>
      </c>
      <c r="F3512" t="s">
        <v>1124</v>
      </c>
      <c r="G3512" t="s">
        <v>1061</v>
      </c>
      <c r="H3512" t="s">
        <v>241</v>
      </c>
      <c r="I3512" t="s">
        <v>1063</v>
      </c>
      <c r="J3512" t="s">
        <v>324</v>
      </c>
      <c r="K3512" t="s">
        <v>269</v>
      </c>
      <c r="L3512" t="s">
        <v>243</v>
      </c>
      <c r="M3512" t="s">
        <v>1065</v>
      </c>
      <c r="N3512" t="s">
        <v>1066</v>
      </c>
      <c r="O3512" t="s">
        <v>1067</v>
      </c>
      <c r="P3512" t="s">
        <v>1068</v>
      </c>
      <c r="Q3512" t="s">
        <v>1069</v>
      </c>
      <c r="R3512" t="s">
        <v>1070</v>
      </c>
      <c r="S3512" t="s">
        <v>1072</v>
      </c>
      <c r="T3512" t="s">
        <v>1073</v>
      </c>
    </row>
    <row r="3513" spans="1:20">
      <c r="A3513" s="25" t="s">
        <v>223</v>
      </c>
      <c r="B3513">
        <v>882</v>
      </c>
      <c r="C3513" t="s">
        <v>189</v>
      </c>
      <c r="D3513">
        <v>10429</v>
      </c>
      <c r="E3513" s="1">
        <v>1.9300000000000001E-2</v>
      </c>
      <c r="F3513" s="1">
        <v>6.8999999999999999E-3</v>
      </c>
      <c r="G3513" s="1">
        <v>1.24E-2</v>
      </c>
      <c r="H3513" s="1">
        <v>8.2299999999999998E-2</v>
      </c>
      <c r="I3513" s="1">
        <v>1.1999999999999999E-3</v>
      </c>
      <c r="J3513" s="1">
        <v>0.44080000000000003</v>
      </c>
      <c r="K3513" s="1">
        <v>4.7000000000000002E-3</v>
      </c>
      <c r="L3513" s="1">
        <v>1.8E-3</v>
      </c>
      <c r="M3513" s="1">
        <v>2.5000000000000001E-3</v>
      </c>
      <c r="N3513" s="1">
        <v>2.0400000000000001E-2</v>
      </c>
      <c r="O3513" s="1">
        <v>1.34E-2</v>
      </c>
      <c r="P3513" s="1">
        <v>2.5100000000000001E-2</v>
      </c>
      <c r="Q3513" s="1">
        <v>3.2000000000000001E-2</v>
      </c>
      <c r="R3513" s="1">
        <v>8.4900000000000003E-2</v>
      </c>
      <c r="S3513" s="1">
        <v>0.35759999999999997</v>
      </c>
      <c r="T3513" s="1">
        <v>0.31</v>
      </c>
    </row>
    <row r="3514" spans="1:20">
      <c r="A3514" s="25" t="s">
        <v>224</v>
      </c>
      <c r="B3514">
        <v>2877</v>
      </c>
      <c r="C3514" t="s">
        <v>189</v>
      </c>
      <c r="D3514">
        <v>10429</v>
      </c>
      <c r="E3514" s="1">
        <v>1.18E-2</v>
      </c>
      <c r="F3514" s="1">
        <v>1.54E-2</v>
      </c>
      <c r="G3514" s="1">
        <v>6.7999999999999996E-3</v>
      </c>
      <c r="H3514" s="1">
        <v>5.21E-2</v>
      </c>
      <c r="I3514" s="1">
        <v>8.9999999999999998E-4</v>
      </c>
      <c r="J3514" s="1">
        <v>0.42370000000000002</v>
      </c>
      <c r="K3514" s="1">
        <v>6.6E-3</v>
      </c>
      <c r="L3514" s="1">
        <v>8.0000000000000004E-4</v>
      </c>
      <c r="M3514" s="1">
        <v>1.29E-2</v>
      </c>
      <c r="N3514" s="1">
        <v>3.3399999999999999E-2</v>
      </c>
      <c r="O3514" s="1">
        <v>1.7399999999999999E-2</v>
      </c>
      <c r="P3514" s="1">
        <v>2.18E-2</v>
      </c>
      <c r="Q3514" s="1">
        <v>8.8999999999999999E-3</v>
      </c>
      <c r="R3514" s="1">
        <v>4.1300000000000003E-2</v>
      </c>
      <c r="S3514" s="1">
        <v>0.442</v>
      </c>
      <c r="T3514" s="1">
        <v>0.39319999999999999</v>
      </c>
    </row>
    <row r="3515" spans="1:20">
      <c r="A3515" s="25" t="s">
        <v>225</v>
      </c>
      <c r="B3515">
        <v>2813</v>
      </c>
      <c r="C3515" t="s">
        <v>189</v>
      </c>
      <c r="D3515">
        <v>10429</v>
      </c>
      <c r="E3515" s="1">
        <v>1.32E-2</v>
      </c>
      <c r="F3515" s="1">
        <v>7.3000000000000001E-3</v>
      </c>
      <c r="G3515" s="1">
        <v>5.3E-3</v>
      </c>
      <c r="H3515" s="1">
        <v>7.2099999999999997E-2</v>
      </c>
      <c r="I3515" s="1">
        <v>1.8E-3</v>
      </c>
      <c r="J3515" s="1">
        <v>0.44890000000000002</v>
      </c>
      <c r="K3515" s="1">
        <v>6.0000000000000001E-3</v>
      </c>
      <c r="L3515" s="1">
        <v>2.7000000000000001E-3</v>
      </c>
      <c r="M3515" s="1">
        <v>8.8999999999999999E-3</v>
      </c>
      <c r="N3515" s="1">
        <v>2.7099999999999999E-2</v>
      </c>
      <c r="O3515" s="1">
        <v>1.9400000000000001E-2</v>
      </c>
      <c r="P3515" s="1">
        <v>1.7299999999999999E-2</v>
      </c>
      <c r="Q3515" s="1">
        <v>6.3E-3</v>
      </c>
      <c r="R3515" s="1">
        <v>3.2099999999999997E-2</v>
      </c>
      <c r="S3515" s="1">
        <v>0.41270000000000001</v>
      </c>
      <c r="T3515" s="1">
        <v>0.36020000000000002</v>
      </c>
    </row>
    <row r="3516" spans="1:20">
      <c r="A3516" s="25" t="s">
        <v>226</v>
      </c>
      <c r="B3516">
        <v>3857</v>
      </c>
      <c r="C3516" t="s">
        <v>189</v>
      </c>
      <c r="D3516">
        <v>10429</v>
      </c>
      <c r="E3516" s="1">
        <v>5.8999999999999999E-3</v>
      </c>
      <c r="F3516" s="1">
        <v>1.47E-2</v>
      </c>
      <c r="G3516" s="1">
        <v>2.9999999999999997E-4</v>
      </c>
      <c r="H3516" s="1">
        <v>8.4500000000000006E-2</v>
      </c>
      <c r="I3516" s="1">
        <v>4.0000000000000002E-4</v>
      </c>
      <c r="J3516" s="1">
        <v>0.47739999999999999</v>
      </c>
      <c r="K3516" s="1">
        <v>2.8999999999999998E-3</v>
      </c>
      <c r="L3516" s="1">
        <v>6.9999999999999999E-4</v>
      </c>
      <c r="M3516" s="1">
        <v>6.8999999999999999E-3</v>
      </c>
      <c r="N3516" s="1">
        <v>1.9900000000000001E-2</v>
      </c>
      <c r="O3516" s="1">
        <v>1.0800000000000001E-2</v>
      </c>
      <c r="P3516" s="1">
        <v>1.7899999999999999E-2</v>
      </c>
      <c r="Q3516" s="1">
        <v>3.5999999999999999E-3</v>
      </c>
      <c r="R3516" s="1">
        <v>1.9300000000000001E-2</v>
      </c>
      <c r="S3516" s="1">
        <v>0.37009999999999998</v>
      </c>
      <c r="T3516" s="1">
        <v>0.3216</v>
      </c>
    </row>
    <row r="3517" spans="1:20">
      <c r="A3517" s="25" t="s">
        <v>192</v>
      </c>
      <c r="B3517">
        <v>10429</v>
      </c>
      <c r="C3517" t="s">
        <v>192</v>
      </c>
      <c r="D3517">
        <v>10429</v>
      </c>
      <c r="E3517" s="1">
        <v>1.09E-2</v>
      </c>
      <c r="F3517" s="1">
        <v>1.21E-2</v>
      </c>
      <c r="G3517" s="1">
        <v>4.7000000000000002E-3</v>
      </c>
      <c r="H3517" s="1">
        <v>7.2700000000000001E-2</v>
      </c>
      <c r="I3517" s="1">
        <v>1E-3</v>
      </c>
      <c r="J3517" s="1">
        <v>0.45190000000000002</v>
      </c>
      <c r="K3517" s="1">
        <v>4.7999999999999996E-3</v>
      </c>
      <c r="L3517" s="1">
        <v>1.2999999999999999E-3</v>
      </c>
      <c r="M3517" s="1">
        <v>8.3999999999999995E-3</v>
      </c>
      <c r="N3517" s="1">
        <v>2.53E-2</v>
      </c>
      <c r="O3517" s="1">
        <v>1.4999999999999999E-2</v>
      </c>
      <c r="P3517" s="1">
        <v>1.9699999999999999E-2</v>
      </c>
      <c r="Q3517" s="1">
        <v>9.1000000000000004E-3</v>
      </c>
      <c r="R3517" s="1">
        <v>3.6299999999999999E-2</v>
      </c>
      <c r="S3517" s="1">
        <v>0.39789999999999998</v>
      </c>
      <c r="T3517" s="1">
        <v>0.34839999999999999</v>
      </c>
    </row>
    <row r="3519" spans="1:20" ht="43.5">
      <c r="A3519" s="25" t="s">
        <v>1126</v>
      </c>
    </row>
    <row r="3520" spans="1:20">
      <c r="A3520" s="25" t="s">
        <v>182</v>
      </c>
      <c r="B3520" t="s">
        <v>219</v>
      </c>
      <c r="C3520" t="s">
        <v>181</v>
      </c>
      <c r="D3520" t="s">
        <v>188</v>
      </c>
      <c r="E3520" t="s">
        <v>1059</v>
      </c>
      <c r="F3520" t="s">
        <v>1124</v>
      </c>
      <c r="G3520" t="s">
        <v>1061</v>
      </c>
      <c r="H3520" t="s">
        <v>241</v>
      </c>
      <c r="I3520" t="s">
        <v>1063</v>
      </c>
      <c r="J3520" t="s">
        <v>324</v>
      </c>
      <c r="K3520" t="s">
        <v>269</v>
      </c>
      <c r="L3520" t="s">
        <v>243</v>
      </c>
      <c r="M3520" t="s">
        <v>1065</v>
      </c>
      <c r="N3520" t="s">
        <v>1066</v>
      </c>
      <c r="O3520" t="s">
        <v>1067</v>
      </c>
      <c r="P3520" t="s">
        <v>1068</v>
      </c>
      <c r="Q3520" t="s">
        <v>1069</v>
      </c>
      <c r="R3520" t="s">
        <v>1070</v>
      </c>
      <c r="S3520" t="s">
        <v>1072</v>
      </c>
      <c r="T3520" t="s">
        <v>1073</v>
      </c>
    </row>
    <row r="3521" spans="1:20">
      <c r="A3521" s="25" t="s">
        <v>190</v>
      </c>
      <c r="B3521">
        <v>4903</v>
      </c>
      <c r="C3521" t="s">
        <v>189</v>
      </c>
      <c r="D3521">
        <v>10429</v>
      </c>
      <c r="E3521" s="1">
        <v>1.06E-2</v>
      </c>
      <c r="F3521" s="1">
        <v>9.1000000000000004E-3</v>
      </c>
      <c r="G3521" s="1">
        <v>8.0000000000000004E-4</v>
      </c>
      <c r="H3521" s="1">
        <v>6.9500000000000006E-2</v>
      </c>
      <c r="I3521" s="1">
        <v>8.9999999999999998E-4</v>
      </c>
      <c r="J3521" s="1">
        <v>0.59440000000000004</v>
      </c>
      <c r="K3521" s="1">
        <v>2E-3</v>
      </c>
      <c r="L3521" s="1">
        <v>1.6000000000000001E-3</v>
      </c>
      <c r="M3521" s="1">
        <v>8.8000000000000005E-3</v>
      </c>
      <c r="N3521" s="1">
        <v>2.1499999999999998E-2</v>
      </c>
      <c r="O3521" s="1">
        <v>3.5000000000000001E-3</v>
      </c>
      <c r="P3521" s="1">
        <v>1.66E-2</v>
      </c>
      <c r="Q3521" s="1">
        <v>5.0000000000000001E-3</v>
      </c>
      <c r="R3521" s="1">
        <v>1.9599999999999999E-2</v>
      </c>
      <c r="S3521" s="1">
        <v>0.28170000000000001</v>
      </c>
      <c r="T3521" s="1">
        <v>0.23680000000000001</v>
      </c>
    </row>
    <row r="3522" spans="1:20">
      <c r="A3522" s="25" t="s">
        <v>191</v>
      </c>
      <c r="B3522">
        <v>5469</v>
      </c>
      <c r="C3522" t="s">
        <v>189</v>
      </c>
      <c r="D3522">
        <v>10429</v>
      </c>
      <c r="E3522" s="1">
        <v>1.11E-2</v>
      </c>
      <c r="F3522" s="1">
        <v>1.4E-2</v>
      </c>
      <c r="G3522" s="1">
        <v>7.1999999999999998E-3</v>
      </c>
      <c r="H3522" s="1">
        <v>7.46E-2</v>
      </c>
      <c r="I3522" s="1">
        <v>1E-3</v>
      </c>
      <c r="J3522" s="1">
        <v>0.3644</v>
      </c>
      <c r="K3522" s="1">
        <v>6.4999999999999997E-3</v>
      </c>
      <c r="L3522" s="1">
        <v>1.1999999999999999E-3</v>
      </c>
      <c r="M3522" s="1">
        <v>8.0999999999999996E-3</v>
      </c>
      <c r="N3522" s="1">
        <v>2.76E-2</v>
      </c>
      <c r="O3522" s="1">
        <v>2.2100000000000002E-2</v>
      </c>
      <c r="P3522" s="1">
        <v>2.1600000000000001E-2</v>
      </c>
      <c r="Q3522" s="1">
        <v>1.17E-2</v>
      </c>
      <c r="R3522" s="1">
        <v>4.65E-2</v>
      </c>
      <c r="S3522" s="1">
        <v>0.46899999999999997</v>
      </c>
      <c r="T3522" s="1">
        <v>0.41660000000000003</v>
      </c>
    </row>
    <row r="3523" spans="1:20">
      <c r="A3523" s="25" t="s">
        <v>192</v>
      </c>
      <c r="B3523">
        <v>10429</v>
      </c>
      <c r="C3523" t="s">
        <v>192</v>
      </c>
      <c r="D3523">
        <v>10429</v>
      </c>
      <c r="E3523" s="1">
        <v>1.09E-2</v>
      </c>
      <c r="F3523" s="1">
        <v>1.21E-2</v>
      </c>
      <c r="G3523" s="1">
        <v>4.7000000000000002E-3</v>
      </c>
      <c r="H3523" s="1">
        <v>7.2700000000000001E-2</v>
      </c>
      <c r="I3523" s="1">
        <v>1E-3</v>
      </c>
      <c r="J3523" s="1">
        <v>0.45190000000000002</v>
      </c>
      <c r="K3523" s="1">
        <v>4.7999999999999996E-3</v>
      </c>
      <c r="L3523" s="1">
        <v>1.2999999999999999E-3</v>
      </c>
      <c r="M3523" s="1">
        <v>8.3999999999999995E-3</v>
      </c>
      <c r="N3523" s="1">
        <v>2.53E-2</v>
      </c>
      <c r="O3523" s="1">
        <v>1.4999999999999999E-2</v>
      </c>
      <c r="P3523" s="1">
        <v>1.9699999999999999E-2</v>
      </c>
      <c r="Q3523" s="1">
        <v>9.1000000000000004E-3</v>
      </c>
      <c r="R3523" s="1">
        <v>3.6299999999999999E-2</v>
      </c>
      <c r="S3523" s="1">
        <v>0.39789999999999998</v>
      </c>
      <c r="T3523" s="1">
        <v>0.34839999999999999</v>
      </c>
    </row>
    <row r="3525" spans="1:20" ht="57.95">
      <c r="A3525" s="25" t="s">
        <v>1127</v>
      </c>
    </row>
    <row r="3526" spans="1:20">
      <c r="A3526" s="25" t="s">
        <v>182</v>
      </c>
      <c r="B3526" t="s">
        <v>219</v>
      </c>
      <c r="C3526" t="s">
        <v>181</v>
      </c>
      <c r="D3526" t="s">
        <v>188</v>
      </c>
      <c r="E3526" t="s">
        <v>1059</v>
      </c>
      <c r="F3526" t="s">
        <v>1124</v>
      </c>
      <c r="G3526" t="s">
        <v>1061</v>
      </c>
      <c r="H3526" t="s">
        <v>241</v>
      </c>
      <c r="I3526" t="s">
        <v>1063</v>
      </c>
      <c r="J3526" t="s">
        <v>324</v>
      </c>
      <c r="K3526" t="s">
        <v>269</v>
      </c>
      <c r="L3526" t="s">
        <v>243</v>
      </c>
      <c r="M3526" t="s">
        <v>1065</v>
      </c>
      <c r="N3526" t="s">
        <v>1066</v>
      </c>
      <c r="O3526" t="s">
        <v>1067</v>
      </c>
      <c r="P3526" t="s">
        <v>1068</v>
      </c>
      <c r="Q3526" t="s">
        <v>1069</v>
      </c>
      <c r="R3526" t="s">
        <v>1070</v>
      </c>
      <c r="S3526" t="s">
        <v>1072</v>
      </c>
      <c r="T3526" t="s">
        <v>1073</v>
      </c>
    </row>
    <row r="3527" spans="1:20" ht="29.1">
      <c r="A3527" s="25" t="s">
        <v>194</v>
      </c>
      <c r="B3527">
        <v>5952</v>
      </c>
      <c r="C3527" t="s">
        <v>189</v>
      </c>
      <c r="D3527">
        <v>10429</v>
      </c>
      <c r="E3527" s="1">
        <v>1.09E-2</v>
      </c>
      <c r="F3527" s="1">
        <v>1.2800000000000001E-2</v>
      </c>
      <c r="G3527" s="1">
        <v>5.5999999999999999E-3</v>
      </c>
      <c r="H3527" s="1">
        <v>7.0999999999999994E-2</v>
      </c>
      <c r="I3527" s="1">
        <v>5.0000000000000001E-4</v>
      </c>
      <c r="J3527" s="1">
        <v>0.55479999999999996</v>
      </c>
      <c r="K3527" s="1">
        <v>1E-3</v>
      </c>
      <c r="L3527" s="1">
        <v>1E-3</v>
      </c>
      <c r="M3527" s="1">
        <v>6.3E-3</v>
      </c>
      <c r="N3527" s="1">
        <v>2.1299999999999999E-2</v>
      </c>
      <c r="O3527" s="1">
        <v>1.26E-2</v>
      </c>
      <c r="P3527" s="1">
        <v>1.66E-2</v>
      </c>
      <c r="Q3527" s="1">
        <v>9.4999999999999998E-3</v>
      </c>
      <c r="R3527" s="1">
        <v>3.3099999999999997E-2</v>
      </c>
      <c r="S3527" s="1">
        <v>0.29199999999999998</v>
      </c>
      <c r="T3527" s="1">
        <v>0.25819999999999999</v>
      </c>
    </row>
    <row r="3528" spans="1:20" ht="29.1">
      <c r="A3528" s="25" t="s">
        <v>195</v>
      </c>
      <c r="B3528">
        <v>2700</v>
      </c>
      <c r="C3528" t="s">
        <v>189</v>
      </c>
      <c r="D3528">
        <v>10429</v>
      </c>
      <c r="E3528" s="1">
        <v>1.15E-2</v>
      </c>
      <c r="F3528" s="1">
        <v>1.21E-2</v>
      </c>
      <c r="G3528" s="1">
        <v>5.0000000000000001E-4</v>
      </c>
      <c r="H3528" s="1">
        <v>8.0500000000000002E-2</v>
      </c>
      <c r="I3528" s="1">
        <v>2.8E-3</v>
      </c>
      <c r="J3528" s="1">
        <v>0.25140000000000001</v>
      </c>
      <c r="K3528" s="1">
        <v>1.6299999999999999E-2</v>
      </c>
      <c r="L3528" s="1">
        <v>2.8E-3</v>
      </c>
      <c r="M3528" s="1">
        <v>9.4000000000000004E-3</v>
      </c>
      <c r="N3528" s="1">
        <v>2.6700000000000002E-2</v>
      </c>
      <c r="O3528" s="1">
        <v>1.8200000000000001E-2</v>
      </c>
      <c r="P3528" s="1">
        <v>2.98E-2</v>
      </c>
      <c r="Q3528" s="1">
        <v>8.3999999999999995E-3</v>
      </c>
      <c r="R3528" s="1">
        <v>4.9599999999999998E-2</v>
      </c>
      <c r="S3528" s="1">
        <v>0.59089999999999998</v>
      </c>
      <c r="T3528" s="1">
        <v>0.46360000000000001</v>
      </c>
    </row>
    <row r="3529" spans="1:20" ht="29.1">
      <c r="A3529" s="25" t="s">
        <v>196</v>
      </c>
      <c r="B3529">
        <v>1720</v>
      </c>
      <c r="C3529" t="s">
        <v>189</v>
      </c>
      <c r="D3529">
        <v>10429</v>
      </c>
      <c r="E3529" s="1">
        <v>9.2999999999999992E-3</v>
      </c>
      <c r="F3529" s="1">
        <v>7.1000000000000004E-3</v>
      </c>
      <c r="G3529" s="1">
        <v>7.1000000000000004E-3</v>
      </c>
      <c r="H3529" s="1">
        <v>6.9099999999999995E-2</v>
      </c>
      <c r="I3529" s="1">
        <v>1.2999999999999999E-3</v>
      </c>
      <c r="J3529" s="1">
        <v>8.2199999999999995E-2</v>
      </c>
      <c r="K3529" s="1">
        <v>9.4000000000000004E-3</v>
      </c>
      <c r="L3529" s="1">
        <v>1.1000000000000001E-3</v>
      </c>
      <c r="M3529" s="1">
        <v>2.1700000000000001E-2</v>
      </c>
      <c r="N3529" s="1">
        <v>5.2699999999999997E-2</v>
      </c>
      <c r="O3529" s="1">
        <v>2.6700000000000002E-2</v>
      </c>
      <c r="P3529" s="1">
        <v>2.2599999999999999E-2</v>
      </c>
      <c r="Q3529" s="1">
        <v>8.0999999999999996E-3</v>
      </c>
      <c r="R3529" s="1">
        <v>3.3399999999999999E-2</v>
      </c>
      <c r="S3529" s="1">
        <v>0.80449999999999999</v>
      </c>
      <c r="T3529" s="1">
        <v>0.79459999999999997</v>
      </c>
    </row>
    <row r="3530" spans="1:20">
      <c r="A3530" s="25" t="s">
        <v>192</v>
      </c>
      <c r="B3530">
        <v>10429</v>
      </c>
      <c r="C3530" t="s">
        <v>192</v>
      </c>
      <c r="D3530">
        <v>10429</v>
      </c>
      <c r="E3530" s="1">
        <v>1.09E-2</v>
      </c>
      <c r="F3530" s="1">
        <v>1.21E-2</v>
      </c>
      <c r="G3530" s="1">
        <v>4.7000000000000002E-3</v>
      </c>
      <c r="H3530" s="1">
        <v>7.2700000000000001E-2</v>
      </c>
      <c r="I3530" s="1">
        <v>1E-3</v>
      </c>
      <c r="J3530" s="1">
        <v>0.45190000000000002</v>
      </c>
      <c r="K3530" s="1">
        <v>4.7999999999999996E-3</v>
      </c>
      <c r="L3530" s="1">
        <v>1.2999999999999999E-3</v>
      </c>
      <c r="M3530" s="1">
        <v>8.3999999999999995E-3</v>
      </c>
      <c r="N3530" s="1">
        <v>2.53E-2</v>
      </c>
      <c r="O3530" s="1">
        <v>1.4999999999999999E-2</v>
      </c>
      <c r="P3530" s="1">
        <v>1.9699999999999999E-2</v>
      </c>
      <c r="Q3530" s="1">
        <v>9.1000000000000004E-3</v>
      </c>
      <c r="R3530" s="1">
        <v>3.6299999999999999E-2</v>
      </c>
      <c r="S3530" s="1">
        <v>0.39789999999999998</v>
      </c>
      <c r="T3530" s="1">
        <v>0.34839999999999999</v>
      </c>
    </row>
    <row r="3532" spans="1:20" ht="43.5">
      <c r="A3532" s="25" t="s">
        <v>1128</v>
      </c>
    </row>
    <row r="3533" spans="1:20">
      <c r="A3533" s="25" t="s">
        <v>182</v>
      </c>
      <c r="B3533" t="s">
        <v>219</v>
      </c>
      <c r="C3533" t="s">
        <v>181</v>
      </c>
      <c r="D3533" t="s">
        <v>188</v>
      </c>
      <c r="E3533" t="s">
        <v>1059</v>
      </c>
      <c r="F3533" t="s">
        <v>1124</v>
      </c>
      <c r="G3533" t="s">
        <v>1061</v>
      </c>
      <c r="H3533" t="s">
        <v>241</v>
      </c>
      <c r="I3533" t="s">
        <v>1063</v>
      </c>
      <c r="J3533" t="s">
        <v>324</v>
      </c>
      <c r="K3533" t="s">
        <v>269</v>
      </c>
      <c r="L3533" t="s">
        <v>243</v>
      </c>
      <c r="M3533" t="s">
        <v>1065</v>
      </c>
      <c r="N3533" t="s">
        <v>1066</v>
      </c>
      <c r="O3533" t="s">
        <v>1067</v>
      </c>
      <c r="P3533" t="s">
        <v>1068</v>
      </c>
      <c r="Q3533" t="s">
        <v>1069</v>
      </c>
      <c r="R3533" t="s">
        <v>1070</v>
      </c>
      <c r="S3533" t="s">
        <v>1072</v>
      </c>
      <c r="T3533" t="s">
        <v>1073</v>
      </c>
    </row>
    <row r="3534" spans="1:20">
      <c r="A3534" s="25" t="s">
        <v>198</v>
      </c>
      <c r="B3534">
        <v>2261</v>
      </c>
      <c r="C3534" t="s">
        <v>189</v>
      </c>
      <c r="D3534">
        <v>10429</v>
      </c>
      <c r="E3534" s="1">
        <v>1.4999999999999999E-2</v>
      </c>
      <c r="F3534" s="1">
        <v>2.4199999999999999E-2</v>
      </c>
      <c r="G3534" s="1">
        <v>2E-3</v>
      </c>
      <c r="H3534" s="1">
        <v>9.1300000000000006E-2</v>
      </c>
      <c r="I3534" s="1">
        <v>1E-4</v>
      </c>
      <c r="J3534" s="1">
        <v>0.38250000000000001</v>
      </c>
      <c r="K3534" s="1">
        <v>3.7000000000000002E-3</v>
      </c>
      <c r="L3534" s="1">
        <v>3.7000000000000002E-3</v>
      </c>
      <c r="M3534" s="1">
        <v>1.95E-2</v>
      </c>
      <c r="N3534" s="1">
        <v>3.4000000000000002E-2</v>
      </c>
      <c r="O3534" s="1">
        <v>1.6199999999999999E-2</v>
      </c>
      <c r="P3534" s="1">
        <v>2.7900000000000001E-2</v>
      </c>
      <c r="Q3534" s="1">
        <v>5.1999999999999998E-3</v>
      </c>
      <c r="R3534" s="1">
        <v>3.49E-2</v>
      </c>
      <c r="S3534" s="1">
        <v>0.4506</v>
      </c>
      <c r="T3534" s="1">
        <v>0.37759999999999999</v>
      </c>
    </row>
    <row r="3535" spans="1:20">
      <c r="A3535" s="25" t="s">
        <v>199</v>
      </c>
      <c r="B3535">
        <v>8168</v>
      </c>
      <c r="C3535" t="s">
        <v>189</v>
      </c>
      <c r="D3535">
        <v>10429</v>
      </c>
      <c r="E3535" s="1">
        <v>9.9000000000000008E-3</v>
      </c>
      <c r="F3535" s="1">
        <v>9.4000000000000004E-3</v>
      </c>
      <c r="G3535" s="1">
        <v>5.3E-3</v>
      </c>
      <c r="H3535" s="1">
        <v>6.8500000000000005E-2</v>
      </c>
      <c r="I3535" s="1">
        <v>1.1999999999999999E-3</v>
      </c>
      <c r="J3535" s="1">
        <v>0.46739999999999998</v>
      </c>
      <c r="K3535" s="1">
        <v>5.1000000000000004E-3</v>
      </c>
      <c r="L3535" s="1">
        <v>8.0000000000000004E-4</v>
      </c>
      <c r="M3535" s="1">
        <v>5.8999999999999999E-3</v>
      </c>
      <c r="N3535" s="1">
        <v>2.3300000000000001E-2</v>
      </c>
      <c r="O3535" s="1">
        <v>1.47E-2</v>
      </c>
      <c r="P3535" s="1">
        <v>1.78E-2</v>
      </c>
      <c r="Q3535" s="1">
        <v>0.01</v>
      </c>
      <c r="R3535" s="1">
        <v>3.6600000000000001E-2</v>
      </c>
      <c r="S3535" s="1">
        <v>0.38600000000000001</v>
      </c>
      <c r="T3535" s="1">
        <v>0.34179999999999999</v>
      </c>
    </row>
    <row r="3536" spans="1:20">
      <c r="A3536" s="25" t="s">
        <v>192</v>
      </c>
      <c r="B3536">
        <v>10429</v>
      </c>
      <c r="C3536" t="s">
        <v>192</v>
      </c>
      <c r="D3536">
        <v>10429</v>
      </c>
      <c r="E3536" s="1">
        <v>1.09E-2</v>
      </c>
      <c r="F3536" s="1">
        <v>1.21E-2</v>
      </c>
      <c r="G3536" s="1">
        <v>4.7000000000000002E-3</v>
      </c>
      <c r="H3536" s="1">
        <v>7.2700000000000001E-2</v>
      </c>
      <c r="I3536" s="1">
        <v>1E-3</v>
      </c>
      <c r="J3536" s="1">
        <v>0.45190000000000002</v>
      </c>
      <c r="K3536" s="1">
        <v>4.7999999999999996E-3</v>
      </c>
      <c r="L3536" s="1">
        <v>1.2999999999999999E-3</v>
      </c>
      <c r="M3536" s="1">
        <v>8.3999999999999995E-3</v>
      </c>
      <c r="N3536" s="1">
        <v>2.53E-2</v>
      </c>
      <c r="O3536" s="1">
        <v>1.4999999999999999E-2</v>
      </c>
      <c r="P3536" s="1">
        <v>1.9699999999999999E-2</v>
      </c>
      <c r="Q3536" s="1">
        <v>9.1000000000000004E-3</v>
      </c>
      <c r="R3536" s="1">
        <v>3.6299999999999999E-2</v>
      </c>
      <c r="S3536" s="1">
        <v>0.39789999999999998</v>
      </c>
      <c r="T3536" s="1">
        <v>0.34839999999999999</v>
      </c>
    </row>
    <row r="3538" spans="1:20" ht="43.5">
      <c r="A3538" s="25" t="s">
        <v>1129</v>
      </c>
    </row>
    <row r="3539" spans="1:20">
      <c r="A3539" s="25" t="s">
        <v>182</v>
      </c>
      <c r="B3539" t="s">
        <v>219</v>
      </c>
      <c r="C3539" t="s">
        <v>181</v>
      </c>
      <c r="D3539" t="s">
        <v>188</v>
      </c>
      <c r="E3539" t="s">
        <v>1059</v>
      </c>
      <c r="F3539" t="s">
        <v>1124</v>
      </c>
      <c r="G3539" t="s">
        <v>1061</v>
      </c>
      <c r="H3539" t="s">
        <v>241</v>
      </c>
      <c r="I3539" t="s">
        <v>1063</v>
      </c>
      <c r="J3539" t="s">
        <v>324</v>
      </c>
      <c r="K3539" t="s">
        <v>269</v>
      </c>
      <c r="L3539" t="s">
        <v>243</v>
      </c>
      <c r="M3539" t="s">
        <v>1065</v>
      </c>
      <c r="N3539" t="s">
        <v>1066</v>
      </c>
      <c r="O3539" t="s">
        <v>1067</v>
      </c>
      <c r="P3539" t="s">
        <v>1068</v>
      </c>
      <c r="Q3539" t="s">
        <v>1069</v>
      </c>
      <c r="R3539" t="s">
        <v>1070</v>
      </c>
      <c r="S3539" t="s">
        <v>1072</v>
      </c>
      <c r="T3539" t="s">
        <v>1073</v>
      </c>
    </row>
    <row r="3540" spans="1:20">
      <c r="A3540" s="25" t="s">
        <v>201</v>
      </c>
      <c r="B3540">
        <v>767</v>
      </c>
      <c r="C3540" t="s">
        <v>189</v>
      </c>
      <c r="D3540">
        <v>10429</v>
      </c>
      <c r="E3540" s="1">
        <v>9.1000000000000004E-3</v>
      </c>
      <c r="F3540" s="1">
        <v>1.7899999999999999E-2</v>
      </c>
      <c r="G3540" s="1">
        <v>1.35E-2</v>
      </c>
      <c r="H3540" s="1">
        <v>6.7299999999999999E-2</v>
      </c>
      <c r="J3540" s="1">
        <v>0.34670000000000001</v>
      </c>
      <c r="K3540" s="1">
        <v>1.83E-2</v>
      </c>
      <c r="L3540" s="1">
        <v>2.3E-3</v>
      </c>
      <c r="M3540" s="1">
        <v>9.1000000000000004E-3</v>
      </c>
      <c r="N3540" s="1">
        <v>2.6200000000000001E-2</v>
      </c>
      <c r="O3540" s="1">
        <v>1.3100000000000001E-2</v>
      </c>
      <c r="P3540" s="1">
        <v>2.8000000000000001E-2</v>
      </c>
      <c r="Q3540" s="1">
        <v>8.0000000000000002E-3</v>
      </c>
      <c r="R3540" s="1">
        <v>2.7099999999999999E-2</v>
      </c>
      <c r="S3540" s="1">
        <v>0.4844</v>
      </c>
      <c r="T3540" s="1">
        <v>0.4728</v>
      </c>
    </row>
    <row r="3541" spans="1:20">
      <c r="A3541" s="25" t="s">
        <v>202</v>
      </c>
      <c r="B3541">
        <v>110</v>
      </c>
      <c r="C3541" t="s">
        <v>189</v>
      </c>
      <c r="D3541">
        <v>10429</v>
      </c>
      <c r="F3541" s="1">
        <v>6.7000000000000002E-3</v>
      </c>
      <c r="H3541" s="1">
        <v>2.4E-2</v>
      </c>
      <c r="J3541" s="1">
        <v>0.16719999999999999</v>
      </c>
      <c r="K3541" s="1">
        <v>5.9999999999999995E-4</v>
      </c>
      <c r="L3541" s="1">
        <v>6.7000000000000002E-3</v>
      </c>
      <c r="M3541" s="1">
        <v>2.75E-2</v>
      </c>
      <c r="N3541" s="1">
        <v>2.6800000000000001E-2</v>
      </c>
      <c r="O3541" s="1">
        <v>6.8999999999999999E-3</v>
      </c>
      <c r="P3541" s="1">
        <v>2.7799999999999998E-2</v>
      </c>
      <c r="Q3541" s="1">
        <v>4.0000000000000001E-3</v>
      </c>
      <c r="R3541" s="1">
        <v>2.1299999999999999E-2</v>
      </c>
      <c r="S3541" s="1">
        <v>0.71209999999999996</v>
      </c>
      <c r="T3541" s="1">
        <v>0.71430000000000005</v>
      </c>
    </row>
    <row r="3542" spans="1:20">
      <c r="A3542" s="25" t="s">
        <v>203</v>
      </c>
      <c r="B3542">
        <v>8037</v>
      </c>
      <c r="C3542" t="s">
        <v>189</v>
      </c>
      <c r="D3542">
        <v>10429</v>
      </c>
      <c r="E3542" s="1">
        <v>9.2999999999999992E-3</v>
      </c>
      <c r="F3542" s="1">
        <v>1.14E-2</v>
      </c>
      <c r="G3542" s="1">
        <v>3.0000000000000001E-3</v>
      </c>
      <c r="H3542" s="1">
        <v>8.1299999999999997E-2</v>
      </c>
      <c r="I3542" s="1">
        <v>8.9999999999999998E-4</v>
      </c>
      <c r="J3542" s="1">
        <v>0.4859</v>
      </c>
      <c r="K3542" s="1">
        <v>3.2000000000000002E-3</v>
      </c>
      <c r="L3542" s="1">
        <v>1.1000000000000001E-3</v>
      </c>
      <c r="M3542" s="1">
        <v>3.3999999999999998E-3</v>
      </c>
      <c r="N3542" s="1">
        <v>2.2700000000000001E-2</v>
      </c>
      <c r="O3542" s="1">
        <v>1.34E-2</v>
      </c>
      <c r="P3542" s="1">
        <v>1.9800000000000002E-2</v>
      </c>
      <c r="Q3542" s="1">
        <v>7.6E-3</v>
      </c>
      <c r="R3542" s="1">
        <v>3.2199999999999999E-2</v>
      </c>
      <c r="S3542" s="1">
        <v>0.36180000000000001</v>
      </c>
      <c r="T3542" s="1">
        <v>0.3054</v>
      </c>
    </row>
    <row r="3543" spans="1:20">
      <c r="A3543" s="25" t="s">
        <v>204</v>
      </c>
      <c r="B3543">
        <v>31</v>
      </c>
      <c r="C3543" t="s">
        <v>189</v>
      </c>
      <c r="D3543">
        <v>10429</v>
      </c>
      <c r="F3543" s="1">
        <v>1.0800000000000001E-2</v>
      </c>
      <c r="H3543" s="1">
        <v>5.96E-2</v>
      </c>
      <c r="J3543" s="1">
        <v>0.7581</v>
      </c>
      <c r="L3543" s="1">
        <v>1.0800000000000001E-2</v>
      </c>
      <c r="M3543" s="1">
        <v>2.1700000000000001E-2</v>
      </c>
      <c r="N3543" s="1">
        <v>2.1700000000000001E-2</v>
      </c>
      <c r="O3543" s="1">
        <v>1.6400000000000001E-2</v>
      </c>
      <c r="P3543" s="1">
        <v>1.04E-2</v>
      </c>
      <c r="S3543" s="1">
        <v>0.13250000000000001</v>
      </c>
      <c r="T3543" s="1">
        <v>0.13869999999999999</v>
      </c>
    </row>
    <row r="3544" spans="1:20">
      <c r="A3544" s="25" t="s">
        <v>205</v>
      </c>
      <c r="B3544">
        <v>1484</v>
      </c>
      <c r="C3544" t="s">
        <v>189</v>
      </c>
      <c r="D3544">
        <v>10429</v>
      </c>
      <c r="E3544" s="1">
        <v>2.1100000000000001E-2</v>
      </c>
      <c r="F3544" s="1">
        <v>1.3599999999999999E-2</v>
      </c>
      <c r="G3544" s="1">
        <v>1.0500000000000001E-2</v>
      </c>
      <c r="H3544" s="1">
        <v>2.87E-2</v>
      </c>
      <c r="I3544" s="1">
        <v>2E-3</v>
      </c>
      <c r="J3544" s="1">
        <v>0.31869999999999998</v>
      </c>
      <c r="K3544" s="1">
        <v>7.4000000000000003E-3</v>
      </c>
      <c r="L3544" s="1">
        <v>1.8E-3</v>
      </c>
      <c r="M3544" s="1">
        <v>3.56E-2</v>
      </c>
      <c r="N3544" s="1">
        <v>3.9399999999999998E-2</v>
      </c>
      <c r="O3544" s="1">
        <v>2.4899999999999999E-2</v>
      </c>
      <c r="P3544" s="1">
        <v>1.43E-2</v>
      </c>
      <c r="Q3544" s="1">
        <v>1.8599999999999998E-2</v>
      </c>
      <c r="R3544" s="1">
        <v>6.5000000000000002E-2</v>
      </c>
      <c r="S3544" s="1">
        <v>0.55030000000000001</v>
      </c>
      <c r="T3544" s="1">
        <v>0.51849999999999996</v>
      </c>
    </row>
    <row r="3545" spans="1:20">
      <c r="A3545" s="25" t="s">
        <v>192</v>
      </c>
      <c r="B3545">
        <v>10429</v>
      </c>
      <c r="C3545" t="s">
        <v>192</v>
      </c>
      <c r="D3545">
        <v>10429</v>
      </c>
      <c r="E3545" s="1">
        <v>1.09E-2</v>
      </c>
      <c r="F3545" s="1">
        <v>1.21E-2</v>
      </c>
      <c r="G3545" s="1">
        <v>4.7000000000000002E-3</v>
      </c>
      <c r="H3545" s="1">
        <v>7.2700000000000001E-2</v>
      </c>
      <c r="I3545" s="1">
        <v>1E-3</v>
      </c>
      <c r="J3545" s="1">
        <v>0.45190000000000002</v>
      </c>
      <c r="K3545" s="1">
        <v>4.7999999999999996E-3</v>
      </c>
      <c r="L3545" s="1">
        <v>1.2999999999999999E-3</v>
      </c>
      <c r="M3545" s="1">
        <v>8.3999999999999995E-3</v>
      </c>
      <c r="N3545" s="1">
        <v>2.53E-2</v>
      </c>
      <c r="O3545" s="1">
        <v>1.4999999999999999E-2</v>
      </c>
      <c r="P3545" s="1">
        <v>1.9699999999999999E-2</v>
      </c>
      <c r="Q3545" s="1">
        <v>9.1000000000000004E-3</v>
      </c>
      <c r="R3545" s="1">
        <v>3.6299999999999999E-2</v>
      </c>
      <c r="S3545" s="1">
        <v>0.39789999999999998</v>
      </c>
      <c r="T3545" s="1">
        <v>0.34839999999999999</v>
      </c>
    </row>
    <row r="3547" spans="1:20" ht="43.5">
      <c r="A3547" s="25" t="s">
        <v>1130</v>
      </c>
    </row>
    <row r="3548" spans="1:20">
      <c r="A3548" s="25" t="s">
        <v>182</v>
      </c>
      <c r="B3548" t="s">
        <v>219</v>
      </c>
      <c r="C3548" t="s">
        <v>181</v>
      </c>
      <c r="D3548" t="s">
        <v>188</v>
      </c>
      <c r="E3548" t="s">
        <v>1059</v>
      </c>
      <c r="F3548" t="s">
        <v>1124</v>
      </c>
      <c r="G3548" t="s">
        <v>1061</v>
      </c>
      <c r="H3548" t="s">
        <v>241</v>
      </c>
      <c r="I3548" t="s">
        <v>1063</v>
      </c>
      <c r="J3548" t="s">
        <v>324</v>
      </c>
      <c r="K3548" t="s">
        <v>269</v>
      </c>
      <c r="L3548" t="s">
        <v>243</v>
      </c>
      <c r="M3548" t="s">
        <v>1065</v>
      </c>
      <c r="N3548" t="s">
        <v>1066</v>
      </c>
      <c r="O3548" t="s">
        <v>1067</v>
      </c>
      <c r="P3548" t="s">
        <v>1068</v>
      </c>
      <c r="Q3548" t="s">
        <v>1069</v>
      </c>
      <c r="R3548" t="s">
        <v>1070</v>
      </c>
      <c r="S3548" t="s">
        <v>1072</v>
      </c>
      <c r="T3548" t="s">
        <v>1073</v>
      </c>
    </row>
    <row r="3549" spans="1:20">
      <c r="A3549" s="25" t="s">
        <v>207</v>
      </c>
      <c r="B3549">
        <v>7250</v>
      </c>
      <c r="C3549" t="s">
        <v>189</v>
      </c>
      <c r="D3549">
        <v>10429</v>
      </c>
      <c r="E3549" s="1">
        <v>1.21E-2</v>
      </c>
      <c r="F3549" s="1">
        <v>1.17E-2</v>
      </c>
      <c r="G3549" s="1">
        <v>3.2000000000000002E-3</v>
      </c>
      <c r="H3549" s="1">
        <v>5.1799999999999999E-2</v>
      </c>
      <c r="I3549" s="1">
        <v>1.1999999999999999E-3</v>
      </c>
      <c r="J3549" s="1">
        <v>0.46100000000000002</v>
      </c>
      <c r="K3549" s="1">
        <v>5.1000000000000004E-3</v>
      </c>
      <c r="L3549" s="1">
        <v>1.4E-3</v>
      </c>
      <c r="M3549" s="1">
        <v>7.7000000000000002E-3</v>
      </c>
      <c r="N3549" s="1">
        <v>2.7099999999999999E-2</v>
      </c>
      <c r="O3549" s="1">
        <v>1.35E-2</v>
      </c>
      <c r="P3549" s="1">
        <v>2.0500000000000001E-2</v>
      </c>
      <c r="Q3549" s="1">
        <v>7.7000000000000002E-3</v>
      </c>
      <c r="R3549" s="1">
        <v>3.8100000000000002E-2</v>
      </c>
      <c r="S3549" s="1">
        <v>0.41289999999999999</v>
      </c>
      <c r="T3549" s="1">
        <v>0.35899999999999999</v>
      </c>
    </row>
    <row r="3550" spans="1:20">
      <c r="A3550" s="25" t="s">
        <v>208</v>
      </c>
      <c r="B3550">
        <v>2244</v>
      </c>
      <c r="C3550" t="s">
        <v>189</v>
      </c>
      <c r="D3550">
        <v>10429</v>
      </c>
      <c r="E3550" s="1">
        <v>6.8999999999999999E-3</v>
      </c>
      <c r="F3550" s="1">
        <v>1.2800000000000001E-2</v>
      </c>
      <c r="G3550" s="1">
        <v>9.7000000000000003E-3</v>
      </c>
      <c r="H3550" s="1">
        <v>0.1487</v>
      </c>
      <c r="I3550" s="1">
        <v>2.9999999999999997E-4</v>
      </c>
      <c r="J3550" s="1">
        <v>0.41339999999999999</v>
      </c>
      <c r="K3550" s="1">
        <v>5.4999999999999997E-3</v>
      </c>
      <c r="L3550" s="1">
        <v>1.4E-3</v>
      </c>
      <c r="M3550" s="1">
        <v>9.4999999999999998E-3</v>
      </c>
      <c r="N3550" s="1">
        <v>2.07E-2</v>
      </c>
      <c r="O3550" s="1">
        <v>2.18E-2</v>
      </c>
      <c r="P3550" s="1">
        <v>1.52E-2</v>
      </c>
      <c r="Q3550" s="1">
        <v>1.44E-2</v>
      </c>
      <c r="R3550" s="1">
        <v>3.3500000000000002E-2</v>
      </c>
      <c r="S3550" s="1">
        <v>0.3412</v>
      </c>
      <c r="T3550" s="1">
        <v>0.31430000000000002</v>
      </c>
    </row>
    <row r="3551" spans="1:20">
      <c r="A3551" s="25" t="s">
        <v>209</v>
      </c>
      <c r="B3551">
        <v>935</v>
      </c>
      <c r="C3551" t="s">
        <v>189</v>
      </c>
      <c r="D3551">
        <v>10429</v>
      </c>
      <c r="E3551" s="1">
        <v>1.11E-2</v>
      </c>
      <c r="F3551" s="1">
        <v>1.3100000000000001E-2</v>
      </c>
      <c r="G3551" s="1">
        <v>3.7000000000000002E-3</v>
      </c>
      <c r="H3551" s="1">
        <v>4.0500000000000001E-2</v>
      </c>
      <c r="I3551" s="1">
        <v>1.1000000000000001E-3</v>
      </c>
      <c r="J3551" s="1">
        <v>0.48080000000000001</v>
      </c>
      <c r="K3551" s="1">
        <v>1E-3</v>
      </c>
      <c r="L3551" s="1">
        <v>2.9999999999999997E-4</v>
      </c>
      <c r="M3551" s="1">
        <v>1.15E-2</v>
      </c>
      <c r="N3551" s="1">
        <v>2.2100000000000002E-2</v>
      </c>
      <c r="O3551" s="1">
        <v>8.3999999999999995E-3</v>
      </c>
      <c r="P3551" s="1">
        <v>2.52E-2</v>
      </c>
      <c r="Q3551" s="1">
        <v>7.1000000000000004E-3</v>
      </c>
      <c r="R3551" s="1">
        <v>2.7699999999999999E-2</v>
      </c>
      <c r="S3551" s="1">
        <v>0.42620000000000002</v>
      </c>
      <c r="T3551" s="1">
        <v>0.35170000000000001</v>
      </c>
    </row>
    <row r="3552" spans="1:20">
      <c r="A3552" s="25" t="s">
        <v>192</v>
      </c>
      <c r="B3552">
        <v>10429</v>
      </c>
      <c r="C3552" t="s">
        <v>192</v>
      </c>
      <c r="D3552">
        <v>10429</v>
      </c>
      <c r="E3552" s="1">
        <v>1.09E-2</v>
      </c>
      <c r="F3552" s="1">
        <v>1.21E-2</v>
      </c>
      <c r="G3552" s="1">
        <v>4.7000000000000002E-3</v>
      </c>
      <c r="H3552" s="1">
        <v>7.2700000000000001E-2</v>
      </c>
      <c r="I3552" s="1">
        <v>1E-3</v>
      </c>
      <c r="J3552" s="1">
        <v>0.45190000000000002</v>
      </c>
      <c r="K3552" s="1">
        <v>4.7999999999999996E-3</v>
      </c>
      <c r="L3552" s="1">
        <v>1.2999999999999999E-3</v>
      </c>
      <c r="M3552" s="1">
        <v>8.3999999999999995E-3</v>
      </c>
      <c r="N3552" s="1">
        <v>2.53E-2</v>
      </c>
      <c r="O3552" s="1">
        <v>1.4999999999999999E-2</v>
      </c>
      <c r="P3552" s="1">
        <v>1.9699999999999999E-2</v>
      </c>
      <c r="Q3552" s="1">
        <v>9.1000000000000004E-3</v>
      </c>
      <c r="R3552" s="1">
        <v>3.6299999999999999E-2</v>
      </c>
      <c r="S3552" s="1">
        <v>0.39789999999999998</v>
      </c>
      <c r="T3552" s="1">
        <v>0.34839999999999999</v>
      </c>
    </row>
    <row r="3554" spans="1:20" ht="43.5">
      <c r="A3554" s="25" t="s">
        <v>1131</v>
      </c>
    </row>
    <row r="3555" spans="1:20">
      <c r="A3555" s="25" t="s">
        <v>182</v>
      </c>
      <c r="B3555" t="s">
        <v>219</v>
      </c>
      <c r="C3555" t="s">
        <v>181</v>
      </c>
      <c r="D3555" t="s">
        <v>188</v>
      </c>
      <c r="E3555" t="s">
        <v>1059</v>
      </c>
      <c r="F3555" t="s">
        <v>1124</v>
      </c>
      <c r="G3555" t="s">
        <v>1061</v>
      </c>
      <c r="H3555" t="s">
        <v>241</v>
      </c>
      <c r="I3555" t="s">
        <v>1063</v>
      </c>
      <c r="J3555" t="s">
        <v>324</v>
      </c>
      <c r="K3555" t="s">
        <v>269</v>
      </c>
      <c r="L3555" t="s">
        <v>243</v>
      </c>
      <c r="M3555" t="s">
        <v>1065</v>
      </c>
      <c r="N3555" t="s">
        <v>1066</v>
      </c>
      <c r="O3555" t="s">
        <v>1067</v>
      </c>
      <c r="P3555" t="s">
        <v>1068</v>
      </c>
      <c r="Q3555" t="s">
        <v>1069</v>
      </c>
      <c r="R3555" t="s">
        <v>1070</v>
      </c>
      <c r="S3555" t="s">
        <v>1072</v>
      </c>
      <c r="T3555" t="s">
        <v>1073</v>
      </c>
    </row>
    <row r="3556" spans="1:20">
      <c r="A3556" s="25" t="s">
        <v>211</v>
      </c>
      <c r="B3556">
        <v>4968</v>
      </c>
      <c r="C3556" t="s">
        <v>189</v>
      </c>
      <c r="D3556">
        <v>10429</v>
      </c>
      <c r="E3556" s="1">
        <v>1.5100000000000001E-2</v>
      </c>
      <c r="F3556" s="1">
        <v>1.29E-2</v>
      </c>
      <c r="G3556" s="1">
        <v>2.5000000000000001E-3</v>
      </c>
      <c r="H3556" s="1">
        <v>4.8800000000000003E-2</v>
      </c>
      <c r="I3556" s="1">
        <v>1.8E-3</v>
      </c>
      <c r="J3556" s="1">
        <v>0.47589999999999999</v>
      </c>
      <c r="K3556" s="1">
        <v>6.1000000000000004E-3</v>
      </c>
      <c r="L3556" s="1">
        <v>1.6999999999999999E-3</v>
      </c>
      <c r="M3556" s="1">
        <v>8.8000000000000005E-3</v>
      </c>
      <c r="N3556" s="1">
        <v>2.9100000000000001E-2</v>
      </c>
      <c r="O3556" s="1">
        <v>1.3299999999999999E-2</v>
      </c>
      <c r="P3556" s="1">
        <v>1.84E-2</v>
      </c>
      <c r="Q3556" s="1">
        <v>6.1999999999999998E-3</v>
      </c>
      <c r="R3556" s="1">
        <v>3.6600000000000001E-2</v>
      </c>
      <c r="S3556" s="1">
        <v>0.40560000000000002</v>
      </c>
      <c r="T3556" s="1">
        <v>0.35139999999999999</v>
      </c>
    </row>
    <row r="3557" spans="1:20">
      <c r="A3557" s="25" t="s">
        <v>212</v>
      </c>
      <c r="B3557">
        <v>3375</v>
      </c>
      <c r="C3557" t="s">
        <v>189</v>
      </c>
      <c r="D3557">
        <v>10429</v>
      </c>
      <c r="E3557" s="1">
        <v>5.3E-3</v>
      </c>
      <c r="F3557" s="1">
        <v>1.6400000000000001E-2</v>
      </c>
      <c r="G3557" s="1">
        <v>8.3000000000000001E-3</v>
      </c>
      <c r="H3557" s="1">
        <v>6.3600000000000004E-2</v>
      </c>
      <c r="I3557" s="1">
        <v>2.0000000000000001E-4</v>
      </c>
      <c r="J3557" s="1">
        <v>0.41460000000000002</v>
      </c>
      <c r="K3557" s="1">
        <v>3.7000000000000002E-3</v>
      </c>
      <c r="L3557" s="1">
        <v>1.4E-3</v>
      </c>
      <c r="M3557" s="1">
        <v>9.9000000000000008E-3</v>
      </c>
      <c r="N3557" s="1">
        <v>2.4400000000000002E-2</v>
      </c>
      <c r="O3557" s="1">
        <v>1.8599999999999998E-2</v>
      </c>
      <c r="P3557" s="1">
        <v>1.9199999999999998E-2</v>
      </c>
      <c r="Q3557" s="1">
        <v>1.4500000000000001E-2</v>
      </c>
      <c r="R3557" s="1">
        <v>4.3299999999999998E-2</v>
      </c>
      <c r="S3557" s="1">
        <v>0.42020000000000002</v>
      </c>
      <c r="T3557" s="1">
        <v>0.38279999999999997</v>
      </c>
    </row>
    <row r="3558" spans="1:20">
      <c r="A3558" s="25" t="s">
        <v>213</v>
      </c>
      <c r="B3558">
        <v>2086</v>
      </c>
      <c r="C3558" t="s">
        <v>189</v>
      </c>
      <c r="D3558">
        <v>10429</v>
      </c>
      <c r="E3558" s="1">
        <v>9.7999999999999997E-3</v>
      </c>
      <c r="F3558" s="1">
        <v>4.1999999999999997E-3</v>
      </c>
      <c r="G3558" s="1">
        <v>4.4000000000000003E-3</v>
      </c>
      <c r="H3558" s="1">
        <v>0.13689999999999999</v>
      </c>
      <c r="I3558" s="1">
        <v>2.0000000000000001E-4</v>
      </c>
      <c r="J3558" s="1">
        <v>0.4531</v>
      </c>
      <c r="K3558" s="1">
        <v>3.7000000000000002E-3</v>
      </c>
      <c r="L3558" s="1">
        <v>5.9999999999999995E-4</v>
      </c>
      <c r="M3558" s="1">
        <v>5.1999999999999998E-3</v>
      </c>
      <c r="N3558" s="1">
        <v>1.83E-2</v>
      </c>
      <c r="O3558" s="1">
        <v>1.34E-2</v>
      </c>
      <c r="P3558" s="1">
        <v>2.3E-2</v>
      </c>
      <c r="Q3558" s="1">
        <v>7.7000000000000002E-3</v>
      </c>
      <c r="R3558" s="1">
        <v>2.5600000000000001E-2</v>
      </c>
      <c r="S3558" s="1">
        <v>0.34960000000000002</v>
      </c>
      <c r="T3558" s="1">
        <v>0.29299999999999998</v>
      </c>
    </row>
    <row r="3559" spans="1:20">
      <c r="A3559" s="25" t="s">
        <v>192</v>
      </c>
      <c r="B3559">
        <v>10429</v>
      </c>
      <c r="C3559" t="s">
        <v>192</v>
      </c>
      <c r="D3559">
        <v>10429</v>
      </c>
      <c r="E3559" s="1">
        <v>1.09E-2</v>
      </c>
      <c r="F3559" s="1">
        <v>1.21E-2</v>
      </c>
      <c r="G3559" s="1">
        <v>4.7000000000000002E-3</v>
      </c>
      <c r="H3559" s="1">
        <v>7.2700000000000001E-2</v>
      </c>
      <c r="I3559" s="1">
        <v>1E-3</v>
      </c>
      <c r="J3559" s="1">
        <v>0.45190000000000002</v>
      </c>
      <c r="K3559" s="1">
        <v>4.7999999999999996E-3</v>
      </c>
      <c r="L3559" s="1">
        <v>1.2999999999999999E-3</v>
      </c>
      <c r="M3559" s="1">
        <v>8.3999999999999995E-3</v>
      </c>
      <c r="N3559" s="1">
        <v>2.53E-2</v>
      </c>
      <c r="O3559" s="1">
        <v>1.4999999999999999E-2</v>
      </c>
      <c r="P3559" s="1">
        <v>1.9699999999999999E-2</v>
      </c>
      <c r="Q3559" s="1">
        <v>9.1000000000000004E-3</v>
      </c>
      <c r="R3559" s="1">
        <v>3.6299999999999999E-2</v>
      </c>
      <c r="S3559" s="1">
        <v>0.39789999999999998</v>
      </c>
      <c r="T3559" s="1">
        <v>0.34839999999999999</v>
      </c>
    </row>
    <row r="3561" spans="1:20" ht="43.5">
      <c r="A3561" s="25" t="s">
        <v>1132</v>
      </c>
    </row>
    <row r="3562" spans="1:20">
      <c r="A3562" s="25" t="s">
        <v>182</v>
      </c>
      <c r="B3562" t="s">
        <v>219</v>
      </c>
      <c r="C3562" t="s">
        <v>181</v>
      </c>
      <c r="D3562" t="s">
        <v>188</v>
      </c>
      <c r="E3562" t="s">
        <v>1133</v>
      </c>
      <c r="F3562" t="s">
        <v>241</v>
      </c>
      <c r="G3562" t="s">
        <v>1134</v>
      </c>
      <c r="H3562" t="s">
        <v>1135</v>
      </c>
      <c r="I3562" t="s">
        <v>243</v>
      </c>
      <c r="J3562" t="s">
        <v>1136</v>
      </c>
    </row>
    <row r="3563" spans="1:20">
      <c r="A3563" s="25" t="s">
        <v>215</v>
      </c>
      <c r="B3563">
        <v>2513</v>
      </c>
      <c r="C3563" t="s">
        <v>189</v>
      </c>
      <c r="D3563">
        <v>9619</v>
      </c>
      <c r="E3563" s="1">
        <v>2.2599999999999999E-2</v>
      </c>
      <c r="F3563" s="1">
        <v>7.6899999999999996E-2</v>
      </c>
      <c r="G3563" s="1">
        <v>0.65459999999999996</v>
      </c>
      <c r="H3563" s="1">
        <v>4.99E-2</v>
      </c>
      <c r="I3563" s="1">
        <v>8.9999999999999998E-4</v>
      </c>
      <c r="J3563" s="1">
        <v>0.19520000000000001</v>
      </c>
    </row>
    <row r="3564" spans="1:20">
      <c r="A3564" s="25" t="s">
        <v>216</v>
      </c>
      <c r="B3564">
        <v>2</v>
      </c>
      <c r="C3564" t="s">
        <v>189</v>
      </c>
      <c r="D3564">
        <v>9619</v>
      </c>
      <c r="E3564" s="1">
        <v>0.34029999999999999</v>
      </c>
      <c r="J3564" s="1">
        <v>0.65969999999999995</v>
      </c>
    </row>
    <row r="3565" spans="1:20">
      <c r="A3565" s="25" t="s">
        <v>217</v>
      </c>
      <c r="B3565">
        <v>7104</v>
      </c>
      <c r="C3565" t="s">
        <v>189</v>
      </c>
      <c r="D3565">
        <v>9619</v>
      </c>
      <c r="E3565" s="1">
        <v>2.93E-2</v>
      </c>
      <c r="F3565" s="1">
        <v>3.8300000000000001E-2</v>
      </c>
      <c r="G3565" s="1">
        <v>0.6542</v>
      </c>
      <c r="H3565" s="1">
        <v>6.5799999999999997E-2</v>
      </c>
      <c r="I3565" s="1">
        <v>1.1999999999999999E-3</v>
      </c>
      <c r="J3565" s="1">
        <v>0.21129999999999999</v>
      </c>
    </row>
    <row r="3566" spans="1:20">
      <c r="A3566" s="25" t="s">
        <v>192</v>
      </c>
      <c r="B3566">
        <v>9619</v>
      </c>
      <c r="C3566" t="s">
        <v>192</v>
      </c>
      <c r="D3566">
        <v>9619</v>
      </c>
      <c r="E3566" s="1">
        <v>2.7400000000000001E-2</v>
      </c>
      <c r="F3566" s="1">
        <v>4.9099999999999998E-2</v>
      </c>
      <c r="G3566" s="1">
        <v>0.6542</v>
      </c>
      <c r="H3566" s="1">
        <v>6.13E-2</v>
      </c>
      <c r="I3566" s="1">
        <v>1.1000000000000001E-3</v>
      </c>
      <c r="J3566" s="1">
        <v>0.20680000000000001</v>
      </c>
    </row>
    <row r="3568" spans="1:20" ht="43.5">
      <c r="A3568" s="25" t="s">
        <v>1137</v>
      </c>
    </row>
    <row r="3569" spans="1:10">
      <c r="A3569" s="25" t="s">
        <v>182</v>
      </c>
      <c r="B3569" t="s">
        <v>219</v>
      </c>
      <c r="C3569" t="s">
        <v>181</v>
      </c>
      <c r="D3569" t="s">
        <v>188</v>
      </c>
      <c r="E3569" t="s">
        <v>1133</v>
      </c>
      <c r="F3569" t="s">
        <v>241</v>
      </c>
      <c r="G3569" t="s">
        <v>1134</v>
      </c>
      <c r="H3569" t="s">
        <v>1135</v>
      </c>
      <c r="I3569" t="s">
        <v>243</v>
      </c>
      <c r="J3569" t="s">
        <v>1136</v>
      </c>
    </row>
    <row r="3570" spans="1:10">
      <c r="A3570" s="25" t="s">
        <v>223</v>
      </c>
      <c r="B3570">
        <v>812</v>
      </c>
      <c r="C3570" t="s">
        <v>189</v>
      </c>
      <c r="D3570">
        <v>9619</v>
      </c>
      <c r="E3570" s="1">
        <v>0.02</v>
      </c>
      <c r="F3570" s="1">
        <v>3.1800000000000002E-2</v>
      </c>
      <c r="G3570" s="1">
        <v>0.62949999999999995</v>
      </c>
      <c r="H3570" s="1">
        <v>6.4600000000000005E-2</v>
      </c>
      <c r="I3570" s="1">
        <v>3.5999999999999999E-3</v>
      </c>
      <c r="J3570" s="1">
        <v>0.25040000000000001</v>
      </c>
    </row>
    <row r="3571" spans="1:10">
      <c r="A3571" s="25" t="s">
        <v>224</v>
      </c>
      <c r="B3571">
        <v>2722</v>
      </c>
      <c r="C3571" t="s">
        <v>189</v>
      </c>
      <c r="D3571">
        <v>9619</v>
      </c>
      <c r="E3571" s="1">
        <v>3.6700000000000003E-2</v>
      </c>
      <c r="F3571" s="1">
        <v>4.7500000000000001E-2</v>
      </c>
      <c r="G3571" s="1">
        <v>0.6169</v>
      </c>
      <c r="H3571" s="1">
        <v>6.0299999999999999E-2</v>
      </c>
      <c r="I3571" s="1">
        <v>8.9999999999999998E-4</v>
      </c>
      <c r="J3571" s="1">
        <v>0.23760000000000001</v>
      </c>
    </row>
    <row r="3572" spans="1:10">
      <c r="A3572" s="25" t="s">
        <v>225</v>
      </c>
      <c r="B3572">
        <v>2606</v>
      </c>
      <c r="C3572" t="s">
        <v>189</v>
      </c>
      <c r="D3572">
        <v>9619</v>
      </c>
      <c r="E3572" s="1">
        <v>2.8199999999999999E-2</v>
      </c>
      <c r="F3572" s="1">
        <v>4.2000000000000003E-2</v>
      </c>
      <c r="G3572" s="1">
        <v>0.65500000000000003</v>
      </c>
      <c r="H3572" s="1">
        <v>7.3800000000000004E-2</v>
      </c>
      <c r="I3572" s="1">
        <v>2.0000000000000001E-4</v>
      </c>
      <c r="J3572" s="1">
        <v>0.20069999999999999</v>
      </c>
    </row>
    <row r="3573" spans="1:10">
      <c r="A3573" s="25" t="s">
        <v>226</v>
      </c>
      <c r="B3573">
        <v>3479</v>
      </c>
      <c r="C3573" t="s">
        <v>189</v>
      </c>
      <c r="D3573">
        <v>9619</v>
      </c>
      <c r="E3573" s="1">
        <v>2.24E-2</v>
      </c>
      <c r="F3573" s="1">
        <v>6.08E-2</v>
      </c>
      <c r="G3573" s="1">
        <v>0.6895</v>
      </c>
      <c r="H3573" s="1">
        <v>5.2499999999999998E-2</v>
      </c>
      <c r="I3573" s="1">
        <v>1E-3</v>
      </c>
      <c r="J3573" s="1">
        <v>0.1739</v>
      </c>
    </row>
    <row r="3574" spans="1:10">
      <c r="A3574" s="25" t="s">
        <v>192</v>
      </c>
      <c r="B3574">
        <v>9619</v>
      </c>
      <c r="C3574" t="s">
        <v>192</v>
      </c>
      <c r="D3574">
        <v>9619</v>
      </c>
      <c r="E3574" s="1">
        <v>2.7400000000000001E-2</v>
      </c>
      <c r="F3574" s="1">
        <v>4.9099999999999998E-2</v>
      </c>
      <c r="G3574" s="1">
        <v>0.6542</v>
      </c>
      <c r="H3574" s="1">
        <v>6.13E-2</v>
      </c>
      <c r="I3574" s="1">
        <v>1.1000000000000001E-3</v>
      </c>
      <c r="J3574" s="1">
        <v>0.20680000000000001</v>
      </c>
    </row>
    <row r="3576" spans="1:10" ht="43.5">
      <c r="A3576" s="25" t="s">
        <v>1138</v>
      </c>
    </row>
    <row r="3577" spans="1:10">
      <c r="A3577" s="25" t="s">
        <v>182</v>
      </c>
      <c r="B3577" t="s">
        <v>219</v>
      </c>
      <c r="C3577" t="s">
        <v>181</v>
      </c>
      <c r="D3577" t="s">
        <v>188</v>
      </c>
      <c r="E3577" t="s">
        <v>1133</v>
      </c>
      <c r="F3577" t="s">
        <v>241</v>
      </c>
      <c r="G3577" t="s">
        <v>1134</v>
      </c>
      <c r="H3577" t="s">
        <v>1135</v>
      </c>
      <c r="I3577" t="s">
        <v>243</v>
      </c>
      <c r="J3577" t="s">
        <v>1136</v>
      </c>
    </row>
    <row r="3578" spans="1:10">
      <c r="A3578" s="25" t="s">
        <v>190</v>
      </c>
      <c r="B3578">
        <v>4544</v>
      </c>
      <c r="C3578" t="s">
        <v>189</v>
      </c>
      <c r="D3578">
        <v>9619</v>
      </c>
      <c r="E3578" s="1">
        <v>1.3100000000000001E-2</v>
      </c>
      <c r="F3578" s="1">
        <v>3.8600000000000002E-2</v>
      </c>
      <c r="G3578" s="1">
        <v>0.7823</v>
      </c>
      <c r="H3578" s="1">
        <v>3.1099999999999999E-2</v>
      </c>
      <c r="I3578" s="1">
        <v>1.9E-3</v>
      </c>
      <c r="J3578" s="1">
        <v>0.1331</v>
      </c>
    </row>
    <row r="3579" spans="1:10">
      <c r="A3579" s="25" t="s">
        <v>191</v>
      </c>
      <c r="B3579">
        <v>5020</v>
      </c>
      <c r="C3579" t="s">
        <v>189</v>
      </c>
      <c r="D3579">
        <v>9619</v>
      </c>
      <c r="E3579" s="1">
        <v>3.6299999999999999E-2</v>
      </c>
      <c r="F3579" s="1">
        <v>5.5500000000000001E-2</v>
      </c>
      <c r="G3579" s="1">
        <v>0.57440000000000002</v>
      </c>
      <c r="H3579" s="1">
        <v>8.0100000000000005E-2</v>
      </c>
      <c r="I3579" s="1">
        <v>5.9999999999999995E-4</v>
      </c>
      <c r="J3579" s="1">
        <v>0.25309999999999999</v>
      </c>
    </row>
    <row r="3580" spans="1:10">
      <c r="A3580" s="25" t="s">
        <v>192</v>
      </c>
      <c r="B3580">
        <v>9619</v>
      </c>
      <c r="C3580" t="s">
        <v>192</v>
      </c>
      <c r="D3580">
        <v>9619</v>
      </c>
      <c r="E3580" s="1">
        <v>2.7400000000000001E-2</v>
      </c>
      <c r="F3580" s="1">
        <v>4.9099999999999998E-2</v>
      </c>
      <c r="G3580" s="1">
        <v>0.6542</v>
      </c>
      <c r="H3580" s="1">
        <v>6.13E-2</v>
      </c>
      <c r="I3580" s="1">
        <v>1.1000000000000001E-3</v>
      </c>
      <c r="J3580" s="1">
        <v>0.20680000000000001</v>
      </c>
    </row>
    <row r="3582" spans="1:10" ht="43.5">
      <c r="A3582" s="25" t="s">
        <v>1139</v>
      </c>
    </row>
    <row r="3583" spans="1:10">
      <c r="A3583" s="25" t="s">
        <v>182</v>
      </c>
      <c r="B3583" t="s">
        <v>219</v>
      </c>
      <c r="C3583" t="s">
        <v>181</v>
      </c>
      <c r="D3583" t="s">
        <v>188</v>
      </c>
      <c r="E3583" t="s">
        <v>1133</v>
      </c>
      <c r="F3583" t="s">
        <v>241</v>
      </c>
      <c r="G3583" t="s">
        <v>1134</v>
      </c>
      <c r="H3583" t="s">
        <v>1135</v>
      </c>
      <c r="I3583" t="s">
        <v>243</v>
      </c>
      <c r="J3583" t="s">
        <v>1136</v>
      </c>
    </row>
    <row r="3584" spans="1:10" ht="29.1">
      <c r="A3584" s="25" t="s">
        <v>194</v>
      </c>
      <c r="B3584">
        <v>5474</v>
      </c>
      <c r="C3584" t="s">
        <v>189</v>
      </c>
      <c r="D3584">
        <v>9619</v>
      </c>
      <c r="E3584" s="1">
        <v>3.3999999999999998E-3</v>
      </c>
      <c r="F3584" s="1">
        <v>4.99E-2</v>
      </c>
      <c r="G3584" s="1">
        <v>0.75329999999999997</v>
      </c>
      <c r="H3584" s="1">
        <v>2.69E-2</v>
      </c>
      <c r="I3584" s="1">
        <v>1.1999999999999999E-3</v>
      </c>
      <c r="J3584" s="1">
        <v>0.1653</v>
      </c>
    </row>
    <row r="3585" spans="1:10" ht="29.1">
      <c r="A3585" s="25" t="s">
        <v>195</v>
      </c>
      <c r="B3585">
        <v>2494</v>
      </c>
      <c r="C3585" t="s">
        <v>189</v>
      </c>
      <c r="D3585">
        <v>9619</v>
      </c>
      <c r="E3585" s="1">
        <v>2.6700000000000002E-2</v>
      </c>
      <c r="F3585" s="1">
        <v>5.7200000000000001E-2</v>
      </c>
      <c r="G3585" s="1">
        <v>0.52690000000000003</v>
      </c>
      <c r="H3585" s="1">
        <v>8.1799999999999998E-2</v>
      </c>
      <c r="I3585" s="1">
        <v>8.9999999999999998E-4</v>
      </c>
      <c r="J3585" s="1">
        <v>0.30649999999999999</v>
      </c>
    </row>
    <row r="3586" spans="1:10" ht="29.1">
      <c r="A3586" s="25" t="s">
        <v>196</v>
      </c>
      <c r="B3586">
        <v>1596</v>
      </c>
      <c r="C3586" t="s">
        <v>189</v>
      </c>
      <c r="D3586">
        <v>9619</v>
      </c>
      <c r="E3586" s="1">
        <v>0.2094</v>
      </c>
      <c r="F3586" s="1">
        <v>2.53E-2</v>
      </c>
      <c r="G3586" s="1">
        <v>0.1663</v>
      </c>
      <c r="H3586" s="1">
        <v>0.27860000000000001</v>
      </c>
      <c r="I3586" s="1">
        <v>8.0000000000000004E-4</v>
      </c>
      <c r="J3586" s="1">
        <v>0.3196</v>
      </c>
    </row>
    <row r="3587" spans="1:10">
      <c r="A3587" s="25" t="s">
        <v>192</v>
      </c>
      <c r="B3587">
        <v>9619</v>
      </c>
      <c r="C3587" t="s">
        <v>192</v>
      </c>
      <c r="D3587">
        <v>9619</v>
      </c>
      <c r="E3587" s="1">
        <v>2.7400000000000001E-2</v>
      </c>
      <c r="F3587" s="1">
        <v>4.9099999999999998E-2</v>
      </c>
      <c r="G3587" s="1">
        <v>0.6542</v>
      </c>
      <c r="H3587" s="1">
        <v>6.13E-2</v>
      </c>
      <c r="I3587" s="1">
        <v>1.1000000000000001E-3</v>
      </c>
      <c r="J3587" s="1">
        <v>0.20680000000000001</v>
      </c>
    </row>
    <row r="3589" spans="1:10" ht="43.5">
      <c r="A3589" s="25" t="s">
        <v>1140</v>
      </c>
    </row>
    <row r="3590" spans="1:10">
      <c r="A3590" s="25" t="s">
        <v>182</v>
      </c>
      <c r="B3590" t="s">
        <v>219</v>
      </c>
      <c r="C3590" t="s">
        <v>181</v>
      </c>
      <c r="D3590" t="s">
        <v>188</v>
      </c>
      <c r="E3590" t="s">
        <v>1133</v>
      </c>
      <c r="F3590" t="s">
        <v>241</v>
      </c>
      <c r="G3590" t="s">
        <v>1134</v>
      </c>
      <c r="H3590" t="s">
        <v>1135</v>
      </c>
      <c r="I3590" t="s">
        <v>243</v>
      </c>
      <c r="J3590" t="s">
        <v>1136</v>
      </c>
    </row>
    <row r="3591" spans="1:10">
      <c r="A3591" s="25" t="s">
        <v>198</v>
      </c>
      <c r="B3591">
        <v>2125</v>
      </c>
      <c r="C3591" t="s">
        <v>189</v>
      </c>
      <c r="D3591">
        <v>9619</v>
      </c>
      <c r="E3591" s="1">
        <v>3.9399999999999998E-2</v>
      </c>
      <c r="F3591" s="1">
        <v>7.6899999999999996E-2</v>
      </c>
      <c r="G3591" s="1">
        <v>0.58209999999999995</v>
      </c>
      <c r="H3591" s="1">
        <v>8.4599999999999995E-2</v>
      </c>
      <c r="I3591" s="1">
        <v>5.9999999999999995E-4</v>
      </c>
      <c r="J3591" s="1">
        <v>0.2165</v>
      </c>
    </row>
    <row r="3592" spans="1:10">
      <c r="A3592" s="25" t="s">
        <v>199</v>
      </c>
      <c r="B3592">
        <v>7494</v>
      </c>
      <c r="C3592" t="s">
        <v>189</v>
      </c>
      <c r="D3592">
        <v>9619</v>
      </c>
      <c r="E3592" s="1">
        <v>2.47E-2</v>
      </c>
      <c r="F3592" s="1">
        <v>4.2799999999999998E-2</v>
      </c>
      <c r="G3592" s="1">
        <v>0.67069999999999996</v>
      </c>
      <c r="H3592" s="1">
        <v>5.6000000000000001E-2</v>
      </c>
      <c r="I3592" s="1">
        <v>1.1999999999999999E-3</v>
      </c>
      <c r="J3592" s="1">
        <v>0.2046</v>
      </c>
    </row>
    <row r="3593" spans="1:10">
      <c r="A3593" s="25" t="s">
        <v>192</v>
      </c>
      <c r="B3593">
        <v>9619</v>
      </c>
      <c r="C3593" t="s">
        <v>192</v>
      </c>
      <c r="D3593">
        <v>9619</v>
      </c>
      <c r="E3593" s="1">
        <v>2.7400000000000001E-2</v>
      </c>
      <c r="F3593" s="1">
        <v>4.9099999999999998E-2</v>
      </c>
      <c r="G3593" s="1">
        <v>0.6542</v>
      </c>
      <c r="H3593" s="1">
        <v>6.13E-2</v>
      </c>
      <c r="I3593" s="1">
        <v>1.1000000000000001E-3</v>
      </c>
      <c r="J3593" s="1">
        <v>0.20680000000000001</v>
      </c>
    </row>
    <row r="3595" spans="1:10" ht="43.5">
      <c r="A3595" s="25" t="s">
        <v>1141</v>
      </c>
    </row>
    <row r="3596" spans="1:10">
      <c r="A3596" s="25" t="s">
        <v>182</v>
      </c>
      <c r="B3596" t="s">
        <v>219</v>
      </c>
      <c r="C3596" t="s">
        <v>181</v>
      </c>
      <c r="D3596" t="s">
        <v>188</v>
      </c>
      <c r="E3596" t="s">
        <v>1133</v>
      </c>
      <c r="F3596" t="s">
        <v>241</v>
      </c>
      <c r="G3596" t="s">
        <v>1134</v>
      </c>
      <c r="H3596" t="s">
        <v>1135</v>
      </c>
      <c r="I3596" t="s">
        <v>243</v>
      </c>
      <c r="J3596" t="s">
        <v>1136</v>
      </c>
    </row>
    <row r="3597" spans="1:10">
      <c r="A3597" s="25" t="s">
        <v>201</v>
      </c>
      <c r="B3597">
        <v>723</v>
      </c>
      <c r="C3597" t="s">
        <v>189</v>
      </c>
      <c r="D3597">
        <v>9619</v>
      </c>
      <c r="E3597" s="1">
        <v>4.1500000000000002E-2</v>
      </c>
      <c r="F3597" s="1">
        <v>8.0399999999999999E-2</v>
      </c>
      <c r="G3597" s="1">
        <v>0.51249999999999996</v>
      </c>
      <c r="H3597" s="1">
        <v>9.98E-2</v>
      </c>
      <c r="I3597" s="1">
        <v>8.0000000000000004E-4</v>
      </c>
      <c r="J3597" s="1">
        <v>0.26500000000000001</v>
      </c>
    </row>
    <row r="3598" spans="1:10">
      <c r="A3598" s="25" t="s">
        <v>202</v>
      </c>
      <c r="B3598">
        <v>103</v>
      </c>
      <c r="C3598" t="s">
        <v>189</v>
      </c>
      <c r="D3598">
        <v>9619</v>
      </c>
      <c r="E3598" s="1">
        <v>0.1792</v>
      </c>
      <c r="F3598" s="1">
        <v>3.3E-3</v>
      </c>
      <c r="G3598" s="1">
        <v>0.38750000000000001</v>
      </c>
      <c r="H3598" s="1">
        <v>0.10639999999999999</v>
      </c>
      <c r="J3598" s="1">
        <v>0.3236</v>
      </c>
    </row>
    <row r="3599" spans="1:10">
      <c r="A3599" s="25" t="s">
        <v>203</v>
      </c>
      <c r="B3599">
        <v>7348</v>
      </c>
      <c r="C3599" t="s">
        <v>189</v>
      </c>
      <c r="D3599">
        <v>9619</v>
      </c>
      <c r="E3599" s="1">
        <v>1.84E-2</v>
      </c>
      <c r="F3599" s="1">
        <v>4.5999999999999999E-2</v>
      </c>
      <c r="G3599" s="1">
        <v>0.69779999999999998</v>
      </c>
      <c r="H3599" s="1">
        <v>4.7600000000000003E-2</v>
      </c>
      <c r="I3599" s="1">
        <v>1E-3</v>
      </c>
      <c r="J3599" s="1">
        <v>0.18920000000000001</v>
      </c>
    </row>
    <row r="3600" spans="1:10">
      <c r="A3600" s="25" t="s">
        <v>204</v>
      </c>
      <c r="B3600">
        <v>26</v>
      </c>
      <c r="C3600" t="s">
        <v>189</v>
      </c>
      <c r="D3600">
        <v>9619</v>
      </c>
      <c r="E3600" s="1">
        <v>4.7899999999999998E-2</v>
      </c>
      <c r="F3600" s="1">
        <v>2.6599999999999999E-2</v>
      </c>
      <c r="G3600" s="1">
        <v>0.63119999999999998</v>
      </c>
      <c r="H3600" s="1">
        <v>8.2299999999999998E-2</v>
      </c>
      <c r="I3600" s="1">
        <v>8.7800000000000003E-2</v>
      </c>
      <c r="J3600" s="1">
        <v>0.1242</v>
      </c>
    </row>
    <row r="3601" spans="1:10">
      <c r="A3601" s="25" t="s">
        <v>205</v>
      </c>
      <c r="B3601">
        <v>1419</v>
      </c>
      <c r="C3601" t="s">
        <v>189</v>
      </c>
      <c r="D3601">
        <v>9619</v>
      </c>
      <c r="E3601" s="1">
        <v>6.3100000000000003E-2</v>
      </c>
      <c r="F3601" s="1">
        <v>5.2699999999999997E-2</v>
      </c>
      <c r="G3601" s="1">
        <v>0.49909999999999999</v>
      </c>
      <c r="H3601" s="1">
        <v>0.1149</v>
      </c>
      <c r="I3601" s="1">
        <v>8.9999999999999998E-4</v>
      </c>
      <c r="J3601" s="1">
        <v>0.26939999999999997</v>
      </c>
    </row>
    <row r="3602" spans="1:10">
      <c r="A3602" s="25" t="s">
        <v>192</v>
      </c>
      <c r="B3602">
        <v>9619</v>
      </c>
      <c r="C3602" t="s">
        <v>192</v>
      </c>
      <c r="D3602">
        <v>9619</v>
      </c>
      <c r="E3602" s="1">
        <v>2.7400000000000001E-2</v>
      </c>
      <c r="F3602" s="1">
        <v>4.9099999999999998E-2</v>
      </c>
      <c r="G3602" s="1">
        <v>0.6542</v>
      </c>
      <c r="H3602" s="1">
        <v>6.13E-2</v>
      </c>
      <c r="I3602" s="1">
        <v>1.1000000000000001E-3</v>
      </c>
      <c r="J3602" s="1">
        <v>0.20680000000000001</v>
      </c>
    </row>
    <row r="3604" spans="1:10" ht="43.5">
      <c r="A3604" s="25" t="s">
        <v>1142</v>
      </c>
    </row>
    <row r="3605" spans="1:10">
      <c r="A3605" s="25" t="s">
        <v>182</v>
      </c>
      <c r="B3605" t="s">
        <v>219</v>
      </c>
      <c r="C3605" t="s">
        <v>181</v>
      </c>
      <c r="D3605" t="s">
        <v>188</v>
      </c>
      <c r="E3605" t="s">
        <v>1133</v>
      </c>
      <c r="F3605" t="s">
        <v>241</v>
      </c>
      <c r="G3605" t="s">
        <v>1134</v>
      </c>
      <c r="H3605" t="s">
        <v>1135</v>
      </c>
      <c r="I3605" t="s">
        <v>243</v>
      </c>
      <c r="J3605" t="s">
        <v>1136</v>
      </c>
    </row>
    <row r="3606" spans="1:10">
      <c r="A3606" s="25" t="s">
        <v>207</v>
      </c>
      <c r="B3606">
        <v>7140</v>
      </c>
      <c r="C3606" t="s">
        <v>189</v>
      </c>
      <c r="D3606">
        <v>9619</v>
      </c>
      <c r="E3606" s="1">
        <v>2.9000000000000001E-2</v>
      </c>
      <c r="F3606" s="1">
        <v>4.65E-2</v>
      </c>
      <c r="G3606" s="1">
        <v>0.65529999999999999</v>
      </c>
      <c r="H3606" s="1">
        <v>5.9900000000000002E-2</v>
      </c>
      <c r="I3606" s="1">
        <v>1.1000000000000001E-3</v>
      </c>
      <c r="J3606" s="1">
        <v>0.20810000000000001</v>
      </c>
    </row>
    <row r="3607" spans="1:10">
      <c r="A3607" s="25" t="s">
        <v>208</v>
      </c>
      <c r="B3607">
        <v>1547</v>
      </c>
      <c r="C3607" t="s">
        <v>189</v>
      </c>
      <c r="D3607">
        <v>9619</v>
      </c>
      <c r="E3607" s="1">
        <v>2.5100000000000001E-2</v>
      </c>
      <c r="F3607" s="1">
        <v>6.9599999999999995E-2</v>
      </c>
      <c r="G3607" s="1">
        <v>0.626</v>
      </c>
      <c r="H3607" s="1">
        <v>7.5499999999999998E-2</v>
      </c>
      <c r="I3607" s="1">
        <v>8.9999999999999998E-4</v>
      </c>
      <c r="J3607" s="1">
        <v>0.20280000000000001</v>
      </c>
    </row>
    <row r="3608" spans="1:10">
      <c r="A3608" s="25" t="s">
        <v>209</v>
      </c>
      <c r="B3608">
        <v>932</v>
      </c>
      <c r="C3608" t="s">
        <v>189</v>
      </c>
      <c r="D3608">
        <v>9619</v>
      </c>
      <c r="E3608" s="1">
        <v>1.77E-2</v>
      </c>
      <c r="F3608" s="1">
        <v>3.2300000000000002E-2</v>
      </c>
      <c r="G3608" s="1">
        <v>0.69979999999999998</v>
      </c>
      <c r="H3608" s="1">
        <v>4.5999999999999999E-2</v>
      </c>
      <c r="I3608" s="1">
        <v>1.4E-3</v>
      </c>
      <c r="J3608" s="1">
        <v>0.2029</v>
      </c>
    </row>
    <row r="3609" spans="1:10">
      <c r="A3609" s="25" t="s">
        <v>192</v>
      </c>
      <c r="B3609">
        <v>9619</v>
      </c>
      <c r="C3609" t="s">
        <v>192</v>
      </c>
      <c r="D3609">
        <v>9619</v>
      </c>
      <c r="E3609" s="1">
        <v>2.7400000000000001E-2</v>
      </c>
      <c r="F3609" s="1">
        <v>4.9099999999999998E-2</v>
      </c>
      <c r="G3609" s="1">
        <v>0.6542</v>
      </c>
      <c r="H3609" s="1">
        <v>6.13E-2</v>
      </c>
      <c r="I3609" s="1">
        <v>1.1000000000000001E-3</v>
      </c>
      <c r="J3609" s="1">
        <v>0.20680000000000001</v>
      </c>
    </row>
    <row r="3611" spans="1:10" ht="43.5">
      <c r="A3611" s="25" t="s">
        <v>1143</v>
      </c>
    </row>
    <row r="3612" spans="1:10">
      <c r="A3612" s="25" t="s">
        <v>182</v>
      </c>
      <c r="B3612" t="s">
        <v>219</v>
      </c>
      <c r="C3612" t="s">
        <v>181</v>
      </c>
      <c r="D3612" t="s">
        <v>188</v>
      </c>
      <c r="E3612" t="s">
        <v>1133</v>
      </c>
      <c r="F3612" t="s">
        <v>241</v>
      </c>
      <c r="G3612" t="s">
        <v>1134</v>
      </c>
      <c r="H3612" t="s">
        <v>1135</v>
      </c>
      <c r="I3612" t="s">
        <v>243</v>
      </c>
      <c r="J3612" t="s">
        <v>1136</v>
      </c>
    </row>
    <row r="3613" spans="1:10">
      <c r="A3613" s="25" t="s">
        <v>211</v>
      </c>
      <c r="B3613">
        <v>4920</v>
      </c>
      <c r="C3613" t="s">
        <v>189</v>
      </c>
      <c r="D3613">
        <v>9619</v>
      </c>
      <c r="E3613" s="1">
        <v>2.69E-2</v>
      </c>
      <c r="F3613" s="1">
        <v>4.6300000000000001E-2</v>
      </c>
      <c r="G3613" s="1">
        <v>0.66520000000000001</v>
      </c>
      <c r="H3613" s="1">
        <v>5.1799999999999999E-2</v>
      </c>
      <c r="I3613" s="1">
        <v>1.1999999999999999E-3</v>
      </c>
      <c r="J3613" s="1">
        <v>0.2087</v>
      </c>
    </row>
    <row r="3614" spans="1:10">
      <c r="A3614" s="25" t="s">
        <v>212</v>
      </c>
      <c r="B3614">
        <v>3366</v>
      </c>
      <c r="C3614" t="s">
        <v>189</v>
      </c>
      <c r="D3614">
        <v>9619</v>
      </c>
      <c r="E3614" s="1">
        <v>2.8799999999999999E-2</v>
      </c>
      <c r="F3614" s="1">
        <v>5.5599999999999997E-2</v>
      </c>
      <c r="G3614" s="1">
        <v>0.62649999999999995</v>
      </c>
      <c r="H3614" s="1">
        <v>7.4300000000000005E-2</v>
      </c>
      <c r="I3614" s="1">
        <v>5.9999999999999995E-4</v>
      </c>
      <c r="J3614" s="1">
        <v>0.21410000000000001</v>
      </c>
    </row>
    <row r="3615" spans="1:10">
      <c r="A3615" s="25" t="s">
        <v>213</v>
      </c>
      <c r="B3615">
        <v>1333</v>
      </c>
      <c r="C3615" t="s">
        <v>189</v>
      </c>
      <c r="D3615">
        <v>9619</v>
      </c>
      <c r="E3615" s="1">
        <v>2.63E-2</v>
      </c>
      <c r="F3615" s="1">
        <v>4.4299999999999999E-2</v>
      </c>
      <c r="G3615" s="1">
        <v>0.67910000000000004</v>
      </c>
      <c r="H3615" s="1">
        <v>6.4100000000000004E-2</v>
      </c>
      <c r="I3615" s="1">
        <v>1.9E-3</v>
      </c>
      <c r="J3615" s="1">
        <v>0.18429999999999999</v>
      </c>
    </row>
    <row r="3616" spans="1:10">
      <c r="A3616" s="25" t="s">
        <v>192</v>
      </c>
      <c r="B3616">
        <v>9619</v>
      </c>
      <c r="C3616" t="s">
        <v>192</v>
      </c>
      <c r="D3616">
        <v>9619</v>
      </c>
      <c r="E3616" s="1">
        <v>2.7400000000000001E-2</v>
      </c>
      <c r="F3616" s="1">
        <v>4.9099999999999998E-2</v>
      </c>
      <c r="G3616" s="1">
        <v>0.6542</v>
      </c>
      <c r="H3616" s="1">
        <v>6.13E-2</v>
      </c>
      <c r="I3616" s="1">
        <v>1.1000000000000001E-3</v>
      </c>
      <c r="J3616" s="1">
        <v>0.20680000000000001</v>
      </c>
    </row>
    <row r="3618" spans="1:18" ht="43.5">
      <c r="A3618" s="25" t="s">
        <v>1144</v>
      </c>
    </row>
    <row r="3619" spans="1:18">
      <c r="A3619" s="25" t="s">
        <v>182</v>
      </c>
      <c r="B3619" t="s">
        <v>219</v>
      </c>
      <c r="C3619" t="s">
        <v>181</v>
      </c>
      <c r="D3619" t="s">
        <v>188</v>
      </c>
      <c r="E3619" t="s">
        <v>1145</v>
      </c>
      <c r="F3619" t="s">
        <v>1146</v>
      </c>
      <c r="G3619" t="s">
        <v>1147</v>
      </c>
      <c r="H3619" t="s">
        <v>579</v>
      </c>
      <c r="I3619" t="s">
        <v>1148</v>
      </c>
      <c r="J3619" t="s">
        <v>1149</v>
      </c>
      <c r="K3619" t="s">
        <v>1150</v>
      </c>
      <c r="L3619" t="s">
        <v>1036</v>
      </c>
      <c r="M3619" t="s">
        <v>1151</v>
      </c>
      <c r="N3619" t="s">
        <v>1152</v>
      </c>
      <c r="O3619" t="s">
        <v>243</v>
      </c>
      <c r="P3619" t="s">
        <v>1153</v>
      </c>
      <c r="Q3619" t="s">
        <v>1154</v>
      </c>
      <c r="R3619" t="s">
        <v>1155</v>
      </c>
    </row>
    <row r="3620" spans="1:18">
      <c r="A3620" s="25" t="s">
        <v>215</v>
      </c>
      <c r="B3620">
        <v>1839</v>
      </c>
      <c r="C3620" t="s">
        <v>189</v>
      </c>
      <c r="D3620">
        <v>5857</v>
      </c>
      <c r="E3620" s="1">
        <v>9.1999999999999998E-3</v>
      </c>
      <c r="F3620" s="1">
        <v>3.0000000000000001E-3</v>
      </c>
      <c r="G3620" s="1">
        <v>5.1000000000000004E-3</v>
      </c>
      <c r="H3620" s="1">
        <v>0.48</v>
      </c>
      <c r="I3620" s="1">
        <v>4.7699999999999999E-2</v>
      </c>
      <c r="J3620" s="1">
        <v>6.08E-2</v>
      </c>
      <c r="K3620" s="1">
        <v>6.54E-2</v>
      </c>
      <c r="L3620" s="1">
        <v>8.6999999999999994E-3</v>
      </c>
      <c r="M3620" s="1">
        <v>0.1333</v>
      </c>
      <c r="N3620" s="1">
        <v>0.3377</v>
      </c>
      <c r="O3620" s="1">
        <v>8.0999999999999996E-3</v>
      </c>
      <c r="P3620" s="1">
        <v>7.2599999999999998E-2</v>
      </c>
      <c r="Q3620" s="1">
        <v>8.0100000000000005E-2</v>
      </c>
      <c r="R3620" s="1">
        <v>0.125</v>
      </c>
    </row>
    <row r="3621" spans="1:18">
      <c r="A3621" s="25" t="s">
        <v>216</v>
      </c>
      <c r="B3621">
        <v>2</v>
      </c>
      <c r="C3621" t="s">
        <v>189</v>
      </c>
      <c r="D3621">
        <v>5857</v>
      </c>
      <c r="E3621" s="1">
        <v>0.34029999999999999</v>
      </c>
      <c r="I3621" s="1">
        <v>0.65969999999999995</v>
      </c>
      <c r="M3621" s="1">
        <v>0.65969999999999995</v>
      </c>
      <c r="P3621" s="1">
        <v>1</v>
      </c>
      <c r="Q3621" s="1">
        <v>0.65969999999999995</v>
      </c>
    </row>
    <row r="3622" spans="1:18">
      <c r="A3622" s="25" t="s">
        <v>217</v>
      </c>
      <c r="B3622">
        <v>4016</v>
      </c>
      <c r="C3622" t="s">
        <v>189</v>
      </c>
      <c r="D3622">
        <v>5857</v>
      </c>
      <c r="E3622" s="1">
        <v>1.15E-2</v>
      </c>
      <c r="F3622" s="1">
        <v>5.4999999999999997E-3</v>
      </c>
      <c r="G3622" s="1">
        <v>6.1000000000000004E-3</v>
      </c>
      <c r="H3622" s="1">
        <v>0.38629999999999998</v>
      </c>
      <c r="I3622" s="1">
        <v>7.2400000000000006E-2</v>
      </c>
      <c r="J3622" s="1">
        <v>7.5999999999999998E-2</v>
      </c>
      <c r="K3622" s="1">
        <v>8.2500000000000004E-2</v>
      </c>
      <c r="L3622" s="1">
        <v>1.0699999999999999E-2</v>
      </c>
      <c r="M3622" s="1">
        <v>0.14099999999999999</v>
      </c>
      <c r="N3622" s="1">
        <v>0.39439999999999997</v>
      </c>
      <c r="O3622" s="1">
        <v>7.9000000000000008E-3</v>
      </c>
      <c r="P3622" s="1">
        <v>8.5400000000000004E-2</v>
      </c>
      <c r="Q3622" s="1">
        <v>7.7100000000000002E-2</v>
      </c>
      <c r="R3622" s="1">
        <v>0.1139</v>
      </c>
    </row>
    <row r="3623" spans="1:18">
      <c r="A3623" s="25" t="s">
        <v>192</v>
      </c>
      <c r="B3623">
        <v>5857</v>
      </c>
      <c r="C3623" t="s">
        <v>192</v>
      </c>
      <c r="D3623">
        <v>5857</v>
      </c>
      <c r="E3623" s="1">
        <v>1.0800000000000001E-2</v>
      </c>
      <c r="F3623" s="1">
        <v>4.7000000000000002E-3</v>
      </c>
      <c r="G3623" s="1">
        <v>5.7000000000000002E-3</v>
      </c>
      <c r="H3623" s="1">
        <v>0.41770000000000002</v>
      </c>
      <c r="I3623" s="1">
        <v>6.4199999999999993E-2</v>
      </c>
      <c r="J3623" s="1">
        <v>7.0900000000000005E-2</v>
      </c>
      <c r="K3623" s="1">
        <v>7.6799999999999993E-2</v>
      </c>
      <c r="L3623" s="1">
        <v>0.01</v>
      </c>
      <c r="M3623" s="1">
        <v>0.13850000000000001</v>
      </c>
      <c r="N3623" s="1">
        <v>0.37530000000000002</v>
      </c>
      <c r="O3623" s="1">
        <v>8.0000000000000002E-3</v>
      </c>
      <c r="P3623" s="1">
        <v>8.1299999999999997E-2</v>
      </c>
      <c r="Q3623" s="1">
        <v>7.8200000000000006E-2</v>
      </c>
      <c r="R3623" s="1">
        <v>0.1176</v>
      </c>
    </row>
    <row r="3625" spans="1:18" ht="43.5">
      <c r="A3625" s="25" t="s">
        <v>1156</v>
      </c>
    </row>
    <row r="3626" spans="1:18">
      <c r="A3626" s="25" t="s">
        <v>182</v>
      </c>
      <c r="B3626" t="s">
        <v>219</v>
      </c>
      <c r="C3626" t="s">
        <v>181</v>
      </c>
      <c r="D3626" t="s">
        <v>188</v>
      </c>
      <c r="E3626" t="s">
        <v>1145</v>
      </c>
      <c r="F3626" t="s">
        <v>1146</v>
      </c>
      <c r="G3626" t="s">
        <v>1147</v>
      </c>
      <c r="H3626" t="s">
        <v>579</v>
      </c>
      <c r="I3626" t="s">
        <v>1148</v>
      </c>
      <c r="J3626" t="s">
        <v>1149</v>
      </c>
      <c r="K3626" t="s">
        <v>1150</v>
      </c>
      <c r="L3626" t="s">
        <v>1036</v>
      </c>
      <c r="M3626" t="s">
        <v>1151</v>
      </c>
      <c r="N3626" t="s">
        <v>1152</v>
      </c>
      <c r="O3626" t="s">
        <v>243</v>
      </c>
      <c r="P3626" t="s">
        <v>1153</v>
      </c>
      <c r="Q3626" t="s">
        <v>1154</v>
      </c>
      <c r="R3626" t="s">
        <v>1155</v>
      </c>
    </row>
    <row r="3627" spans="1:18">
      <c r="A3627" s="25" t="s">
        <v>223</v>
      </c>
      <c r="B3627">
        <v>453</v>
      </c>
      <c r="C3627" t="s">
        <v>189</v>
      </c>
      <c r="D3627">
        <v>5857</v>
      </c>
      <c r="E3627" s="1">
        <v>2.3999999999999998E-3</v>
      </c>
      <c r="F3627" s="1">
        <v>4.8999999999999998E-3</v>
      </c>
      <c r="G3627" s="1">
        <v>1.8E-3</v>
      </c>
      <c r="H3627" s="1">
        <v>0.2838</v>
      </c>
      <c r="I3627" s="1">
        <v>5.8299999999999998E-2</v>
      </c>
      <c r="J3627" s="1">
        <v>0.12620000000000001</v>
      </c>
      <c r="K3627" s="1">
        <v>0.16450000000000001</v>
      </c>
      <c r="L3627" s="1">
        <v>9.4999999999999998E-3</v>
      </c>
      <c r="M3627" s="1">
        <v>0.15049999999999999</v>
      </c>
      <c r="N3627" s="1">
        <v>0.55030000000000001</v>
      </c>
      <c r="O3627" s="1">
        <v>9.4999999999999998E-3</v>
      </c>
      <c r="P3627" s="1">
        <v>3.6700000000000003E-2</v>
      </c>
      <c r="Q3627" s="1">
        <v>7.0900000000000005E-2</v>
      </c>
      <c r="R3627" s="1">
        <v>0.13109999999999999</v>
      </c>
    </row>
    <row r="3628" spans="1:18">
      <c r="A3628" s="25" t="s">
        <v>224</v>
      </c>
      <c r="B3628">
        <v>1713</v>
      </c>
      <c r="C3628" t="s">
        <v>189</v>
      </c>
      <c r="D3628">
        <v>5857</v>
      </c>
      <c r="E3628" s="1">
        <v>1.35E-2</v>
      </c>
      <c r="F3628" s="1">
        <v>6.3E-3</v>
      </c>
      <c r="G3628" s="1">
        <v>7.4999999999999997E-3</v>
      </c>
      <c r="H3628" s="1">
        <v>0.33600000000000002</v>
      </c>
      <c r="I3628" s="1">
        <v>8.5800000000000001E-2</v>
      </c>
      <c r="J3628" s="1">
        <v>9.4500000000000001E-2</v>
      </c>
      <c r="K3628" s="1">
        <v>0.10730000000000001</v>
      </c>
      <c r="L3628" s="1">
        <v>1.3299999999999999E-2</v>
      </c>
      <c r="M3628" s="1">
        <v>0.16270000000000001</v>
      </c>
      <c r="N3628" s="1">
        <v>0.39300000000000002</v>
      </c>
      <c r="O3628" s="1">
        <v>8.3999999999999995E-3</v>
      </c>
      <c r="P3628" s="1">
        <v>9.5500000000000002E-2</v>
      </c>
      <c r="Q3628" s="1">
        <v>0.106</v>
      </c>
      <c r="R3628" s="1">
        <v>0.1512</v>
      </c>
    </row>
    <row r="3629" spans="1:18">
      <c r="A3629" s="25" t="s">
        <v>225</v>
      </c>
      <c r="B3629">
        <v>1601</v>
      </c>
      <c r="C3629" t="s">
        <v>189</v>
      </c>
      <c r="D3629">
        <v>5857</v>
      </c>
      <c r="E3629" s="1">
        <v>1.1299999999999999E-2</v>
      </c>
      <c r="F3629" s="1">
        <v>3.8E-3</v>
      </c>
      <c r="G3629" s="1">
        <v>5.4000000000000003E-3</v>
      </c>
      <c r="H3629" s="1">
        <v>0.4375</v>
      </c>
      <c r="I3629" s="1">
        <v>7.0400000000000004E-2</v>
      </c>
      <c r="J3629" s="1">
        <v>4.9399999999999999E-2</v>
      </c>
      <c r="K3629" s="1">
        <v>6.25E-2</v>
      </c>
      <c r="L3629" s="1">
        <v>1.0999999999999999E-2</v>
      </c>
      <c r="M3629" s="1">
        <v>0.16370000000000001</v>
      </c>
      <c r="N3629" s="1">
        <v>0.3735</v>
      </c>
      <c r="O3629" s="1">
        <v>1.04E-2</v>
      </c>
      <c r="P3629" s="1">
        <v>8.5599999999999996E-2</v>
      </c>
      <c r="Q3629" s="1">
        <v>7.9500000000000001E-2</v>
      </c>
      <c r="R3629" s="1">
        <v>0.1074</v>
      </c>
    </row>
    <row r="3630" spans="1:18">
      <c r="A3630" s="25" t="s">
        <v>226</v>
      </c>
      <c r="B3630">
        <v>2090</v>
      </c>
      <c r="C3630" t="s">
        <v>189</v>
      </c>
      <c r="D3630">
        <v>5857</v>
      </c>
      <c r="E3630" s="1">
        <v>1.1299999999999999E-2</v>
      </c>
      <c r="F3630" s="1">
        <v>3.8999999999999998E-3</v>
      </c>
      <c r="G3630" s="1">
        <v>6.0000000000000001E-3</v>
      </c>
      <c r="H3630" s="1">
        <v>0.51249999999999996</v>
      </c>
      <c r="I3630" s="1">
        <v>4.5400000000000003E-2</v>
      </c>
      <c r="J3630" s="1">
        <v>4.8599999999999997E-2</v>
      </c>
      <c r="K3630" s="1">
        <v>3.32E-2</v>
      </c>
      <c r="L3630" s="1">
        <v>7.0000000000000001E-3</v>
      </c>
      <c r="M3630" s="1">
        <v>9.8599999999999993E-2</v>
      </c>
      <c r="N3630" s="1">
        <v>0.30320000000000003</v>
      </c>
      <c r="O3630" s="1">
        <v>5.4000000000000003E-3</v>
      </c>
      <c r="P3630" s="1">
        <v>8.2600000000000007E-2</v>
      </c>
      <c r="Q3630" s="1">
        <v>5.8599999999999999E-2</v>
      </c>
      <c r="R3630" s="1">
        <v>9.4100000000000003E-2</v>
      </c>
    </row>
    <row r="3631" spans="1:18">
      <c r="A3631" s="25" t="s">
        <v>192</v>
      </c>
      <c r="B3631">
        <v>5857</v>
      </c>
      <c r="C3631" t="s">
        <v>192</v>
      </c>
      <c r="D3631">
        <v>5857</v>
      </c>
      <c r="E3631" s="1">
        <v>1.0800000000000001E-2</v>
      </c>
      <c r="F3631" s="1">
        <v>4.7000000000000002E-3</v>
      </c>
      <c r="G3631" s="1">
        <v>5.7000000000000002E-3</v>
      </c>
      <c r="H3631" s="1">
        <v>0.41770000000000002</v>
      </c>
      <c r="I3631" s="1">
        <v>6.4199999999999993E-2</v>
      </c>
      <c r="J3631" s="1">
        <v>7.0900000000000005E-2</v>
      </c>
      <c r="K3631" s="1">
        <v>7.6799999999999993E-2</v>
      </c>
      <c r="L3631" s="1">
        <v>0.01</v>
      </c>
      <c r="M3631" s="1">
        <v>0.13850000000000001</v>
      </c>
      <c r="N3631" s="1">
        <v>0.37530000000000002</v>
      </c>
      <c r="O3631" s="1">
        <v>8.0000000000000002E-3</v>
      </c>
      <c r="P3631" s="1">
        <v>8.1299999999999997E-2</v>
      </c>
      <c r="Q3631" s="1">
        <v>7.8200000000000006E-2</v>
      </c>
      <c r="R3631" s="1">
        <v>0.1176</v>
      </c>
    </row>
    <row r="3633" spans="1:18" ht="43.5">
      <c r="A3633" s="25" t="s">
        <v>1157</v>
      </c>
    </row>
    <row r="3634" spans="1:18">
      <c r="A3634" s="25" t="s">
        <v>182</v>
      </c>
      <c r="B3634" t="s">
        <v>219</v>
      </c>
      <c r="C3634" t="s">
        <v>181</v>
      </c>
      <c r="D3634" t="s">
        <v>188</v>
      </c>
      <c r="E3634" t="s">
        <v>1145</v>
      </c>
      <c r="F3634" t="s">
        <v>1146</v>
      </c>
      <c r="G3634" t="s">
        <v>1147</v>
      </c>
      <c r="H3634" t="s">
        <v>579</v>
      </c>
      <c r="I3634" t="s">
        <v>1148</v>
      </c>
      <c r="J3634" t="s">
        <v>1149</v>
      </c>
      <c r="K3634" t="s">
        <v>1150</v>
      </c>
      <c r="L3634" t="s">
        <v>1036</v>
      </c>
      <c r="M3634" t="s">
        <v>1151</v>
      </c>
      <c r="N3634" t="s">
        <v>1152</v>
      </c>
      <c r="O3634" t="s">
        <v>243</v>
      </c>
      <c r="P3634" t="s">
        <v>1153</v>
      </c>
      <c r="Q3634" t="s">
        <v>1154</v>
      </c>
      <c r="R3634" t="s">
        <v>1155</v>
      </c>
    </row>
    <row r="3635" spans="1:18">
      <c r="A3635" s="25" t="s">
        <v>190</v>
      </c>
      <c r="B3635">
        <v>2222</v>
      </c>
      <c r="C3635" t="s">
        <v>189</v>
      </c>
      <c r="D3635">
        <v>5857</v>
      </c>
      <c r="E3635" s="1">
        <v>1.0500000000000001E-2</v>
      </c>
      <c r="F3635" s="1">
        <v>2.8999999999999998E-3</v>
      </c>
      <c r="G3635" s="1">
        <v>4.7999999999999996E-3</v>
      </c>
      <c r="H3635" s="1">
        <v>0.57730000000000004</v>
      </c>
      <c r="I3635" s="1">
        <v>2.07E-2</v>
      </c>
      <c r="J3635" s="1">
        <v>3.1800000000000002E-2</v>
      </c>
      <c r="K3635" s="1">
        <v>9.7999999999999997E-3</v>
      </c>
      <c r="L3635" s="1">
        <v>7.9000000000000008E-3</v>
      </c>
      <c r="M3635" s="1">
        <v>7.3400000000000007E-2</v>
      </c>
      <c r="N3635" s="1">
        <v>0.29160000000000003</v>
      </c>
      <c r="O3635" s="1">
        <v>1.17E-2</v>
      </c>
      <c r="P3635" s="1">
        <v>4.8099999999999997E-2</v>
      </c>
      <c r="Q3635" s="1">
        <v>3.4099999999999998E-2</v>
      </c>
      <c r="R3635" s="1">
        <v>6.0900000000000003E-2</v>
      </c>
    </row>
    <row r="3636" spans="1:18">
      <c r="A3636" s="25" t="s">
        <v>191</v>
      </c>
      <c r="B3636">
        <v>3590</v>
      </c>
      <c r="C3636" t="s">
        <v>189</v>
      </c>
      <c r="D3636">
        <v>5857</v>
      </c>
      <c r="E3636" s="1">
        <v>1.09E-2</v>
      </c>
      <c r="F3636" s="1">
        <v>5.4000000000000003E-3</v>
      </c>
      <c r="G3636" s="1">
        <v>6.1000000000000004E-3</v>
      </c>
      <c r="H3636" s="1">
        <v>0.35310000000000002</v>
      </c>
      <c r="I3636" s="1">
        <v>8.1600000000000006E-2</v>
      </c>
      <c r="J3636" s="1">
        <v>8.6699999999999999E-2</v>
      </c>
      <c r="K3636" s="1">
        <v>0.1038</v>
      </c>
      <c r="L3636" s="1">
        <v>1.09E-2</v>
      </c>
      <c r="M3636" s="1">
        <v>0.16470000000000001</v>
      </c>
      <c r="N3636" s="1">
        <v>0.40970000000000001</v>
      </c>
      <c r="O3636" s="1">
        <v>6.4999999999999997E-3</v>
      </c>
      <c r="P3636" s="1">
        <v>9.4299999999999995E-2</v>
      </c>
      <c r="Q3636" s="1">
        <v>9.6100000000000005E-2</v>
      </c>
      <c r="R3636" s="1">
        <v>0.14050000000000001</v>
      </c>
    </row>
    <row r="3637" spans="1:18">
      <c r="A3637" s="25" t="s">
        <v>192</v>
      </c>
      <c r="B3637">
        <v>5857</v>
      </c>
      <c r="C3637" t="s">
        <v>192</v>
      </c>
      <c r="D3637">
        <v>5857</v>
      </c>
      <c r="E3637" s="1">
        <v>1.0800000000000001E-2</v>
      </c>
      <c r="F3637" s="1">
        <v>4.7000000000000002E-3</v>
      </c>
      <c r="G3637" s="1">
        <v>5.7000000000000002E-3</v>
      </c>
      <c r="H3637" s="1">
        <v>0.41770000000000002</v>
      </c>
      <c r="I3637" s="1">
        <v>6.4199999999999993E-2</v>
      </c>
      <c r="J3637" s="1">
        <v>7.0900000000000005E-2</v>
      </c>
      <c r="K3637" s="1">
        <v>7.6799999999999993E-2</v>
      </c>
      <c r="L3637" s="1">
        <v>0.01</v>
      </c>
      <c r="M3637" s="1">
        <v>0.13850000000000001</v>
      </c>
      <c r="N3637" s="1">
        <v>0.37530000000000002</v>
      </c>
      <c r="O3637" s="1">
        <v>8.0000000000000002E-3</v>
      </c>
      <c r="P3637" s="1">
        <v>8.1299999999999997E-2</v>
      </c>
      <c r="Q3637" s="1">
        <v>7.8200000000000006E-2</v>
      </c>
      <c r="R3637" s="1">
        <v>0.1176</v>
      </c>
    </row>
    <row r="3639" spans="1:18" ht="43.5">
      <c r="A3639" s="25" t="s">
        <v>1158</v>
      </c>
    </row>
    <row r="3640" spans="1:18">
      <c r="A3640" s="25" t="s">
        <v>182</v>
      </c>
      <c r="B3640" t="s">
        <v>219</v>
      </c>
      <c r="C3640" t="s">
        <v>181</v>
      </c>
      <c r="D3640" t="s">
        <v>188</v>
      </c>
      <c r="E3640" t="s">
        <v>1145</v>
      </c>
      <c r="F3640" t="s">
        <v>1146</v>
      </c>
      <c r="G3640" t="s">
        <v>1147</v>
      </c>
      <c r="H3640" t="s">
        <v>579</v>
      </c>
      <c r="I3640" t="s">
        <v>1148</v>
      </c>
      <c r="J3640" t="s">
        <v>1149</v>
      </c>
      <c r="K3640" t="s">
        <v>1150</v>
      </c>
      <c r="L3640" t="s">
        <v>1036</v>
      </c>
      <c r="M3640" t="s">
        <v>1151</v>
      </c>
      <c r="N3640" t="s">
        <v>1152</v>
      </c>
      <c r="O3640" t="s">
        <v>243</v>
      </c>
      <c r="P3640" t="s">
        <v>1153</v>
      </c>
      <c r="Q3640" t="s">
        <v>1154</v>
      </c>
      <c r="R3640" t="s">
        <v>1155</v>
      </c>
    </row>
    <row r="3641" spans="1:18" ht="29.1">
      <c r="A3641" s="25" t="s">
        <v>194</v>
      </c>
      <c r="B3641">
        <v>2541</v>
      </c>
      <c r="C3641" t="s">
        <v>189</v>
      </c>
      <c r="D3641">
        <v>5857</v>
      </c>
      <c r="E3641" s="1">
        <v>2.9999999999999997E-4</v>
      </c>
      <c r="F3641" s="1">
        <v>1.1999999999999999E-3</v>
      </c>
      <c r="G3641" s="1">
        <v>8.0000000000000004E-4</v>
      </c>
      <c r="H3641" s="1">
        <v>0.45390000000000003</v>
      </c>
      <c r="I3641" s="1">
        <v>2.4E-2</v>
      </c>
      <c r="J3641" s="1">
        <v>7.7100000000000002E-2</v>
      </c>
      <c r="K3641" s="1">
        <v>8.2400000000000001E-2</v>
      </c>
      <c r="L3641" s="1">
        <v>4.4999999999999997E-3</v>
      </c>
      <c r="M3641" s="1">
        <v>0.10780000000000001</v>
      </c>
      <c r="N3641" s="1">
        <v>0.40770000000000001</v>
      </c>
      <c r="O3641" s="1">
        <v>8.3000000000000001E-3</v>
      </c>
      <c r="P3641" s="1">
        <v>3.1699999999999999E-2</v>
      </c>
      <c r="Q3641" s="1">
        <v>5.8999999999999997E-2</v>
      </c>
      <c r="R3641" s="1">
        <v>7.1999999999999995E-2</v>
      </c>
    </row>
    <row r="3642" spans="1:18" ht="29.1">
      <c r="A3642" s="25" t="s">
        <v>195</v>
      </c>
      <c r="B3642">
        <v>1843</v>
      </c>
      <c r="C3642" t="s">
        <v>189</v>
      </c>
      <c r="D3642">
        <v>5857</v>
      </c>
      <c r="E3642" s="1">
        <v>1.15E-2</v>
      </c>
      <c r="F3642" s="1">
        <v>1.4E-3</v>
      </c>
      <c r="G3642" s="1">
        <v>2E-3</v>
      </c>
      <c r="H3642" s="1">
        <v>0.39190000000000003</v>
      </c>
      <c r="I3642" s="1">
        <v>8.9899999999999994E-2</v>
      </c>
      <c r="J3642" s="1">
        <v>6.5699999999999995E-2</v>
      </c>
      <c r="K3642" s="1">
        <v>6.8599999999999994E-2</v>
      </c>
      <c r="L3642" s="1">
        <v>1.09E-2</v>
      </c>
      <c r="M3642" s="1">
        <v>0.1303</v>
      </c>
      <c r="N3642" s="1">
        <v>0.39979999999999999</v>
      </c>
      <c r="O3642" s="1">
        <v>8.6E-3</v>
      </c>
      <c r="P3642" s="1">
        <v>9.3899999999999997E-2</v>
      </c>
      <c r="Q3642" s="1">
        <v>0.10199999999999999</v>
      </c>
      <c r="R3642" s="1">
        <v>0.1583</v>
      </c>
    </row>
    <row r="3643" spans="1:18" ht="29.1">
      <c r="A3643" s="25" t="s">
        <v>196</v>
      </c>
      <c r="B3643">
        <v>1428</v>
      </c>
      <c r="C3643" t="s">
        <v>189</v>
      </c>
      <c r="D3643">
        <v>5857</v>
      </c>
      <c r="E3643" s="1">
        <v>4.6300000000000001E-2</v>
      </c>
      <c r="F3643" s="1">
        <v>2.2100000000000002E-2</v>
      </c>
      <c r="G3643" s="1">
        <v>2.92E-2</v>
      </c>
      <c r="H3643" s="1">
        <v>0.33090000000000003</v>
      </c>
      <c r="I3643" s="1">
        <v>0.16259999999999999</v>
      </c>
      <c r="J3643" s="1">
        <v>5.8099999999999999E-2</v>
      </c>
      <c r="K3643" s="1">
        <v>7.1099999999999997E-2</v>
      </c>
      <c r="L3643" s="1">
        <v>2.7900000000000001E-2</v>
      </c>
      <c r="M3643" s="1">
        <v>0.25979999999999998</v>
      </c>
      <c r="N3643" s="1">
        <v>0.22420000000000001</v>
      </c>
      <c r="O3643" s="1">
        <v>5.5999999999999999E-3</v>
      </c>
      <c r="P3643" s="1">
        <v>0.2336</v>
      </c>
      <c r="Q3643" s="1">
        <v>0.1077</v>
      </c>
      <c r="R3643" s="1">
        <v>0.21160000000000001</v>
      </c>
    </row>
    <row r="3644" spans="1:18">
      <c r="A3644" s="25" t="s">
        <v>192</v>
      </c>
      <c r="B3644">
        <v>5857</v>
      </c>
      <c r="C3644" t="s">
        <v>192</v>
      </c>
      <c r="D3644">
        <v>5857</v>
      </c>
      <c r="E3644" s="1">
        <v>1.0800000000000001E-2</v>
      </c>
      <c r="F3644" s="1">
        <v>4.7000000000000002E-3</v>
      </c>
      <c r="G3644" s="1">
        <v>5.7000000000000002E-3</v>
      </c>
      <c r="H3644" s="1">
        <v>0.41770000000000002</v>
      </c>
      <c r="I3644" s="1">
        <v>6.4199999999999993E-2</v>
      </c>
      <c r="J3644" s="1">
        <v>7.0900000000000005E-2</v>
      </c>
      <c r="K3644" s="1">
        <v>7.6799999999999993E-2</v>
      </c>
      <c r="L3644" s="1">
        <v>0.01</v>
      </c>
      <c r="M3644" s="1">
        <v>0.13850000000000001</v>
      </c>
      <c r="N3644" s="1">
        <v>0.37530000000000002</v>
      </c>
      <c r="O3644" s="1">
        <v>8.0000000000000002E-3</v>
      </c>
      <c r="P3644" s="1">
        <v>8.1299999999999997E-2</v>
      </c>
      <c r="Q3644" s="1">
        <v>7.8200000000000006E-2</v>
      </c>
      <c r="R3644" s="1">
        <v>0.1176</v>
      </c>
    </row>
    <row r="3646" spans="1:18" ht="43.5">
      <c r="A3646" s="25" t="s">
        <v>1159</v>
      </c>
    </row>
    <row r="3647" spans="1:18">
      <c r="A3647" s="25" t="s">
        <v>182</v>
      </c>
      <c r="B3647" t="s">
        <v>219</v>
      </c>
      <c r="C3647" t="s">
        <v>181</v>
      </c>
      <c r="D3647" t="s">
        <v>188</v>
      </c>
      <c r="E3647" t="s">
        <v>1145</v>
      </c>
      <c r="F3647" t="s">
        <v>1146</v>
      </c>
      <c r="G3647" t="s">
        <v>1147</v>
      </c>
      <c r="H3647" t="s">
        <v>579</v>
      </c>
      <c r="I3647" t="s">
        <v>1148</v>
      </c>
      <c r="J3647" t="s">
        <v>1149</v>
      </c>
      <c r="K3647" t="s">
        <v>1150</v>
      </c>
      <c r="L3647" t="s">
        <v>1036</v>
      </c>
      <c r="M3647" t="s">
        <v>1151</v>
      </c>
      <c r="N3647" t="s">
        <v>1152</v>
      </c>
      <c r="O3647" t="s">
        <v>243</v>
      </c>
      <c r="P3647" t="s">
        <v>1153</v>
      </c>
      <c r="Q3647" t="s">
        <v>1154</v>
      </c>
      <c r="R3647" t="s">
        <v>1155</v>
      </c>
    </row>
    <row r="3648" spans="1:18">
      <c r="A3648" s="25" t="s">
        <v>198</v>
      </c>
      <c r="B3648">
        <v>1406</v>
      </c>
      <c r="C3648" t="s">
        <v>189</v>
      </c>
      <c r="D3648">
        <v>5857</v>
      </c>
      <c r="E3648" s="1">
        <v>1.8700000000000001E-2</v>
      </c>
      <c r="F3648" s="1">
        <v>5.1000000000000004E-3</v>
      </c>
      <c r="G3648" s="1">
        <v>6.3E-3</v>
      </c>
      <c r="H3648" s="1">
        <v>0.47389999999999999</v>
      </c>
      <c r="I3648" s="1">
        <v>6.3E-2</v>
      </c>
      <c r="J3648" s="1">
        <v>5.3900000000000003E-2</v>
      </c>
      <c r="K3648" s="1">
        <v>5.1400000000000001E-2</v>
      </c>
      <c r="L3648" s="1">
        <v>1.38E-2</v>
      </c>
      <c r="M3648" s="1">
        <v>0.14360000000000001</v>
      </c>
      <c r="N3648" s="1">
        <v>0.33600000000000002</v>
      </c>
      <c r="O3648" s="1">
        <v>1.6999999999999999E-3</v>
      </c>
      <c r="P3648" s="1">
        <v>7.2400000000000006E-2</v>
      </c>
      <c r="Q3648" s="1">
        <v>7.0699999999999999E-2</v>
      </c>
      <c r="R3648" s="1">
        <v>8.4199999999999997E-2</v>
      </c>
    </row>
    <row r="3649" spans="1:18">
      <c r="A3649" s="25" t="s">
        <v>199</v>
      </c>
      <c r="B3649">
        <v>4451</v>
      </c>
      <c r="C3649" t="s">
        <v>189</v>
      </c>
      <c r="D3649">
        <v>5857</v>
      </c>
      <c r="E3649" s="1">
        <v>8.6999999999999994E-3</v>
      </c>
      <c r="F3649" s="1">
        <v>4.5999999999999999E-3</v>
      </c>
      <c r="G3649" s="1">
        <v>5.5999999999999999E-3</v>
      </c>
      <c r="H3649" s="1">
        <v>0.4027</v>
      </c>
      <c r="I3649" s="1">
        <v>6.4500000000000002E-2</v>
      </c>
      <c r="J3649" s="1">
        <v>7.5399999999999995E-2</v>
      </c>
      <c r="K3649" s="1">
        <v>8.3500000000000005E-2</v>
      </c>
      <c r="L3649" s="1">
        <v>8.9999999999999993E-3</v>
      </c>
      <c r="M3649" s="1">
        <v>0.1371</v>
      </c>
      <c r="N3649" s="1">
        <v>0.38569999999999999</v>
      </c>
      <c r="O3649" s="1">
        <v>9.5999999999999992E-3</v>
      </c>
      <c r="P3649" s="1">
        <v>8.3599999999999994E-2</v>
      </c>
      <c r="Q3649" s="1">
        <v>8.0299999999999996E-2</v>
      </c>
      <c r="R3649" s="1">
        <v>0.1265</v>
      </c>
    </row>
    <row r="3650" spans="1:18">
      <c r="A3650" s="25" t="s">
        <v>192</v>
      </c>
      <c r="B3650">
        <v>5857</v>
      </c>
      <c r="C3650" t="s">
        <v>192</v>
      </c>
      <c r="D3650">
        <v>5857</v>
      </c>
      <c r="E3650" s="1">
        <v>1.0800000000000001E-2</v>
      </c>
      <c r="F3650" s="1">
        <v>4.7000000000000002E-3</v>
      </c>
      <c r="G3650" s="1">
        <v>5.7000000000000002E-3</v>
      </c>
      <c r="H3650" s="1">
        <v>0.41770000000000002</v>
      </c>
      <c r="I3650" s="1">
        <v>6.4199999999999993E-2</v>
      </c>
      <c r="J3650" s="1">
        <v>7.0900000000000005E-2</v>
      </c>
      <c r="K3650" s="1">
        <v>7.6799999999999993E-2</v>
      </c>
      <c r="L3650" s="1">
        <v>0.01</v>
      </c>
      <c r="M3650" s="1">
        <v>0.13850000000000001</v>
      </c>
      <c r="N3650" s="1">
        <v>0.37530000000000002</v>
      </c>
      <c r="O3650" s="1">
        <v>8.0000000000000002E-3</v>
      </c>
      <c r="P3650" s="1">
        <v>8.1299999999999997E-2</v>
      </c>
      <c r="Q3650" s="1">
        <v>7.8200000000000006E-2</v>
      </c>
      <c r="R3650" s="1">
        <v>0.1176</v>
      </c>
    </row>
    <row r="3652" spans="1:18" ht="43.5">
      <c r="A3652" s="25" t="s">
        <v>1160</v>
      </c>
    </row>
    <row r="3653" spans="1:18">
      <c r="A3653" s="25" t="s">
        <v>182</v>
      </c>
      <c r="B3653" t="s">
        <v>219</v>
      </c>
      <c r="C3653" t="s">
        <v>181</v>
      </c>
      <c r="D3653" t="s">
        <v>188</v>
      </c>
      <c r="E3653" t="s">
        <v>1145</v>
      </c>
      <c r="F3653" t="s">
        <v>1146</v>
      </c>
      <c r="G3653" t="s">
        <v>1147</v>
      </c>
      <c r="H3653" t="s">
        <v>579</v>
      </c>
      <c r="I3653" t="s">
        <v>1148</v>
      </c>
      <c r="J3653" t="s">
        <v>1149</v>
      </c>
      <c r="K3653" t="s">
        <v>1150</v>
      </c>
      <c r="L3653" t="s">
        <v>1036</v>
      </c>
      <c r="M3653" t="s">
        <v>1151</v>
      </c>
      <c r="N3653" t="s">
        <v>1152</v>
      </c>
      <c r="O3653" t="s">
        <v>243</v>
      </c>
      <c r="P3653" t="s">
        <v>1153</v>
      </c>
      <c r="Q3653" t="s">
        <v>1154</v>
      </c>
      <c r="R3653" t="s">
        <v>1155</v>
      </c>
    </row>
    <row r="3654" spans="1:18">
      <c r="A3654" s="25" t="s">
        <v>201</v>
      </c>
      <c r="B3654">
        <v>508</v>
      </c>
      <c r="C3654" t="s">
        <v>189</v>
      </c>
      <c r="D3654">
        <v>5857</v>
      </c>
      <c r="E3654" s="1">
        <v>1.43E-2</v>
      </c>
      <c r="F3654" s="1">
        <v>5.7000000000000002E-3</v>
      </c>
      <c r="G3654" s="1">
        <v>6.1999999999999998E-3</v>
      </c>
      <c r="H3654" s="1">
        <v>0.38300000000000001</v>
      </c>
      <c r="I3654" s="1">
        <v>7.0599999999999996E-2</v>
      </c>
      <c r="J3654" s="1">
        <v>7.0699999999999999E-2</v>
      </c>
      <c r="K3654" s="1">
        <v>0.12790000000000001</v>
      </c>
      <c r="L3654" s="1">
        <v>2.3699999999999999E-2</v>
      </c>
      <c r="M3654" s="1">
        <v>0.16800000000000001</v>
      </c>
      <c r="N3654" s="1">
        <v>0.33960000000000001</v>
      </c>
      <c r="O3654" s="1">
        <v>1.2699999999999999E-2</v>
      </c>
      <c r="P3654" s="1">
        <v>0.1007</v>
      </c>
      <c r="Q3654" s="1">
        <v>9.1300000000000006E-2</v>
      </c>
      <c r="R3654" s="1">
        <v>0.15920000000000001</v>
      </c>
    </row>
    <row r="3655" spans="1:18">
      <c r="A3655" s="25" t="s">
        <v>202</v>
      </c>
      <c r="B3655">
        <v>93</v>
      </c>
      <c r="C3655" t="s">
        <v>189</v>
      </c>
      <c r="D3655">
        <v>5857</v>
      </c>
      <c r="E3655" s="1">
        <v>5.33E-2</v>
      </c>
      <c r="F3655" s="1">
        <v>2.0400000000000001E-2</v>
      </c>
      <c r="G3655" s="1">
        <v>3.27E-2</v>
      </c>
      <c r="H3655" s="1">
        <v>0.4647</v>
      </c>
      <c r="I3655" s="1">
        <v>9.1700000000000004E-2</v>
      </c>
      <c r="J3655" s="1">
        <v>5.3100000000000001E-2</v>
      </c>
      <c r="K3655" s="1">
        <v>2.3800000000000002E-2</v>
      </c>
      <c r="L3655" s="1">
        <v>3.3399999999999999E-2</v>
      </c>
      <c r="M3655" s="1">
        <v>0.23619999999999999</v>
      </c>
      <c r="N3655" s="1">
        <v>0.22550000000000001</v>
      </c>
      <c r="P3655" s="1">
        <v>0.16450000000000001</v>
      </c>
      <c r="Q3655" s="1">
        <v>8.0799999999999997E-2</v>
      </c>
      <c r="R3655" s="1">
        <v>0.11940000000000001</v>
      </c>
    </row>
    <row r="3656" spans="1:18">
      <c r="A3656" s="25" t="s">
        <v>203</v>
      </c>
      <c r="B3656">
        <v>4184</v>
      </c>
      <c r="C3656" t="s">
        <v>189</v>
      </c>
      <c r="D3656">
        <v>5857</v>
      </c>
      <c r="E3656" s="1">
        <v>8.8000000000000005E-3</v>
      </c>
      <c r="F3656" s="1">
        <v>3.8999999999999998E-3</v>
      </c>
      <c r="G3656" s="1">
        <v>4.5999999999999999E-3</v>
      </c>
      <c r="H3656" s="1">
        <v>0.45129999999999998</v>
      </c>
      <c r="I3656" s="1">
        <v>5.0900000000000001E-2</v>
      </c>
      <c r="J3656" s="1">
        <v>5.8000000000000003E-2</v>
      </c>
      <c r="K3656" s="1">
        <v>5.57E-2</v>
      </c>
      <c r="L3656" s="1">
        <v>5.8999999999999999E-3</v>
      </c>
      <c r="M3656" s="1">
        <v>0.11609999999999999</v>
      </c>
      <c r="N3656" s="1">
        <v>0.38090000000000002</v>
      </c>
      <c r="O3656" s="1">
        <v>7.4999999999999997E-3</v>
      </c>
      <c r="P3656" s="1">
        <v>6.9199999999999998E-2</v>
      </c>
      <c r="Q3656" s="1">
        <v>7.2400000000000006E-2</v>
      </c>
      <c r="R3656" s="1">
        <v>9.5500000000000002E-2</v>
      </c>
    </row>
    <row r="3657" spans="1:18">
      <c r="A3657" s="25" t="s">
        <v>204</v>
      </c>
      <c r="B3657">
        <v>16</v>
      </c>
      <c r="C3657" t="s">
        <v>189</v>
      </c>
      <c r="D3657">
        <v>5857</v>
      </c>
      <c r="E3657" s="1">
        <v>5.0700000000000002E-2</v>
      </c>
      <c r="H3657" s="1">
        <v>0.56069999999999998</v>
      </c>
      <c r="I3657" s="1">
        <v>5.0700000000000002E-2</v>
      </c>
      <c r="L3657" s="1">
        <v>4.8099999999999997E-2</v>
      </c>
      <c r="M3657" s="1">
        <v>4.8099999999999997E-2</v>
      </c>
      <c r="N3657" s="1">
        <v>0.16320000000000001</v>
      </c>
      <c r="O3657" s="1">
        <v>5.2499999999999998E-2</v>
      </c>
      <c r="P3657" s="1">
        <v>0.18129999999999999</v>
      </c>
      <c r="Q3657" s="1">
        <v>5.0700000000000002E-2</v>
      </c>
      <c r="R3657" s="1">
        <v>0.1573</v>
      </c>
    </row>
    <row r="3658" spans="1:18">
      <c r="A3658" s="25" t="s">
        <v>205</v>
      </c>
      <c r="B3658">
        <v>1056</v>
      </c>
      <c r="C3658" t="s">
        <v>189</v>
      </c>
      <c r="D3658">
        <v>5857</v>
      </c>
      <c r="E3658" s="1">
        <v>1.55E-2</v>
      </c>
      <c r="F3658" s="1">
        <v>6.6E-3</v>
      </c>
      <c r="G3658" s="1">
        <v>8.9999999999999993E-3</v>
      </c>
      <c r="H3658" s="1">
        <v>0.28160000000000002</v>
      </c>
      <c r="I3658" s="1">
        <v>0.1191</v>
      </c>
      <c r="J3658" s="1">
        <v>0.13020000000000001</v>
      </c>
      <c r="K3658" s="1">
        <v>0.14849999999999999</v>
      </c>
      <c r="L3658" s="1">
        <v>2.01E-2</v>
      </c>
      <c r="M3658" s="1">
        <v>0.21870000000000001</v>
      </c>
      <c r="N3658" s="1">
        <v>0.37740000000000001</v>
      </c>
      <c r="O3658" s="1">
        <v>7.9000000000000008E-3</v>
      </c>
      <c r="P3658" s="1">
        <v>0.1203</v>
      </c>
      <c r="Q3658" s="1">
        <v>9.7900000000000001E-2</v>
      </c>
      <c r="R3658" s="1">
        <v>0.19520000000000001</v>
      </c>
    </row>
    <row r="3659" spans="1:18">
      <c r="A3659" s="25" t="s">
        <v>192</v>
      </c>
      <c r="B3659">
        <v>5857</v>
      </c>
      <c r="C3659" t="s">
        <v>192</v>
      </c>
      <c r="D3659">
        <v>5857</v>
      </c>
      <c r="E3659" s="1">
        <v>1.0800000000000001E-2</v>
      </c>
      <c r="F3659" s="1">
        <v>4.7000000000000002E-3</v>
      </c>
      <c r="G3659" s="1">
        <v>5.7000000000000002E-3</v>
      </c>
      <c r="H3659" s="1">
        <v>0.41770000000000002</v>
      </c>
      <c r="I3659" s="1">
        <v>6.4199999999999993E-2</v>
      </c>
      <c r="J3659" s="1">
        <v>7.0900000000000005E-2</v>
      </c>
      <c r="K3659" s="1">
        <v>7.6799999999999993E-2</v>
      </c>
      <c r="L3659" s="1">
        <v>0.01</v>
      </c>
      <c r="M3659" s="1">
        <v>0.13850000000000001</v>
      </c>
      <c r="N3659" s="1">
        <v>0.37530000000000002</v>
      </c>
      <c r="O3659" s="1">
        <v>8.0000000000000002E-3</v>
      </c>
      <c r="P3659" s="1">
        <v>8.1299999999999997E-2</v>
      </c>
      <c r="Q3659" s="1">
        <v>7.8200000000000006E-2</v>
      </c>
      <c r="R3659" s="1">
        <v>0.1176</v>
      </c>
    </row>
    <row r="3661" spans="1:18" ht="43.5">
      <c r="A3661" s="25" t="s">
        <v>1161</v>
      </c>
    </row>
    <row r="3662" spans="1:18">
      <c r="A3662" s="25" t="s">
        <v>182</v>
      </c>
      <c r="B3662" t="s">
        <v>219</v>
      </c>
      <c r="C3662" t="s">
        <v>181</v>
      </c>
      <c r="D3662" t="s">
        <v>188</v>
      </c>
      <c r="E3662" t="s">
        <v>1145</v>
      </c>
      <c r="F3662" t="s">
        <v>1146</v>
      </c>
      <c r="G3662" t="s">
        <v>1147</v>
      </c>
      <c r="H3662" t="s">
        <v>579</v>
      </c>
      <c r="I3662" t="s">
        <v>1148</v>
      </c>
      <c r="J3662" t="s">
        <v>1149</v>
      </c>
      <c r="K3662" t="s">
        <v>1150</v>
      </c>
      <c r="L3662" t="s">
        <v>1036</v>
      </c>
      <c r="M3662" t="s">
        <v>1151</v>
      </c>
      <c r="N3662" t="s">
        <v>1152</v>
      </c>
      <c r="O3662" t="s">
        <v>243</v>
      </c>
      <c r="P3662" t="s">
        <v>1153</v>
      </c>
      <c r="Q3662" t="s">
        <v>1154</v>
      </c>
      <c r="R3662" t="s">
        <v>1155</v>
      </c>
    </row>
    <row r="3663" spans="1:18">
      <c r="A3663" s="25" t="s">
        <v>207</v>
      </c>
      <c r="B3663">
        <v>4034</v>
      </c>
      <c r="C3663" t="s">
        <v>189</v>
      </c>
      <c r="D3663">
        <v>5857</v>
      </c>
      <c r="E3663" s="1">
        <v>1.2200000000000001E-2</v>
      </c>
      <c r="F3663" s="1">
        <v>5.5999999999999999E-3</v>
      </c>
      <c r="G3663" s="1">
        <v>6.7000000000000002E-3</v>
      </c>
      <c r="H3663" s="1">
        <v>0.38169999999999998</v>
      </c>
      <c r="I3663" s="1">
        <v>7.3800000000000004E-2</v>
      </c>
      <c r="J3663" s="1">
        <v>7.5700000000000003E-2</v>
      </c>
      <c r="K3663" s="1">
        <v>8.2699999999999996E-2</v>
      </c>
      <c r="L3663" s="1">
        <v>1.15E-2</v>
      </c>
      <c r="M3663" s="1">
        <v>0.155</v>
      </c>
      <c r="N3663" s="1">
        <v>0.38979999999999998</v>
      </c>
      <c r="O3663" s="1">
        <v>7.1000000000000004E-3</v>
      </c>
      <c r="P3663" s="1">
        <v>9.3700000000000006E-2</v>
      </c>
      <c r="Q3663" s="1">
        <v>8.6300000000000002E-2</v>
      </c>
      <c r="R3663" s="1">
        <v>0.1338</v>
      </c>
    </row>
    <row r="3664" spans="1:18">
      <c r="A3664" s="25" t="s">
        <v>208</v>
      </c>
      <c r="B3664">
        <v>1335</v>
      </c>
      <c r="C3664" t="s">
        <v>189</v>
      </c>
      <c r="D3664">
        <v>5857</v>
      </c>
      <c r="E3664" s="1">
        <v>7.0000000000000001E-3</v>
      </c>
      <c r="F3664" s="1">
        <v>2E-3</v>
      </c>
      <c r="G3664" s="1">
        <v>2.5000000000000001E-3</v>
      </c>
      <c r="H3664" s="1">
        <v>0.50819999999999999</v>
      </c>
      <c r="I3664" s="1">
        <v>3.8800000000000001E-2</v>
      </c>
      <c r="J3664" s="1">
        <v>6.13E-2</v>
      </c>
      <c r="K3664" s="1">
        <v>7.6600000000000001E-2</v>
      </c>
      <c r="L3664" s="1">
        <v>5.5999999999999999E-3</v>
      </c>
      <c r="M3664" s="1">
        <v>0.10249999999999999</v>
      </c>
      <c r="N3664" s="1">
        <v>0.34499999999999997</v>
      </c>
      <c r="O3664" s="1">
        <v>9.2999999999999992E-3</v>
      </c>
      <c r="P3664" s="1">
        <v>4.7899999999999998E-2</v>
      </c>
      <c r="Q3664" s="1">
        <v>6.0999999999999999E-2</v>
      </c>
      <c r="R3664" s="1">
        <v>7.7799999999999994E-2</v>
      </c>
    </row>
    <row r="3665" spans="1:22">
      <c r="A3665" s="25" t="s">
        <v>209</v>
      </c>
      <c r="B3665">
        <v>488</v>
      </c>
      <c r="C3665" t="s">
        <v>189</v>
      </c>
      <c r="D3665">
        <v>5857</v>
      </c>
      <c r="E3665" s="1">
        <v>1.0500000000000001E-2</v>
      </c>
      <c r="F3665" s="1">
        <v>5.4000000000000003E-3</v>
      </c>
      <c r="G3665" s="1">
        <v>7.6E-3</v>
      </c>
      <c r="H3665" s="1">
        <v>0.45669999999999999</v>
      </c>
      <c r="I3665" s="1">
        <v>5.8200000000000002E-2</v>
      </c>
      <c r="J3665" s="1">
        <v>5.8000000000000003E-2</v>
      </c>
      <c r="K3665" s="1">
        <v>2.24E-2</v>
      </c>
      <c r="L3665" s="1">
        <v>1.01E-2</v>
      </c>
      <c r="M3665" s="1">
        <v>0.1028</v>
      </c>
      <c r="N3665" s="1">
        <v>0.33889999999999998</v>
      </c>
      <c r="O3665" s="1">
        <v>1.18E-2</v>
      </c>
      <c r="P3665" s="1">
        <v>7.4300000000000005E-2</v>
      </c>
      <c r="Q3665" s="1">
        <v>5.9200000000000003E-2</v>
      </c>
      <c r="R3665" s="1">
        <v>9.69E-2</v>
      </c>
    </row>
    <row r="3666" spans="1:22">
      <c r="A3666" s="25" t="s">
        <v>192</v>
      </c>
      <c r="B3666">
        <v>5857</v>
      </c>
      <c r="C3666" t="s">
        <v>192</v>
      </c>
      <c r="D3666">
        <v>5857</v>
      </c>
      <c r="E3666" s="1">
        <v>1.0800000000000001E-2</v>
      </c>
      <c r="F3666" s="1">
        <v>4.7000000000000002E-3</v>
      </c>
      <c r="G3666" s="1">
        <v>5.7000000000000002E-3</v>
      </c>
      <c r="H3666" s="1">
        <v>0.41770000000000002</v>
      </c>
      <c r="I3666" s="1">
        <v>6.4199999999999993E-2</v>
      </c>
      <c r="J3666" s="1">
        <v>7.0900000000000005E-2</v>
      </c>
      <c r="K3666" s="1">
        <v>7.6799999999999993E-2</v>
      </c>
      <c r="L3666" s="1">
        <v>0.01</v>
      </c>
      <c r="M3666" s="1">
        <v>0.13850000000000001</v>
      </c>
      <c r="N3666" s="1">
        <v>0.37530000000000002</v>
      </c>
      <c r="O3666" s="1">
        <v>8.0000000000000002E-3</v>
      </c>
      <c r="P3666" s="1">
        <v>8.1299999999999997E-2</v>
      </c>
      <c r="Q3666" s="1">
        <v>7.8200000000000006E-2</v>
      </c>
      <c r="R3666" s="1">
        <v>0.1176</v>
      </c>
    </row>
    <row r="3668" spans="1:22" ht="43.5">
      <c r="A3668" s="25" t="s">
        <v>1162</v>
      </c>
    </row>
    <row r="3669" spans="1:22">
      <c r="A3669" s="25" t="s">
        <v>182</v>
      </c>
      <c r="B3669" t="s">
        <v>219</v>
      </c>
      <c r="C3669" t="s">
        <v>181</v>
      </c>
      <c r="D3669" t="s">
        <v>188</v>
      </c>
      <c r="E3669" t="s">
        <v>1145</v>
      </c>
      <c r="F3669" t="s">
        <v>1146</v>
      </c>
      <c r="G3669" t="s">
        <v>1147</v>
      </c>
      <c r="H3669" t="s">
        <v>579</v>
      </c>
      <c r="I3669" t="s">
        <v>1148</v>
      </c>
      <c r="J3669" t="s">
        <v>1149</v>
      </c>
      <c r="K3669" t="s">
        <v>1150</v>
      </c>
      <c r="L3669" t="s">
        <v>1036</v>
      </c>
      <c r="M3669" t="s">
        <v>1151</v>
      </c>
      <c r="N3669" t="s">
        <v>1152</v>
      </c>
      <c r="O3669" t="s">
        <v>243</v>
      </c>
      <c r="P3669" t="s">
        <v>1153</v>
      </c>
      <c r="Q3669" t="s">
        <v>1154</v>
      </c>
      <c r="R3669" t="s">
        <v>1155</v>
      </c>
    </row>
    <row r="3670" spans="1:22">
      <c r="A3670" s="25" t="s">
        <v>211</v>
      </c>
      <c r="B3670">
        <v>2652</v>
      </c>
      <c r="C3670" t="s">
        <v>189</v>
      </c>
      <c r="D3670">
        <v>5857</v>
      </c>
      <c r="E3670" s="1">
        <v>8.8999999999999999E-3</v>
      </c>
      <c r="F3670" s="1">
        <v>5.4000000000000003E-3</v>
      </c>
      <c r="G3670" s="1">
        <v>6.4000000000000003E-3</v>
      </c>
      <c r="H3670" s="1">
        <v>0.3831</v>
      </c>
      <c r="I3670" s="1">
        <v>7.0800000000000002E-2</v>
      </c>
      <c r="J3670" s="1">
        <v>7.2599999999999998E-2</v>
      </c>
      <c r="K3670" s="1">
        <v>7.1400000000000005E-2</v>
      </c>
      <c r="L3670" s="1">
        <v>1.14E-2</v>
      </c>
      <c r="M3670" s="1">
        <v>0.1406</v>
      </c>
      <c r="N3670" s="1">
        <v>0.39529999999999998</v>
      </c>
      <c r="O3670" s="1">
        <v>6.1999999999999998E-3</v>
      </c>
      <c r="P3670" s="1">
        <v>7.0800000000000002E-2</v>
      </c>
      <c r="Q3670" s="1">
        <v>7.5499999999999998E-2</v>
      </c>
      <c r="R3670" s="1">
        <v>0.1542</v>
      </c>
    </row>
    <row r="3671" spans="1:22">
      <c r="A3671" s="25" t="s">
        <v>212</v>
      </c>
      <c r="B3671">
        <v>2008</v>
      </c>
      <c r="C3671" t="s">
        <v>189</v>
      </c>
      <c r="D3671">
        <v>5857</v>
      </c>
      <c r="E3671" s="1">
        <v>1.29E-2</v>
      </c>
      <c r="F3671" s="1">
        <v>4.3E-3</v>
      </c>
      <c r="G3671" s="1">
        <v>5.7000000000000002E-3</v>
      </c>
      <c r="H3671" s="1">
        <v>0.40300000000000002</v>
      </c>
      <c r="I3671" s="1">
        <v>6.7299999999999999E-2</v>
      </c>
      <c r="J3671" s="1">
        <v>6.6500000000000004E-2</v>
      </c>
      <c r="K3671" s="1">
        <v>8.2000000000000003E-2</v>
      </c>
      <c r="L3671" s="1">
        <v>1.0999999999999999E-2</v>
      </c>
      <c r="M3671" s="1">
        <v>0.14130000000000001</v>
      </c>
      <c r="N3671" s="1">
        <v>0.39369999999999999</v>
      </c>
      <c r="O3671" s="1">
        <v>1.0500000000000001E-2</v>
      </c>
      <c r="P3671" s="1">
        <v>8.6900000000000005E-2</v>
      </c>
      <c r="Q3671" s="1">
        <v>7.8200000000000006E-2</v>
      </c>
      <c r="R3671" s="1">
        <v>8.0699999999999994E-2</v>
      </c>
    </row>
    <row r="3672" spans="1:22">
      <c r="A3672" s="25" t="s">
        <v>213</v>
      </c>
      <c r="B3672">
        <v>1197</v>
      </c>
      <c r="C3672" t="s">
        <v>189</v>
      </c>
      <c r="D3672">
        <v>5857</v>
      </c>
      <c r="E3672" s="1">
        <v>1.1599999999999999E-2</v>
      </c>
      <c r="F3672" s="1">
        <v>3.7000000000000002E-3</v>
      </c>
      <c r="G3672" s="1">
        <v>4.4000000000000003E-3</v>
      </c>
      <c r="H3672" s="1">
        <v>0.51139999999999997</v>
      </c>
      <c r="I3672" s="1">
        <v>4.58E-2</v>
      </c>
      <c r="J3672" s="1">
        <v>7.3899999999999993E-2</v>
      </c>
      <c r="K3672" s="1">
        <v>0.08</v>
      </c>
      <c r="L3672" s="1">
        <v>5.7999999999999996E-3</v>
      </c>
      <c r="M3672" s="1">
        <v>0.12989999999999999</v>
      </c>
      <c r="N3672" s="1">
        <v>0.30599999999999999</v>
      </c>
      <c r="O3672" s="1">
        <v>7.7000000000000002E-3</v>
      </c>
      <c r="P3672" s="1">
        <v>9.4100000000000003E-2</v>
      </c>
      <c r="Q3672" s="1">
        <v>8.3900000000000002E-2</v>
      </c>
      <c r="R3672" s="1">
        <v>9.7900000000000001E-2</v>
      </c>
    </row>
    <row r="3673" spans="1:22">
      <c r="A3673" s="25" t="s">
        <v>192</v>
      </c>
      <c r="B3673">
        <v>5857</v>
      </c>
      <c r="C3673" t="s">
        <v>192</v>
      </c>
      <c r="D3673">
        <v>5857</v>
      </c>
      <c r="E3673" s="1">
        <v>1.0800000000000001E-2</v>
      </c>
      <c r="F3673" s="1">
        <v>4.7000000000000002E-3</v>
      </c>
      <c r="G3673" s="1">
        <v>5.7000000000000002E-3</v>
      </c>
      <c r="H3673" s="1">
        <v>0.41770000000000002</v>
      </c>
      <c r="I3673" s="1">
        <v>6.4199999999999993E-2</v>
      </c>
      <c r="J3673" s="1">
        <v>7.0900000000000005E-2</v>
      </c>
      <c r="K3673" s="1">
        <v>7.6799999999999993E-2</v>
      </c>
      <c r="L3673" s="1">
        <v>0.01</v>
      </c>
      <c r="M3673" s="1">
        <v>0.13850000000000001</v>
      </c>
      <c r="N3673" s="1">
        <v>0.37530000000000002</v>
      </c>
      <c r="O3673" s="1">
        <v>8.0000000000000002E-3</v>
      </c>
      <c r="P3673" s="1">
        <v>8.1299999999999997E-2</v>
      </c>
      <c r="Q3673" s="1">
        <v>7.8200000000000006E-2</v>
      </c>
      <c r="R3673" s="1">
        <v>0.1176</v>
      </c>
    </row>
    <row r="3675" spans="1:22" ht="43.5">
      <c r="A3675" s="25" t="s">
        <v>1163</v>
      </c>
    </row>
    <row r="3676" spans="1:22">
      <c r="A3676" s="25" t="s">
        <v>182</v>
      </c>
      <c r="B3676" t="s">
        <v>219</v>
      </c>
      <c r="C3676" t="s">
        <v>181</v>
      </c>
      <c r="D3676" t="s">
        <v>188</v>
      </c>
      <c r="E3676" t="s">
        <v>1059</v>
      </c>
      <c r="F3676" t="s">
        <v>1124</v>
      </c>
      <c r="G3676" t="s">
        <v>1060</v>
      </c>
      <c r="H3676" t="s">
        <v>1061</v>
      </c>
      <c r="I3676" t="s">
        <v>241</v>
      </c>
      <c r="J3676" t="s">
        <v>1062</v>
      </c>
      <c r="K3676" t="s">
        <v>1063</v>
      </c>
      <c r="L3676" t="s">
        <v>324</v>
      </c>
      <c r="M3676" t="s">
        <v>269</v>
      </c>
      <c r="N3676" t="s">
        <v>243</v>
      </c>
      <c r="O3676" t="s">
        <v>1065</v>
      </c>
      <c r="P3676" t="s">
        <v>1066</v>
      </c>
      <c r="Q3676" t="s">
        <v>1067</v>
      </c>
      <c r="R3676" t="s">
        <v>1068</v>
      </c>
      <c r="S3676" t="s">
        <v>1069</v>
      </c>
      <c r="T3676" t="s">
        <v>1070</v>
      </c>
      <c r="U3676" t="s">
        <v>1072</v>
      </c>
      <c r="V3676" t="s">
        <v>1073</v>
      </c>
    </row>
    <row r="3677" spans="1:22">
      <c r="A3677" s="25" t="s">
        <v>215</v>
      </c>
      <c r="B3677">
        <v>3307</v>
      </c>
      <c r="C3677" t="s">
        <v>189</v>
      </c>
      <c r="D3677">
        <v>10429</v>
      </c>
      <c r="E3677" s="1">
        <v>9.4100000000000003E-2</v>
      </c>
      <c r="F3677" s="1">
        <v>5.7000000000000002E-3</v>
      </c>
      <c r="G3677" s="1">
        <v>0.50890000000000002</v>
      </c>
      <c r="H3677" s="1">
        <v>3.2000000000000002E-3</v>
      </c>
      <c r="I3677" s="1">
        <v>3.2000000000000001E-2</v>
      </c>
      <c r="J3677" s="1">
        <v>2.0000000000000001E-4</v>
      </c>
      <c r="K3677" s="1">
        <v>1.8E-3</v>
      </c>
      <c r="L3677" s="1">
        <v>0.28210000000000002</v>
      </c>
      <c r="M3677" s="1">
        <v>1E-3</v>
      </c>
      <c r="N3677" s="1">
        <v>3.7000000000000002E-3</v>
      </c>
      <c r="O3677" s="1">
        <v>4.7999999999999996E-3</v>
      </c>
      <c r="P3677" s="1">
        <v>7.4800000000000005E-2</v>
      </c>
      <c r="Q3677" s="1">
        <v>1.78E-2</v>
      </c>
      <c r="R3677" s="1">
        <v>2.2000000000000001E-3</v>
      </c>
      <c r="S3677" s="1">
        <v>1.1999999999999999E-3</v>
      </c>
      <c r="T3677" s="1">
        <v>9.4000000000000004E-3</v>
      </c>
      <c r="U3677" s="1">
        <v>0.31369999999999998</v>
      </c>
      <c r="V3677" s="1">
        <v>0.28320000000000001</v>
      </c>
    </row>
    <row r="3678" spans="1:22">
      <c r="A3678" s="25" t="s">
        <v>216</v>
      </c>
      <c r="B3678">
        <v>2</v>
      </c>
      <c r="C3678" t="s">
        <v>189</v>
      </c>
      <c r="D3678">
        <v>10429</v>
      </c>
      <c r="U3678" s="1">
        <v>1</v>
      </c>
      <c r="V3678" s="1">
        <v>0.34029999999999999</v>
      </c>
    </row>
    <row r="3679" spans="1:22">
      <c r="A3679" s="25" t="s">
        <v>217</v>
      </c>
      <c r="B3679">
        <v>7120</v>
      </c>
      <c r="C3679" t="s">
        <v>189</v>
      </c>
      <c r="D3679">
        <v>10429</v>
      </c>
      <c r="E3679" s="1">
        <v>6.3899999999999998E-2</v>
      </c>
      <c r="F3679" s="1">
        <v>2.0999999999999999E-3</v>
      </c>
      <c r="G3679" s="1">
        <v>0.44919999999999999</v>
      </c>
      <c r="H3679" s="1">
        <v>2.3999999999999998E-3</v>
      </c>
      <c r="I3679" s="1">
        <v>0.10249999999999999</v>
      </c>
      <c r="J3679" s="1">
        <v>1.1999999999999999E-3</v>
      </c>
      <c r="K3679" s="1">
        <v>8.0000000000000004E-4</v>
      </c>
      <c r="L3679" s="1">
        <v>0.2702</v>
      </c>
      <c r="M3679" s="1">
        <v>0</v>
      </c>
      <c r="N3679" s="1">
        <v>2.3E-3</v>
      </c>
      <c r="O3679" s="1">
        <v>6.4000000000000003E-3</v>
      </c>
      <c r="P3679" s="1">
        <v>5.7099999999999998E-2</v>
      </c>
      <c r="Q3679" s="1">
        <v>2.0500000000000001E-2</v>
      </c>
      <c r="R3679" s="1">
        <v>2.8999999999999998E-3</v>
      </c>
      <c r="S3679" s="1">
        <v>1E-3</v>
      </c>
      <c r="T3679" s="1">
        <v>6.0000000000000001E-3</v>
      </c>
      <c r="U3679" s="1">
        <v>0.30830000000000002</v>
      </c>
      <c r="V3679" s="1">
        <v>0.27050000000000002</v>
      </c>
    </row>
    <row r="3680" spans="1:22">
      <c r="A3680" s="25" t="s">
        <v>192</v>
      </c>
      <c r="B3680">
        <v>10429</v>
      </c>
      <c r="C3680" t="s">
        <v>192</v>
      </c>
      <c r="D3680">
        <v>10429</v>
      </c>
      <c r="E3680" s="1">
        <v>7.4200000000000002E-2</v>
      </c>
      <c r="F3680" s="1">
        <v>3.3E-3</v>
      </c>
      <c r="G3680" s="1">
        <v>0.46949999999999997</v>
      </c>
      <c r="H3680" s="1">
        <v>2.5999999999999999E-3</v>
      </c>
      <c r="I3680" s="1">
        <v>7.85E-2</v>
      </c>
      <c r="J3680" s="1">
        <v>8.0000000000000004E-4</v>
      </c>
      <c r="K3680" s="1">
        <v>1.1000000000000001E-3</v>
      </c>
      <c r="L3680" s="1">
        <v>0.2742</v>
      </c>
      <c r="M3680" s="1">
        <v>4.0000000000000002E-4</v>
      </c>
      <c r="N3680" s="1">
        <v>2.8E-3</v>
      </c>
      <c r="O3680" s="1">
        <v>5.7999999999999996E-3</v>
      </c>
      <c r="P3680" s="1">
        <v>6.3100000000000003E-2</v>
      </c>
      <c r="Q3680" s="1">
        <v>1.9599999999999999E-2</v>
      </c>
      <c r="R3680" s="1">
        <v>2.5999999999999999E-3</v>
      </c>
      <c r="S3680" s="1">
        <v>1.1000000000000001E-3</v>
      </c>
      <c r="T3680" s="1">
        <v>7.1000000000000004E-3</v>
      </c>
      <c r="U3680" s="1">
        <v>0.31019999999999998</v>
      </c>
      <c r="V3680" s="1">
        <v>0.27479999999999999</v>
      </c>
    </row>
    <row r="3682" spans="1:22" ht="43.5">
      <c r="A3682" s="25" t="s">
        <v>1164</v>
      </c>
    </row>
    <row r="3683" spans="1:22">
      <c r="A3683" s="25" t="s">
        <v>182</v>
      </c>
      <c r="B3683" t="s">
        <v>219</v>
      </c>
      <c r="C3683" t="s">
        <v>181</v>
      </c>
      <c r="D3683" t="s">
        <v>188</v>
      </c>
      <c r="E3683" t="s">
        <v>1059</v>
      </c>
      <c r="F3683" t="s">
        <v>1124</v>
      </c>
      <c r="G3683" t="s">
        <v>1060</v>
      </c>
      <c r="H3683" t="s">
        <v>1061</v>
      </c>
      <c r="I3683" t="s">
        <v>241</v>
      </c>
      <c r="J3683" t="s">
        <v>1062</v>
      </c>
      <c r="K3683" t="s">
        <v>1063</v>
      </c>
      <c r="L3683" t="s">
        <v>324</v>
      </c>
      <c r="M3683" t="s">
        <v>269</v>
      </c>
      <c r="N3683" t="s">
        <v>243</v>
      </c>
      <c r="O3683" t="s">
        <v>1065</v>
      </c>
      <c r="P3683" t="s">
        <v>1066</v>
      </c>
      <c r="Q3683" t="s">
        <v>1067</v>
      </c>
      <c r="R3683" t="s">
        <v>1068</v>
      </c>
      <c r="S3683" t="s">
        <v>1069</v>
      </c>
      <c r="T3683" t="s">
        <v>1070</v>
      </c>
      <c r="U3683" t="s">
        <v>1072</v>
      </c>
      <c r="V3683" t="s">
        <v>1073</v>
      </c>
    </row>
    <row r="3684" spans="1:22">
      <c r="A3684" s="25" t="s">
        <v>223</v>
      </c>
      <c r="B3684">
        <v>881</v>
      </c>
      <c r="C3684" t="s">
        <v>189</v>
      </c>
      <c r="D3684">
        <v>10429</v>
      </c>
      <c r="E3684" s="1">
        <v>0.1232</v>
      </c>
      <c r="F3684" s="1">
        <v>3.7000000000000002E-3</v>
      </c>
      <c r="G3684" s="1">
        <v>0.60780000000000001</v>
      </c>
      <c r="H3684" s="1">
        <v>4.7000000000000002E-3</v>
      </c>
      <c r="I3684" s="1">
        <v>4.7800000000000002E-2</v>
      </c>
      <c r="J3684" s="1">
        <v>5.7000000000000002E-3</v>
      </c>
      <c r="K3684" s="1">
        <v>1E-4</v>
      </c>
      <c r="L3684" s="1">
        <v>0.2059</v>
      </c>
      <c r="N3684" s="1">
        <v>3.5000000000000001E-3</v>
      </c>
      <c r="O3684" s="1">
        <v>5.0000000000000001E-3</v>
      </c>
      <c r="P3684" s="1">
        <v>7.8600000000000003E-2</v>
      </c>
      <c r="Q3684" s="1">
        <v>1.9099999999999999E-2</v>
      </c>
      <c r="R3684" s="1">
        <v>2.3E-3</v>
      </c>
      <c r="S3684" s="1">
        <v>2.9999999999999997E-4</v>
      </c>
      <c r="T3684" s="1">
        <v>8.3000000000000001E-3</v>
      </c>
      <c r="U3684" s="1">
        <v>0.30230000000000001</v>
      </c>
      <c r="V3684" s="1">
        <v>0.26519999999999999</v>
      </c>
    </row>
    <row r="3685" spans="1:22">
      <c r="A3685" s="25" t="s">
        <v>224</v>
      </c>
      <c r="B3685">
        <v>2877</v>
      </c>
      <c r="C3685" t="s">
        <v>189</v>
      </c>
      <c r="D3685">
        <v>10429</v>
      </c>
      <c r="E3685" s="1">
        <v>8.6599999999999996E-2</v>
      </c>
      <c r="F3685" s="1">
        <v>3.8999999999999998E-3</v>
      </c>
      <c r="G3685" s="1">
        <v>0.52990000000000004</v>
      </c>
      <c r="H3685" s="1">
        <v>5.4000000000000003E-3</v>
      </c>
      <c r="I3685" s="1">
        <v>5.9799999999999999E-2</v>
      </c>
      <c r="J3685" s="1">
        <v>1E-4</v>
      </c>
      <c r="K3685" s="1">
        <v>2.7000000000000001E-3</v>
      </c>
      <c r="L3685" s="1">
        <v>0.24349999999999999</v>
      </c>
      <c r="M3685" s="1">
        <v>1E-4</v>
      </c>
      <c r="N3685" s="1">
        <v>1.6999999999999999E-3</v>
      </c>
      <c r="O3685" s="1">
        <v>8.5000000000000006E-3</v>
      </c>
      <c r="P3685" s="1">
        <v>8.1699999999999995E-2</v>
      </c>
      <c r="Q3685" s="1">
        <v>2.2700000000000001E-2</v>
      </c>
      <c r="R3685" s="1">
        <v>2.8E-3</v>
      </c>
      <c r="S3685" s="1">
        <v>2E-3</v>
      </c>
      <c r="T3685" s="1">
        <v>8.3999999999999995E-3</v>
      </c>
      <c r="U3685" s="1">
        <v>0.32969999999999999</v>
      </c>
      <c r="V3685" s="1">
        <v>0.29220000000000002</v>
      </c>
    </row>
    <row r="3686" spans="1:22">
      <c r="A3686" s="25" t="s">
        <v>225</v>
      </c>
      <c r="B3686">
        <v>2813</v>
      </c>
      <c r="C3686" t="s">
        <v>189</v>
      </c>
      <c r="D3686">
        <v>10429</v>
      </c>
      <c r="E3686" s="1">
        <v>9.0700000000000003E-2</v>
      </c>
      <c r="F3686" s="1">
        <v>4.7000000000000002E-3</v>
      </c>
      <c r="G3686" s="1">
        <v>0.4798</v>
      </c>
      <c r="H3686" s="1">
        <v>1.1999999999999999E-3</v>
      </c>
      <c r="I3686" s="1">
        <v>6.5199999999999994E-2</v>
      </c>
      <c r="J3686" s="1">
        <v>4.0000000000000002E-4</v>
      </c>
      <c r="K3686" s="1">
        <v>1.5E-3</v>
      </c>
      <c r="L3686" s="1">
        <v>0.25950000000000001</v>
      </c>
      <c r="M3686" s="1">
        <v>1E-4</v>
      </c>
      <c r="N3686" s="1">
        <v>4.7000000000000002E-3</v>
      </c>
      <c r="O3686" s="1">
        <v>4.0000000000000001E-3</v>
      </c>
      <c r="P3686" s="1">
        <v>6.5500000000000003E-2</v>
      </c>
      <c r="Q3686" s="1">
        <v>2.6200000000000001E-2</v>
      </c>
      <c r="R3686" s="1">
        <v>1.1000000000000001E-3</v>
      </c>
      <c r="S3686" s="1">
        <v>1.2999999999999999E-3</v>
      </c>
      <c r="T3686" s="1">
        <v>6.8999999999999999E-3</v>
      </c>
      <c r="U3686" s="1">
        <v>0.32340000000000002</v>
      </c>
      <c r="V3686" s="1">
        <v>0.28420000000000001</v>
      </c>
    </row>
    <row r="3687" spans="1:22">
      <c r="A3687" s="25" t="s">
        <v>226</v>
      </c>
      <c r="B3687">
        <v>3858</v>
      </c>
      <c r="C3687" t="s">
        <v>189</v>
      </c>
      <c r="D3687">
        <v>10429</v>
      </c>
      <c r="E3687" s="1">
        <v>3.8199999999999998E-2</v>
      </c>
      <c r="F3687" s="1">
        <v>1.9E-3</v>
      </c>
      <c r="G3687" s="1">
        <v>0.37419999999999998</v>
      </c>
      <c r="H3687" s="1">
        <v>8.9999999999999998E-4</v>
      </c>
      <c r="I3687" s="1">
        <v>0.1106</v>
      </c>
      <c r="J3687" s="1">
        <v>1E-4</v>
      </c>
      <c r="K3687" s="1">
        <v>1E-4</v>
      </c>
      <c r="L3687" s="1">
        <v>0.32829999999999998</v>
      </c>
      <c r="M3687" s="1">
        <v>8.0000000000000004E-4</v>
      </c>
      <c r="N3687" s="1">
        <v>2E-3</v>
      </c>
      <c r="O3687" s="1">
        <v>5.4999999999999997E-3</v>
      </c>
      <c r="P3687" s="1">
        <v>4.3299999999999998E-2</v>
      </c>
      <c r="Q3687" s="1">
        <v>1.3100000000000001E-2</v>
      </c>
      <c r="R3687" s="1">
        <v>3.7000000000000002E-3</v>
      </c>
      <c r="S3687" s="1">
        <v>5.0000000000000001E-4</v>
      </c>
      <c r="T3687" s="1">
        <v>6.0000000000000001E-3</v>
      </c>
      <c r="U3687" s="1">
        <v>0.29020000000000001</v>
      </c>
      <c r="V3687" s="1">
        <v>0.25950000000000001</v>
      </c>
    </row>
    <row r="3688" spans="1:22">
      <c r="A3688" s="25" t="s">
        <v>192</v>
      </c>
      <c r="B3688">
        <v>10429</v>
      </c>
      <c r="C3688" t="s">
        <v>192</v>
      </c>
      <c r="D3688">
        <v>10429</v>
      </c>
      <c r="E3688" s="1">
        <v>7.4200000000000002E-2</v>
      </c>
      <c r="F3688" s="1">
        <v>3.3E-3</v>
      </c>
      <c r="G3688" s="1">
        <v>0.46949999999999997</v>
      </c>
      <c r="H3688" s="1">
        <v>2.5999999999999999E-3</v>
      </c>
      <c r="I3688" s="1">
        <v>7.85E-2</v>
      </c>
      <c r="J3688" s="1">
        <v>8.0000000000000004E-4</v>
      </c>
      <c r="K3688" s="1">
        <v>1.1000000000000001E-3</v>
      </c>
      <c r="L3688" s="1">
        <v>0.2742</v>
      </c>
      <c r="M3688" s="1">
        <v>4.0000000000000002E-4</v>
      </c>
      <c r="N3688" s="1">
        <v>2.8E-3</v>
      </c>
      <c r="O3688" s="1">
        <v>5.7999999999999996E-3</v>
      </c>
      <c r="P3688" s="1">
        <v>6.3100000000000003E-2</v>
      </c>
      <c r="Q3688" s="1">
        <v>1.9599999999999999E-2</v>
      </c>
      <c r="R3688" s="1">
        <v>2.5999999999999999E-3</v>
      </c>
      <c r="S3688" s="1">
        <v>1.1000000000000001E-3</v>
      </c>
      <c r="T3688" s="1">
        <v>7.1000000000000004E-3</v>
      </c>
      <c r="U3688" s="1">
        <v>0.31019999999999998</v>
      </c>
      <c r="V3688" s="1">
        <v>0.27479999999999999</v>
      </c>
    </row>
    <row r="3690" spans="1:22" ht="43.5">
      <c r="A3690" s="25" t="s">
        <v>1165</v>
      </c>
    </row>
    <row r="3691" spans="1:22">
      <c r="A3691" s="25" t="s">
        <v>182</v>
      </c>
      <c r="B3691" t="s">
        <v>219</v>
      </c>
      <c r="C3691" t="s">
        <v>181</v>
      </c>
      <c r="D3691" t="s">
        <v>188</v>
      </c>
      <c r="E3691" t="s">
        <v>1059</v>
      </c>
      <c r="F3691" t="s">
        <v>1124</v>
      </c>
      <c r="G3691" t="s">
        <v>1060</v>
      </c>
      <c r="H3691" t="s">
        <v>1061</v>
      </c>
      <c r="I3691" t="s">
        <v>241</v>
      </c>
      <c r="J3691" t="s">
        <v>1062</v>
      </c>
      <c r="K3691" t="s">
        <v>1063</v>
      </c>
      <c r="L3691" t="s">
        <v>324</v>
      </c>
      <c r="M3691" t="s">
        <v>269</v>
      </c>
      <c r="N3691" t="s">
        <v>243</v>
      </c>
      <c r="O3691" t="s">
        <v>1065</v>
      </c>
      <c r="P3691" t="s">
        <v>1066</v>
      </c>
      <c r="Q3691" t="s">
        <v>1067</v>
      </c>
      <c r="R3691" t="s">
        <v>1068</v>
      </c>
      <c r="S3691" t="s">
        <v>1069</v>
      </c>
      <c r="T3691" t="s">
        <v>1070</v>
      </c>
      <c r="U3691" t="s">
        <v>1072</v>
      </c>
      <c r="V3691" t="s">
        <v>1073</v>
      </c>
    </row>
    <row r="3692" spans="1:22">
      <c r="A3692" s="25" t="s">
        <v>190</v>
      </c>
      <c r="B3692">
        <v>4901</v>
      </c>
      <c r="C3692" t="s">
        <v>189</v>
      </c>
      <c r="D3692">
        <v>10429</v>
      </c>
      <c r="E3692" s="1">
        <v>5.9900000000000002E-2</v>
      </c>
      <c r="F3692" s="1">
        <v>1.8E-3</v>
      </c>
      <c r="G3692" s="1">
        <v>0.42859999999999998</v>
      </c>
      <c r="H3692" s="1">
        <v>1.1999999999999999E-3</v>
      </c>
      <c r="I3692" s="1">
        <v>7.51E-2</v>
      </c>
      <c r="J3692" s="1">
        <v>1E-4</v>
      </c>
      <c r="K3692" s="1">
        <v>1.4E-3</v>
      </c>
      <c r="L3692" s="1">
        <v>0.36020000000000002</v>
      </c>
      <c r="N3692" s="1">
        <v>2.5000000000000001E-3</v>
      </c>
      <c r="O3692" s="1">
        <v>5.7999999999999996E-3</v>
      </c>
      <c r="P3692" s="1">
        <v>3.9899999999999998E-2</v>
      </c>
      <c r="Q3692" s="1">
        <v>9.7999999999999997E-3</v>
      </c>
      <c r="R3692" s="1">
        <v>1.1999999999999999E-3</v>
      </c>
      <c r="S3692" s="1">
        <v>1.1999999999999999E-3</v>
      </c>
      <c r="T3692" s="1">
        <v>5.5999999999999999E-3</v>
      </c>
      <c r="U3692" s="1">
        <v>0.21379999999999999</v>
      </c>
      <c r="V3692" s="1">
        <v>0.1835</v>
      </c>
    </row>
    <row r="3693" spans="1:22">
      <c r="A3693" s="25" t="s">
        <v>191</v>
      </c>
      <c r="B3693">
        <v>5471</v>
      </c>
      <c r="C3693" t="s">
        <v>189</v>
      </c>
      <c r="D3693">
        <v>10429</v>
      </c>
      <c r="E3693" s="1">
        <v>8.3099999999999993E-2</v>
      </c>
      <c r="F3693" s="1">
        <v>4.3E-3</v>
      </c>
      <c r="G3693" s="1">
        <v>0.49540000000000001</v>
      </c>
      <c r="H3693" s="1">
        <v>3.5000000000000001E-3</v>
      </c>
      <c r="I3693" s="1">
        <v>8.0199999999999994E-2</v>
      </c>
      <c r="J3693" s="1">
        <v>1.2999999999999999E-3</v>
      </c>
      <c r="K3693" s="1">
        <v>8.9999999999999998E-4</v>
      </c>
      <c r="L3693" s="1">
        <v>0.22140000000000001</v>
      </c>
      <c r="M3693" s="1">
        <v>5.9999999999999995E-4</v>
      </c>
      <c r="N3693" s="1">
        <v>2.8999999999999998E-3</v>
      </c>
      <c r="O3693" s="1">
        <v>5.7999999999999996E-3</v>
      </c>
      <c r="P3693" s="1">
        <v>7.7600000000000002E-2</v>
      </c>
      <c r="Q3693" s="1">
        <v>2.5700000000000001E-2</v>
      </c>
      <c r="R3693" s="1">
        <v>3.5000000000000001E-3</v>
      </c>
      <c r="S3693" s="1">
        <v>1E-3</v>
      </c>
      <c r="T3693" s="1">
        <v>8.0999999999999996E-3</v>
      </c>
      <c r="U3693" s="1">
        <v>0.36940000000000001</v>
      </c>
      <c r="V3693" s="1">
        <v>0.33079999999999998</v>
      </c>
    </row>
    <row r="3694" spans="1:22">
      <c r="A3694" s="25" t="s">
        <v>192</v>
      </c>
      <c r="B3694">
        <v>10429</v>
      </c>
      <c r="C3694" t="s">
        <v>192</v>
      </c>
      <c r="D3694">
        <v>10429</v>
      </c>
      <c r="E3694" s="1">
        <v>7.4200000000000002E-2</v>
      </c>
      <c r="F3694" s="1">
        <v>3.3E-3</v>
      </c>
      <c r="G3694" s="1">
        <v>0.46949999999999997</v>
      </c>
      <c r="H3694" s="1">
        <v>2.5999999999999999E-3</v>
      </c>
      <c r="I3694" s="1">
        <v>7.85E-2</v>
      </c>
      <c r="J3694" s="1">
        <v>8.0000000000000004E-4</v>
      </c>
      <c r="K3694" s="1">
        <v>1.1000000000000001E-3</v>
      </c>
      <c r="L3694" s="1">
        <v>0.2742</v>
      </c>
      <c r="M3694" s="1">
        <v>4.0000000000000002E-4</v>
      </c>
      <c r="N3694" s="1">
        <v>2.8E-3</v>
      </c>
      <c r="O3694" s="1">
        <v>5.7999999999999996E-3</v>
      </c>
      <c r="P3694" s="1">
        <v>6.3100000000000003E-2</v>
      </c>
      <c r="Q3694" s="1">
        <v>1.9599999999999999E-2</v>
      </c>
      <c r="R3694" s="1">
        <v>2.5999999999999999E-3</v>
      </c>
      <c r="S3694" s="1">
        <v>1.1000000000000001E-3</v>
      </c>
      <c r="T3694" s="1">
        <v>7.1000000000000004E-3</v>
      </c>
      <c r="U3694" s="1">
        <v>0.31019999999999998</v>
      </c>
      <c r="V3694" s="1">
        <v>0.27479999999999999</v>
      </c>
    </row>
    <row r="3696" spans="1:22" ht="57.95">
      <c r="A3696" s="25" t="s">
        <v>1166</v>
      </c>
    </row>
    <row r="3697" spans="1:22">
      <c r="A3697" s="25" t="s">
        <v>182</v>
      </c>
      <c r="B3697" t="s">
        <v>219</v>
      </c>
      <c r="C3697" t="s">
        <v>181</v>
      </c>
      <c r="D3697" t="s">
        <v>188</v>
      </c>
      <c r="E3697" t="s">
        <v>1059</v>
      </c>
      <c r="F3697" t="s">
        <v>1124</v>
      </c>
      <c r="G3697" t="s">
        <v>1060</v>
      </c>
      <c r="H3697" t="s">
        <v>1061</v>
      </c>
      <c r="I3697" t="s">
        <v>241</v>
      </c>
      <c r="J3697" t="s">
        <v>1062</v>
      </c>
      <c r="K3697" t="s">
        <v>1063</v>
      </c>
      <c r="L3697" t="s">
        <v>324</v>
      </c>
      <c r="M3697" t="s">
        <v>269</v>
      </c>
      <c r="N3697" t="s">
        <v>243</v>
      </c>
      <c r="O3697" t="s">
        <v>1065</v>
      </c>
      <c r="P3697" t="s">
        <v>1066</v>
      </c>
      <c r="Q3697" t="s">
        <v>1067</v>
      </c>
      <c r="R3697" t="s">
        <v>1068</v>
      </c>
      <c r="S3697" t="s">
        <v>1069</v>
      </c>
      <c r="T3697" t="s">
        <v>1070</v>
      </c>
      <c r="U3697" t="s">
        <v>1072</v>
      </c>
      <c r="V3697" t="s">
        <v>1073</v>
      </c>
    </row>
    <row r="3698" spans="1:22" ht="29.1">
      <c r="A3698" s="25" t="s">
        <v>194</v>
      </c>
      <c r="B3698">
        <v>5952</v>
      </c>
      <c r="C3698" t="s">
        <v>189</v>
      </c>
      <c r="D3698">
        <v>10429</v>
      </c>
      <c r="E3698" s="1">
        <v>6.9000000000000006E-2</v>
      </c>
      <c r="F3698" s="1">
        <v>2.8999999999999998E-3</v>
      </c>
      <c r="G3698" s="1">
        <v>0.4652</v>
      </c>
      <c r="H3698" s="1">
        <v>3.5000000000000001E-3</v>
      </c>
      <c r="I3698" s="1">
        <v>8.0199999999999994E-2</v>
      </c>
      <c r="J3698" s="1">
        <v>1E-3</v>
      </c>
      <c r="K3698" s="1">
        <v>5.9999999999999995E-4</v>
      </c>
      <c r="L3698" s="1">
        <v>0.33</v>
      </c>
      <c r="M3698" s="1">
        <v>0</v>
      </c>
      <c r="N3698" s="1">
        <v>2.3999999999999998E-3</v>
      </c>
      <c r="O3698" s="1">
        <v>3.3999999999999998E-3</v>
      </c>
      <c r="P3698" s="1">
        <v>6.3600000000000004E-2</v>
      </c>
      <c r="Q3698" s="1">
        <v>1.6799999999999999E-2</v>
      </c>
      <c r="R3698" s="1">
        <v>2E-3</v>
      </c>
      <c r="S3698" s="1">
        <v>1E-3</v>
      </c>
      <c r="T3698" s="1">
        <v>8.0000000000000002E-3</v>
      </c>
      <c r="U3698" s="1">
        <v>0.2195</v>
      </c>
      <c r="V3698" s="1">
        <v>0.1951</v>
      </c>
    </row>
    <row r="3699" spans="1:22" ht="29.1">
      <c r="A3699" s="25" t="s">
        <v>195</v>
      </c>
      <c r="B3699">
        <v>2703</v>
      </c>
      <c r="C3699" t="s">
        <v>189</v>
      </c>
      <c r="D3699">
        <v>10429</v>
      </c>
      <c r="E3699" s="1">
        <v>0.1094</v>
      </c>
      <c r="F3699" s="1">
        <v>3.0000000000000001E-3</v>
      </c>
      <c r="G3699" s="1">
        <v>0.52110000000000001</v>
      </c>
      <c r="H3699" s="1">
        <v>6.9999999999999999E-4</v>
      </c>
      <c r="I3699" s="1">
        <v>6.2799999999999995E-2</v>
      </c>
      <c r="K3699" s="1">
        <v>1.8E-3</v>
      </c>
      <c r="L3699" s="1">
        <v>0.1615</v>
      </c>
      <c r="M3699" s="1">
        <v>1.5E-3</v>
      </c>
      <c r="N3699" s="1">
        <v>4.0000000000000001E-3</v>
      </c>
      <c r="O3699" s="1">
        <v>7.4999999999999997E-3</v>
      </c>
      <c r="P3699" s="1">
        <v>4.6100000000000002E-2</v>
      </c>
      <c r="Q3699" s="1">
        <v>2.9000000000000001E-2</v>
      </c>
      <c r="R3699" s="1">
        <v>3.7000000000000002E-3</v>
      </c>
      <c r="S3699" s="1">
        <v>1.1999999999999999E-3</v>
      </c>
      <c r="T3699" s="1">
        <v>4.1999999999999997E-3</v>
      </c>
      <c r="U3699" s="1">
        <v>0.46039999999999998</v>
      </c>
      <c r="V3699" s="1">
        <v>0.37280000000000002</v>
      </c>
    </row>
    <row r="3700" spans="1:22" ht="29.1">
      <c r="A3700" s="25" t="s">
        <v>196</v>
      </c>
      <c r="B3700">
        <v>1717</v>
      </c>
      <c r="C3700" t="s">
        <v>189</v>
      </c>
      <c r="D3700">
        <v>10429</v>
      </c>
      <c r="E3700" s="1">
        <v>4.2200000000000001E-2</v>
      </c>
      <c r="F3700" s="1">
        <v>7.4999999999999997E-3</v>
      </c>
      <c r="G3700" s="1">
        <v>0.40010000000000001</v>
      </c>
      <c r="H3700" s="1">
        <v>4.0000000000000002E-4</v>
      </c>
      <c r="I3700" s="1">
        <v>9.5200000000000007E-2</v>
      </c>
      <c r="J3700" s="1">
        <v>1.1999999999999999E-3</v>
      </c>
      <c r="K3700" s="1">
        <v>4.1999999999999997E-3</v>
      </c>
      <c r="L3700" s="1">
        <v>8.2600000000000007E-2</v>
      </c>
      <c r="M3700" s="1">
        <v>5.0000000000000001E-4</v>
      </c>
      <c r="N3700" s="1">
        <v>3.0000000000000001E-3</v>
      </c>
      <c r="O3700" s="1">
        <v>2.1100000000000001E-2</v>
      </c>
      <c r="P3700" s="1">
        <v>9.5500000000000002E-2</v>
      </c>
      <c r="Q3700" s="1">
        <v>2.1700000000000001E-2</v>
      </c>
      <c r="R3700" s="1">
        <v>5.3E-3</v>
      </c>
      <c r="S3700" s="1">
        <v>1.5E-3</v>
      </c>
      <c r="T3700" s="1">
        <v>6.4000000000000003E-3</v>
      </c>
      <c r="U3700" s="1">
        <v>0.69</v>
      </c>
      <c r="V3700" s="1">
        <v>0.67789999999999995</v>
      </c>
    </row>
    <row r="3701" spans="1:22">
      <c r="A3701" s="25" t="s">
        <v>192</v>
      </c>
      <c r="B3701">
        <v>10429</v>
      </c>
      <c r="C3701" t="s">
        <v>192</v>
      </c>
      <c r="D3701">
        <v>10429</v>
      </c>
      <c r="E3701" s="1">
        <v>7.4200000000000002E-2</v>
      </c>
      <c r="F3701" s="1">
        <v>3.3E-3</v>
      </c>
      <c r="G3701" s="1">
        <v>0.46949999999999997</v>
      </c>
      <c r="H3701" s="1">
        <v>2.5999999999999999E-3</v>
      </c>
      <c r="I3701" s="1">
        <v>7.85E-2</v>
      </c>
      <c r="J3701" s="1">
        <v>8.0000000000000004E-4</v>
      </c>
      <c r="K3701" s="1">
        <v>1.1000000000000001E-3</v>
      </c>
      <c r="L3701" s="1">
        <v>0.2742</v>
      </c>
      <c r="M3701" s="1">
        <v>4.0000000000000002E-4</v>
      </c>
      <c r="N3701" s="1">
        <v>2.8E-3</v>
      </c>
      <c r="O3701" s="1">
        <v>5.7999999999999996E-3</v>
      </c>
      <c r="P3701" s="1">
        <v>6.3100000000000003E-2</v>
      </c>
      <c r="Q3701" s="1">
        <v>1.9599999999999999E-2</v>
      </c>
      <c r="R3701" s="1">
        <v>2.5999999999999999E-3</v>
      </c>
      <c r="S3701" s="1">
        <v>1.1000000000000001E-3</v>
      </c>
      <c r="T3701" s="1">
        <v>7.1000000000000004E-3</v>
      </c>
      <c r="U3701" s="1">
        <v>0.31019999999999998</v>
      </c>
      <c r="V3701" s="1">
        <v>0.27479999999999999</v>
      </c>
    </row>
    <row r="3703" spans="1:22" ht="43.5">
      <c r="A3703" s="25" t="s">
        <v>1167</v>
      </c>
    </row>
    <row r="3704" spans="1:22">
      <c r="A3704" s="25" t="s">
        <v>182</v>
      </c>
      <c r="B3704" t="s">
        <v>219</v>
      </c>
      <c r="C3704" t="s">
        <v>181</v>
      </c>
      <c r="D3704" t="s">
        <v>188</v>
      </c>
      <c r="E3704" t="s">
        <v>1059</v>
      </c>
      <c r="F3704" t="s">
        <v>1124</v>
      </c>
      <c r="G3704" t="s">
        <v>1060</v>
      </c>
      <c r="H3704" t="s">
        <v>1061</v>
      </c>
      <c r="I3704" t="s">
        <v>241</v>
      </c>
      <c r="J3704" t="s">
        <v>1062</v>
      </c>
      <c r="K3704" t="s">
        <v>1063</v>
      </c>
      <c r="L3704" t="s">
        <v>324</v>
      </c>
      <c r="M3704" t="s">
        <v>269</v>
      </c>
      <c r="N3704" t="s">
        <v>243</v>
      </c>
      <c r="O3704" t="s">
        <v>1065</v>
      </c>
      <c r="P3704" t="s">
        <v>1066</v>
      </c>
      <c r="Q3704" t="s">
        <v>1067</v>
      </c>
      <c r="R3704" t="s">
        <v>1068</v>
      </c>
      <c r="S3704" t="s">
        <v>1069</v>
      </c>
      <c r="T3704" t="s">
        <v>1070</v>
      </c>
      <c r="U3704" t="s">
        <v>1072</v>
      </c>
      <c r="V3704" t="s">
        <v>1073</v>
      </c>
    </row>
    <row r="3705" spans="1:22">
      <c r="A3705" s="25" t="s">
        <v>198</v>
      </c>
      <c r="B3705">
        <v>2262</v>
      </c>
      <c r="C3705" t="s">
        <v>189</v>
      </c>
      <c r="D3705">
        <v>10429</v>
      </c>
      <c r="E3705" s="1">
        <v>6.7299999999999999E-2</v>
      </c>
      <c r="F3705" s="1">
        <v>8.3999999999999995E-3</v>
      </c>
      <c r="G3705" s="1">
        <v>0.41880000000000001</v>
      </c>
      <c r="H3705" s="1">
        <v>1.8E-3</v>
      </c>
      <c r="I3705" s="1">
        <v>0.114</v>
      </c>
      <c r="J3705" s="1">
        <v>4.0000000000000002E-4</v>
      </c>
      <c r="K3705" s="1">
        <v>3.0000000000000001E-3</v>
      </c>
      <c r="L3705" s="1">
        <v>0.26119999999999999</v>
      </c>
      <c r="M3705" s="1">
        <v>1E-4</v>
      </c>
      <c r="N3705" s="1">
        <v>2.8E-3</v>
      </c>
      <c r="O3705" s="1">
        <v>1.03E-2</v>
      </c>
      <c r="P3705" s="1">
        <v>5.4199999999999998E-2</v>
      </c>
      <c r="Q3705" s="1">
        <v>1.35E-2</v>
      </c>
      <c r="R3705" s="1">
        <v>3.3999999999999998E-3</v>
      </c>
      <c r="S3705" s="1">
        <v>1.2999999999999999E-3</v>
      </c>
      <c r="T3705" s="1">
        <v>5.4000000000000003E-3</v>
      </c>
      <c r="U3705" s="1">
        <v>0.33850000000000002</v>
      </c>
      <c r="V3705" s="1">
        <v>0.30159999999999998</v>
      </c>
    </row>
    <row r="3706" spans="1:22">
      <c r="A3706" s="25" t="s">
        <v>199</v>
      </c>
      <c r="B3706">
        <v>8167</v>
      </c>
      <c r="C3706" t="s">
        <v>189</v>
      </c>
      <c r="D3706">
        <v>10429</v>
      </c>
      <c r="E3706" s="1">
        <v>7.5700000000000003E-2</v>
      </c>
      <c r="F3706" s="1">
        <v>2.2000000000000001E-3</v>
      </c>
      <c r="G3706" s="1">
        <v>0.48089999999999999</v>
      </c>
      <c r="H3706" s="1">
        <v>2.8E-3</v>
      </c>
      <c r="I3706" s="1">
        <v>7.0499999999999993E-2</v>
      </c>
      <c r="J3706" s="1">
        <v>8.9999999999999998E-4</v>
      </c>
      <c r="K3706" s="1">
        <v>6.9999999999999999E-4</v>
      </c>
      <c r="L3706" s="1">
        <v>0.27710000000000001</v>
      </c>
      <c r="M3706" s="1">
        <v>4.0000000000000002E-4</v>
      </c>
      <c r="N3706" s="1">
        <v>2.8E-3</v>
      </c>
      <c r="O3706" s="1">
        <v>4.8999999999999998E-3</v>
      </c>
      <c r="P3706" s="1">
        <v>6.5100000000000005E-2</v>
      </c>
      <c r="Q3706" s="1">
        <v>2.1000000000000001E-2</v>
      </c>
      <c r="R3706" s="1">
        <v>2.5000000000000001E-3</v>
      </c>
      <c r="S3706" s="1">
        <v>1E-3</v>
      </c>
      <c r="T3706" s="1">
        <v>7.4999999999999997E-3</v>
      </c>
      <c r="U3706" s="1">
        <v>0.30380000000000001</v>
      </c>
      <c r="V3706" s="1">
        <v>0.26879999999999998</v>
      </c>
    </row>
    <row r="3707" spans="1:22">
      <c r="A3707" s="25" t="s">
        <v>192</v>
      </c>
      <c r="B3707">
        <v>10429</v>
      </c>
      <c r="C3707" t="s">
        <v>192</v>
      </c>
      <c r="D3707">
        <v>10429</v>
      </c>
      <c r="E3707" s="1">
        <v>7.4200000000000002E-2</v>
      </c>
      <c r="F3707" s="1">
        <v>3.3E-3</v>
      </c>
      <c r="G3707" s="1">
        <v>0.46949999999999997</v>
      </c>
      <c r="H3707" s="1">
        <v>2.5999999999999999E-3</v>
      </c>
      <c r="I3707" s="1">
        <v>7.85E-2</v>
      </c>
      <c r="J3707" s="1">
        <v>8.0000000000000004E-4</v>
      </c>
      <c r="K3707" s="1">
        <v>1.1000000000000001E-3</v>
      </c>
      <c r="L3707" s="1">
        <v>0.2742</v>
      </c>
      <c r="M3707" s="1">
        <v>4.0000000000000002E-4</v>
      </c>
      <c r="N3707" s="1">
        <v>2.8E-3</v>
      </c>
      <c r="O3707" s="1">
        <v>5.7999999999999996E-3</v>
      </c>
      <c r="P3707" s="1">
        <v>6.3100000000000003E-2</v>
      </c>
      <c r="Q3707" s="1">
        <v>1.9599999999999999E-2</v>
      </c>
      <c r="R3707" s="1">
        <v>2.5999999999999999E-3</v>
      </c>
      <c r="S3707" s="1">
        <v>1.1000000000000001E-3</v>
      </c>
      <c r="T3707" s="1">
        <v>7.1000000000000004E-3</v>
      </c>
      <c r="U3707" s="1">
        <v>0.31019999999999998</v>
      </c>
      <c r="V3707" s="1">
        <v>0.27479999999999999</v>
      </c>
    </row>
    <row r="3709" spans="1:22" ht="43.5">
      <c r="A3709" s="25" t="s">
        <v>1168</v>
      </c>
    </row>
    <row r="3710" spans="1:22">
      <c r="A3710" s="25" t="s">
        <v>182</v>
      </c>
      <c r="B3710" t="s">
        <v>219</v>
      </c>
      <c r="C3710" t="s">
        <v>181</v>
      </c>
      <c r="D3710" t="s">
        <v>188</v>
      </c>
      <c r="E3710" t="s">
        <v>1059</v>
      </c>
      <c r="F3710" t="s">
        <v>1124</v>
      </c>
      <c r="G3710" t="s">
        <v>1060</v>
      </c>
      <c r="H3710" t="s">
        <v>1061</v>
      </c>
      <c r="I3710" t="s">
        <v>241</v>
      </c>
      <c r="J3710" t="s">
        <v>1062</v>
      </c>
      <c r="K3710" t="s">
        <v>1063</v>
      </c>
      <c r="L3710" t="s">
        <v>324</v>
      </c>
      <c r="M3710" t="s">
        <v>269</v>
      </c>
      <c r="N3710" t="s">
        <v>243</v>
      </c>
      <c r="O3710" t="s">
        <v>1065</v>
      </c>
      <c r="P3710" t="s">
        <v>1066</v>
      </c>
      <c r="Q3710" t="s">
        <v>1067</v>
      </c>
      <c r="R3710" t="s">
        <v>1068</v>
      </c>
      <c r="S3710" t="s">
        <v>1069</v>
      </c>
      <c r="T3710" t="s">
        <v>1070</v>
      </c>
      <c r="U3710" t="s">
        <v>1072</v>
      </c>
      <c r="V3710" t="s">
        <v>1073</v>
      </c>
    </row>
    <row r="3711" spans="1:22">
      <c r="A3711" s="25" t="s">
        <v>201</v>
      </c>
      <c r="B3711">
        <v>766</v>
      </c>
      <c r="C3711" t="s">
        <v>189</v>
      </c>
      <c r="D3711">
        <v>10429</v>
      </c>
      <c r="E3711" s="1">
        <v>9.7600000000000006E-2</v>
      </c>
      <c r="F3711" s="1">
        <v>2.9999999999999997E-4</v>
      </c>
      <c r="G3711" s="1">
        <v>0.45169999999999999</v>
      </c>
      <c r="H3711" s="1">
        <v>1.06E-2</v>
      </c>
      <c r="I3711" s="1">
        <v>7.8100000000000003E-2</v>
      </c>
      <c r="K3711" s="1">
        <v>2.9999999999999997E-4</v>
      </c>
      <c r="L3711" s="1">
        <v>0.22459999999999999</v>
      </c>
      <c r="N3711" s="1">
        <v>2.9999999999999997E-4</v>
      </c>
      <c r="O3711" s="1">
        <v>3.3E-3</v>
      </c>
      <c r="P3711" s="1">
        <v>7.9500000000000001E-2</v>
      </c>
      <c r="Q3711" s="1">
        <v>2.3199999999999998E-2</v>
      </c>
      <c r="R3711" s="1">
        <v>5.0000000000000001E-3</v>
      </c>
      <c r="S3711" s="1">
        <v>2.9999999999999997E-4</v>
      </c>
      <c r="T3711" s="1">
        <v>2.3E-3</v>
      </c>
      <c r="U3711" s="1">
        <v>0.42920000000000003</v>
      </c>
      <c r="V3711" s="1">
        <v>0.40720000000000001</v>
      </c>
    </row>
    <row r="3712" spans="1:22">
      <c r="A3712" s="25" t="s">
        <v>202</v>
      </c>
      <c r="B3712">
        <v>110</v>
      </c>
      <c r="C3712" t="s">
        <v>189</v>
      </c>
      <c r="D3712">
        <v>10429</v>
      </c>
      <c r="E3712" s="1">
        <v>3.8699999999999998E-2</v>
      </c>
      <c r="F3712" s="1">
        <v>3.5000000000000001E-3</v>
      </c>
      <c r="G3712" s="1">
        <v>0.34789999999999999</v>
      </c>
      <c r="H3712" s="1">
        <v>4.1000000000000003E-3</v>
      </c>
      <c r="I3712" s="1">
        <v>5.7599999999999998E-2</v>
      </c>
      <c r="L3712" s="1">
        <v>0.16439999999999999</v>
      </c>
      <c r="N3712" s="1">
        <v>6.7000000000000002E-3</v>
      </c>
      <c r="O3712" s="1">
        <v>2.3599999999999999E-2</v>
      </c>
      <c r="P3712" s="1">
        <v>4.2299999999999997E-2</v>
      </c>
      <c r="Q3712" s="1">
        <v>1.61E-2</v>
      </c>
      <c r="S3712" s="1">
        <v>6.7000000000000002E-3</v>
      </c>
      <c r="U3712" s="1">
        <v>0.55479999999999996</v>
      </c>
      <c r="V3712" s="1">
        <v>0.57120000000000004</v>
      </c>
    </row>
    <row r="3713" spans="1:22">
      <c r="A3713" s="25" t="s">
        <v>203</v>
      </c>
      <c r="B3713">
        <v>8039</v>
      </c>
      <c r="C3713" t="s">
        <v>189</v>
      </c>
      <c r="D3713">
        <v>10429</v>
      </c>
      <c r="E3713" s="1">
        <v>6.8199999999999997E-2</v>
      </c>
      <c r="F3713" s="1">
        <v>3.3E-3</v>
      </c>
      <c r="G3713" s="1">
        <v>0.4602</v>
      </c>
      <c r="H3713" s="1">
        <v>2.2000000000000001E-3</v>
      </c>
      <c r="I3713" s="1">
        <v>7.1999999999999995E-2</v>
      </c>
      <c r="J3713" s="1">
        <v>2.0000000000000001E-4</v>
      </c>
      <c r="K3713" s="1">
        <v>5.9999999999999995E-4</v>
      </c>
      <c r="L3713" s="1">
        <v>0.30120000000000002</v>
      </c>
      <c r="M3713" s="1">
        <v>4.0000000000000002E-4</v>
      </c>
      <c r="N3713" s="1">
        <v>3.0000000000000001E-3</v>
      </c>
      <c r="O3713" s="1">
        <v>2.8E-3</v>
      </c>
      <c r="P3713" s="1">
        <v>5.4600000000000003E-2</v>
      </c>
      <c r="Q3713" s="1">
        <v>1.5800000000000002E-2</v>
      </c>
      <c r="R3713" s="1">
        <v>2.3999999999999998E-3</v>
      </c>
      <c r="S3713" s="1">
        <v>8.9999999999999998E-4</v>
      </c>
      <c r="T3713" s="1">
        <v>7.9000000000000008E-3</v>
      </c>
      <c r="U3713" s="1">
        <v>0.28839999999999999</v>
      </c>
      <c r="V3713" s="1">
        <v>0.2462</v>
      </c>
    </row>
    <row r="3714" spans="1:22">
      <c r="A3714" s="25" t="s">
        <v>204</v>
      </c>
      <c r="B3714">
        <v>31</v>
      </c>
      <c r="C3714" t="s">
        <v>189</v>
      </c>
      <c r="D3714">
        <v>10429</v>
      </c>
      <c r="G3714" s="1">
        <v>0.36730000000000002</v>
      </c>
      <c r="I3714" s="1">
        <v>3.5499999999999997E-2</v>
      </c>
      <c r="L3714" s="1">
        <v>0.52980000000000005</v>
      </c>
      <c r="O3714" s="1">
        <v>2.1700000000000001E-2</v>
      </c>
      <c r="P3714" s="1">
        <v>2.7199999999999998E-2</v>
      </c>
      <c r="Q3714" s="1">
        <v>8.8800000000000004E-2</v>
      </c>
      <c r="S3714" s="1">
        <v>4.8000000000000001E-2</v>
      </c>
      <c r="U3714" s="1">
        <v>6.6000000000000003E-2</v>
      </c>
      <c r="V3714" s="1">
        <v>6.6600000000000006E-2</v>
      </c>
    </row>
    <row r="3715" spans="1:22">
      <c r="A3715" s="25" t="s">
        <v>205</v>
      </c>
      <c r="B3715">
        <v>1483</v>
      </c>
      <c r="C3715" t="s">
        <v>189</v>
      </c>
      <c r="D3715">
        <v>10429</v>
      </c>
      <c r="E3715" s="1">
        <v>9.9099999999999994E-2</v>
      </c>
      <c r="F3715" s="1">
        <v>4.8999999999999998E-3</v>
      </c>
      <c r="G3715" s="1">
        <v>0.5383</v>
      </c>
      <c r="H3715" s="1">
        <v>1E-3</v>
      </c>
      <c r="I3715" s="1">
        <v>0.1166</v>
      </c>
      <c r="J3715" s="1">
        <v>5.1000000000000004E-3</v>
      </c>
      <c r="K3715" s="1">
        <v>4.4000000000000003E-3</v>
      </c>
      <c r="L3715" s="1">
        <v>0.1459</v>
      </c>
      <c r="M3715" s="1">
        <v>5.0000000000000001E-4</v>
      </c>
      <c r="N3715" s="1">
        <v>2.5000000000000001E-3</v>
      </c>
      <c r="O3715" s="1">
        <v>2.3699999999999999E-2</v>
      </c>
      <c r="P3715" s="1">
        <v>0.1052</v>
      </c>
      <c r="Q3715" s="1">
        <v>3.8899999999999997E-2</v>
      </c>
      <c r="R3715" s="1">
        <v>2.7000000000000001E-3</v>
      </c>
      <c r="S3715" s="1">
        <v>1.8E-3</v>
      </c>
      <c r="T3715" s="1">
        <v>5.5999999999999999E-3</v>
      </c>
      <c r="U3715" s="1">
        <v>0.36820000000000003</v>
      </c>
      <c r="V3715" s="1">
        <v>0.36249999999999999</v>
      </c>
    </row>
    <row r="3716" spans="1:22">
      <c r="A3716" s="25" t="s">
        <v>192</v>
      </c>
      <c r="B3716">
        <v>10429</v>
      </c>
      <c r="C3716" t="s">
        <v>192</v>
      </c>
      <c r="D3716">
        <v>10429</v>
      </c>
      <c r="E3716" s="1">
        <v>7.4200000000000002E-2</v>
      </c>
      <c r="F3716" s="1">
        <v>3.3E-3</v>
      </c>
      <c r="G3716" s="1">
        <v>0.46949999999999997</v>
      </c>
      <c r="H3716" s="1">
        <v>2.5999999999999999E-3</v>
      </c>
      <c r="I3716" s="1">
        <v>7.85E-2</v>
      </c>
      <c r="J3716" s="1">
        <v>8.0000000000000004E-4</v>
      </c>
      <c r="K3716" s="1">
        <v>1.1000000000000001E-3</v>
      </c>
      <c r="L3716" s="1">
        <v>0.2742</v>
      </c>
      <c r="M3716" s="1">
        <v>4.0000000000000002E-4</v>
      </c>
      <c r="N3716" s="1">
        <v>2.8E-3</v>
      </c>
      <c r="O3716" s="1">
        <v>5.7999999999999996E-3</v>
      </c>
      <c r="P3716" s="1">
        <v>6.3100000000000003E-2</v>
      </c>
      <c r="Q3716" s="1">
        <v>1.9599999999999999E-2</v>
      </c>
      <c r="R3716" s="1">
        <v>2.5999999999999999E-3</v>
      </c>
      <c r="S3716" s="1">
        <v>1.1000000000000001E-3</v>
      </c>
      <c r="T3716" s="1">
        <v>7.1000000000000004E-3</v>
      </c>
      <c r="U3716" s="1">
        <v>0.31019999999999998</v>
      </c>
      <c r="V3716" s="1">
        <v>0.27479999999999999</v>
      </c>
    </row>
    <row r="3718" spans="1:22" ht="43.5">
      <c r="A3718" s="25" t="s">
        <v>1169</v>
      </c>
    </row>
    <row r="3719" spans="1:22">
      <c r="A3719" s="25" t="s">
        <v>182</v>
      </c>
      <c r="B3719" t="s">
        <v>219</v>
      </c>
      <c r="C3719" t="s">
        <v>181</v>
      </c>
      <c r="D3719" t="s">
        <v>188</v>
      </c>
      <c r="E3719" t="s">
        <v>1059</v>
      </c>
      <c r="F3719" t="s">
        <v>1124</v>
      </c>
      <c r="G3719" t="s">
        <v>1060</v>
      </c>
      <c r="H3719" t="s">
        <v>1061</v>
      </c>
      <c r="I3719" t="s">
        <v>241</v>
      </c>
      <c r="J3719" t="s">
        <v>1062</v>
      </c>
      <c r="K3719" t="s">
        <v>1063</v>
      </c>
      <c r="L3719" t="s">
        <v>324</v>
      </c>
      <c r="M3719" t="s">
        <v>269</v>
      </c>
      <c r="N3719" t="s">
        <v>243</v>
      </c>
      <c r="O3719" t="s">
        <v>1065</v>
      </c>
      <c r="P3719" t="s">
        <v>1066</v>
      </c>
      <c r="Q3719" t="s">
        <v>1067</v>
      </c>
      <c r="R3719" t="s">
        <v>1068</v>
      </c>
      <c r="S3719" t="s">
        <v>1069</v>
      </c>
      <c r="T3719" t="s">
        <v>1070</v>
      </c>
      <c r="U3719" t="s">
        <v>1072</v>
      </c>
      <c r="V3719" t="s">
        <v>1073</v>
      </c>
    </row>
    <row r="3720" spans="1:22">
      <c r="A3720" s="25" t="s">
        <v>207</v>
      </c>
      <c r="B3720">
        <v>7249</v>
      </c>
      <c r="C3720" t="s">
        <v>189</v>
      </c>
      <c r="D3720">
        <v>10429</v>
      </c>
      <c r="E3720" s="1">
        <v>8.1500000000000003E-2</v>
      </c>
      <c r="F3720" s="1">
        <v>3.3999999999999998E-3</v>
      </c>
      <c r="G3720" s="1">
        <v>0.48799999999999999</v>
      </c>
      <c r="H3720" s="1">
        <v>2.8E-3</v>
      </c>
      <c r="I3720" s="1">
        <v>6.2300000000000001E-2</v>
      </c>
      <c r="J3720" s="1">
        <v>1E-4</v>
      </c>
      <c r="K3720" s="1">
        <v>1.4E-3</v>
      </c>
      <c r="L3720" s="1">
        <v>0.26889999999999997</v>
      </c>
      <c r="M3720" s="1">
        <v>1E-4</v>
      </c>
      <c r="N3720" s="1">
        <v>3.5000000000000001E-3</v>
      </c>
      <c r="O3720" s="1">
        <v>5.1000000000000004E-3</v>
      </c>
      <c r="P3720" s="1">
        <v>6.7900000000000002E-2</v>
      </c>
      <c r="Q3720" s="1">
        <v>2.1499999999999998E-2</v>
      </c>
      <c r="R3720" s="1">
        <v>3.2000000000000002E-3</v>
      </c>
      <c r="S3720" s="1">
        <v>1.1999999999999999E-3</v>
      </c>
      <c r="T3720" s="1">
        <v>6.8999999999999999E-3</v>
      </c>
      <c r="U3720" s="1">
        <v>0.3175</v>
      </c>
      <c r="V3720" s="1">
        <v>0.28249999999999997</v>
      </c>
    </row>
    <row r="3721" spans="1:22">
      <c r="A3721" s="25" t="s">
        <v>208</v>
      </c>
      <c r="B3721">
        <v>2245</v>
      </c>
      <c r="C3721" t="s">
        <v>189</v>
      </c>
      <c r="D3721">
        <v>10429</v>
      </c>
      <c r="E3721" s="1">
        <v>6.1600000000000002E-2</v>
      </c>
      <c r="F3721" s="1">
        <v>3.8999999999999998E-3</v>
      </c>
      <c r="G3721" s="1">
        <v>0.41560000000000002</v>
      </c>
      <c r="H3721" s="1">
        <v>2.3999999999999998E-3</v>
      </c>
      <c r="I3721" s="1">
        <v>0.14419999999999999</v>
      </c>
      <c r="J3721" s="1">
        <v>3.3E-3</v>
      </c>
      <c r="K3721" s="1">
        <v>1E-4</v>
      </c>
      <c r="L3721" s="1">
        <v>0.28000000000000003</v>
      </c>
      <c r="M3721" s="1">
        <v>1E-4</v>
      </c>
      <c r="N3721" s="1">
        <v>1.1999999999999999E-3</v>
      </c>
      <c r="O3721" s="1">
        <v>6.8999999999999999E-3</v>
      </c>
      <c r="P3721" s="1">
        <v>5.0500000000000003E-2</v>
      </c>
      <c r="Q3721" s="1">
        <v>1.66E-2</v>
      </c>
      <c r="R3721" s="1">
        <v>8.9999999999999998E-4</v>
      </c>
      <c r="S3721" s="1">
        <v>5.0000000000000001E-4</v>
      </c>
      <c r="T3721" s="1">
        <v>8.8999999999999999E-3</v>
      </c>
      <c r="U3721" s="1">
        <v>0.28120000000000001</v>
      </c>
      <c r="V3721" s="1">
        <v>0.2487</v>
      </c>
    </row>
    <row r="3722" spans="1:22">
      <c r="A3722" s="25" t="s">
        <v>209</v>
      </c>
      <c r="B3722">
        <v>935</v>
      </c>
      <c r="C3722" t="s">
        <v>189</v>
      </c>
      <c r="D3722">
        <v>10429</v>
      </c>
      <c r="E3722" s="1">
        <v>4.4900000000000002E-2</v>
      </c>
      <c r="F3722" s="1">
        <v>1.2999999999999999E-3</v>
      </c>
      <c r="G3722" s="1">
        <v>0.4597</v>
      </c>
      <c r="H3722" s="1">
        <v>1.6999999999999999E-3</v>
      </c>
      <c r="I3722" s="1">
        <v>3.3700000000000001E-2</v>
      </c>
      <c r="K3722" s="1">
        <v>1.6000000000000001E-3</v>
      </c>
      <c r="L3722" s="1">
        <v>0.30470000000000003</v>
      </c>
      <c r="M3722" s="1">
        <v>3.7000000000000002E-3</v>
      </c>
      <c r="N3722" s="1">
        <v>5.0000000000000001E-4</v>
      </c>
      <c r="O3722" s="1">
        <v>8.9999999999999993E-3</v>
      </c>
      <c r="P3722" s="1">
        <v>5.7000000000000002E-2</v>
      </c>
      <c r="Q3722" s="1">
        <v>1.1599999999999999E-2</v>
      </c>
      <c r="R3722" s="1">
        <v>2.5000000000000001E-3</v>
      </c>
      <c r="S3722" s="1">
        <v>2.2000000000000001E-3</v>
      </c>
      <c r="T3722" s="1">
        <v>4.7000000000000002E-3</v>
      </c>
      <c r="U3722" s="1">
        <v>0.3281</v>
      </c>
      <c r="V3722" s="1">
        <v>0.28089999999999998</v>
      </c>
    </row>
    <row r="3723" spans="1:22">
      <c r="A3723" s="25" t="s">
        <v>192</v>
      </c>
      <c r="B3723">
        <v>10429</v>
      </c>
      <c r="C3723" t="s">
        <v>192</v>
      </c>
      <c r="D3723">
        <v>10429</v>
      </c>
      <c r="E3723" s="1">
        <v>7.4200000000000002E-2</v>
      </c>
      <c r="F3723" s="1">
        <v>3.3E-3</v>
      </c>
      <c r="G3723" s="1">
        <v>0.46949999999999997</v>
      </c>
      <c r="H3723" s="1">
        <v>2.5999999999999999E-3</v>
      </c>
      <c r="I3723" s="1">
        <v>7.85E-2</v>
      </c>
      <c r="J3723" s="1">
        <v>8.0000000000000004E-4</v>
      </c>
      <c r="K3723" s="1">
        <v>1.1000000000000001E-3</v>
      </c>
      <c r="L3723" s="1">
        <v>0.2742</v>
      </c>
      <c r="M3723" s="1">
        <v>4.0000000000000002E-4</v>
      </c>
      <c r="N3723" s="1">
        <v>2.8E-3</v>
      </c>
      <c r="O3723" s="1">
        <v>5.7999999999999996E-3</v>
      </c>
      <c r="P3723" s="1">
        <v>6.3100000000000003E-2</v>
      </c>
      <c r="Q3723" s="1">
        <v>1.9599999999999999E-2</v>
      </c>
      <c r="R3723" s="1">
        <v>2.5999999999999999E-3</v>
      </c>
      <c r="S3723" s="1">
        <v>1.1000000000000001E-3</v>
      </c>
      <c r="T3723" s="1">
        <v>7.1000000000000004E-3</v>
      </c>
      <c r="U3723" s="1">
        <v>0.31019999999999998</v>
      </c>
      <c r="V3723" s="1">
        <v>0.27479999999999999</v>
      </c>
    </row>
    <row r="3725" spans="1:22" ht="43.5">
      <c r="A3725" s="25" t="s">
        <v>1170</v>
      </c>
    </row>
    <row r="3726" spans="1:22">
      <c r="A3726" s="25" t="s">
        <v>182</v>
      </c>
      <c r="B3726" t="s">
        <v>219</v>
      </c>
      <c r="C3726" t="s">
        <v>181</v>
      </c>
      <c r="D3726" t="s">
        <v>188</v>
      </c>
      <c r="E3726" t="s">
        <v>1059</v>
      </c>
      <c r="F3726" t="s">
        <v>1124</v>
      </c>
      <c r="G3726" t="s">
        <v>1060</v>
      </c>
      <c r="H3726" t="s">
        <v>1061</v>
      </c>
      <c r="I3726" t="s">
        <v>241</v>
      </c>
      <c r="J3726" t="s">
        <v>1062</v>
      </c>
      <c r="K3726" t="s">
        <v>1063</v>
      </c>
      <c r="L3726" t="s">
        <v>324</v>
      </c>
      <c r="M3726" t="s">
        <v>269</v>
      </c>
      <c r="N3726" t="s">
        <v>243</v>
      </c>
      <c r="O3726" t="s">
        <v>1065</v>
      </c>
      <c r="P3726" t="s">
        <v>1066</v>
      </c>
      <c r="Q3726" t="s">
        <v>1067</v>
      </c>
      <c r="R3726" t="s">
        <v>1068</v>
      </c>
      <c r="S3726" t="s">
        <v>1069</v>
      </c>
      <c r="T3726" t="s">
        <v>1070</v>
      </c>
      <c r="U3726" t="s">
        <v>1072</v>
      </c>
      <c r="V3726" t="s">
        <v>1073</v>
      </c>
    </row>
    <row r="3727" spans="1:22">
      <c r="A3727" s="25" t="s">
        <v>211</v>
      </c>
      <c r="B3727">
        <v>4969</v>
      </c>
      <c r="C3727" t="s">
        <v>189</v>
      </c>
      <c r="D3727">
        <v>10429</v>
      </c>
      <c r="E3727" s="1">
        <v>8.2199999999999995E-2</v>
      </c>
      <c r="F3727" s="1">
        <v>2.3E-3</v>
      </c>
      <c r="G3727" s="1">
        <v>0.48480000000000001</v>
      </c>
      <c r="H3727" s="1">
        <v>2.2000000000000001E-3</v>
      </c>
      <c r="I3727" s="1">
        <v>4.9099999999999998E-2</v>
      </c>
      <c r="J3727" s="1">
        <v>1E-4</v>
      </c>
      <c r="K3727" s="1">
        <v>1.1999999999999999E-3</v>
      </c>
      <c r="L3727" s="1">
        <v>0.29099999999999998</v>
      </c>
      <c r="M3727" s="1">
        <v>0</v>
      </c>
      <c r="N3727" s="1">
        <v>4.5999999999999999E-3</v>
      </c>
      <c r="O3727" s="1">
        <v>6.6E-3</v>
      </c>
      <c r="P3727" s="1">
        <v>7.8700000000000006E-2</v>
      </c>
      <c r="Q3727" s="1">
        <v>2.6100000000000002E-2</v>
      </c>
      <c r="R3727" s="1">
        <v>1.8E-3</v>
      </c>
      <c r="S3727" s="1">
        <v>1.8E-3</v>
      </c>
      <c r="T3727" s="1">
        <v>5.7000000000000002E-3</v>
      </c>
      <c r="U3727" s="1">
        <v>0.31440000000000001</v>
      </c>
      <c r="V3727" s="1">
        <v>0.27610000000000001</v>
      </c>
    </row>
    <row r="3728" spans="1:22">
      <c r="A3728" s="25" t="s">
        <v>212</v>
      </c>
      <c r="B3728">
        <v>3375</v>
      </c>
      <c r="C3728" t="s">
        <v>189</v>
      </c>
      <c r="D3728">
        <v>10429</v>
      </c>
      <c r="E3728" s="1">
        <v>4.6199999999999998E-2</v>
      </c>
      <c r="F3728" s="1">
        <v>2.3999999999999998E-3</v>
      </c>
      <c r="G3728" s="1">
        <v>0.41959999999999997</v>
      </c>
      <c r="H3728" s="1">
        <v>2.5999999999999999E-3</v>
      </c>
      <c r="I3728" s="1">
        <v>0.1507</v>
      </c>
      <c r="J3728" s="1">
        <v>2.5000000000000001E-3</v>
      </c>
      <c r="K3728" s="1">
        <v>5.0000000000000001E-4</v>
      </c>
      <c r="L3728" s="1">
        <v>0.24979999999999999</v>
      </c>
      <c r="N3728" s="1">
        <v>1.4E-3</v>
      </c>
      <c r="O3728" s="1">
        <v>5.1999999999999998E-3</v>
      </c>
      <c r="P3728" s="1">
        <v>4.07E-2</v>
      </c>
      <c r="Q3728" s="1">
        <v>1.32E-2</v>
      </c>
      <c r="R3728" s="1">
        <v>1.1999999999999999E-3</v>
      </c>
      <c r="S3728" s="1">
        <v>4.0000000000000002E-4</v>
      </c>
      <c r="T3728" s="1">
        <v>7.1000000000000004E-3</v>
      </c>
      <c r="U3728" s="1">
        <v>0.30220000000000002</v>
      </c>
      <c r="V3728" s="1">
        <v>0.26600000000000001</v>
      </c>
    </row>
    <row r="3729" spans="1:22">
      <c r="A3729" s="25" t="s">
        <v>213</v>
      </c>
      <c r="B3729">
        <v>2085</v>
      </c>
      <c r="C3729" t="s">
        <v>189</v>
      </c>
      <c r="D3729">
        <v>10429</v>
      </c>
      <c r="E3729" s="1">
        <v>9.6799999999999997E-2</v>
      </c>
      <c r="F3729" s="1">
        <v>6.7999999999999996E-3</v>
      </c>
      <c r="G3729" s="1">
        <v>0.50760000000000005</v>
      </c>
      <c r="H3729" s="1">
        <v>3.7000000000000002E-3</v>
      </c>
      <c r="I3729" s="1">
        <v>3.8800000000000001E-2</v>
      </c>
      <c r="J3729" s="1">
        <v>1E-4</v>
      </c>
      <c r="K3729" s="1">
        <v>1.9E-3</v>
      </c>
      <c r="L3729" s="1">
        <v>0.27279999999999999</v>
      </c>
      <c r="M3729" s="1">
        <v>1.5E-3</v>
      </c>
      <c r="N3729" s="1">
        <v>8.9999999999999998E-4</v>
      </c>
      <c r="O3729" s="1">
        <v>5.1000000000000004E-3</v>
      </c>
      <c r="P3729" s="1">
        <v>6.1699999999999998E-2</v>
      </c>
      <c r="Q3729" s="1">
        <v>1.47E-2</v>
      </c>
      <c r="R3729" s="1">
        <v>6.4999999999999997E-3</v>
      </c>
      <c r="S3729" s="1">
        <v>5.0000000000000001E-4</v>
      </c>
      <c r="T3729" s="1">
        <v>1.0200000000000001E-2</v>
      </c>
      <c r="U3729" s="1">
        <v>0.31259999999999999</v>
      </c>
      <c r="V3729" s="1">
        <v>0.28460000000000002</v>
      </c>
    </row>
    <row r="3730" spans="1:22">
      <c r="A3730" s="25" t="s">
        <v>192</v>
      </c>
      <c r="B3730">
        <v>10429</v>
      </c>
      <c r="C3730" t="s">
        <v>192</v>
      </c>
      <c r="D3730">
        <v>10429</v>
      </c>
      <c r="E3730" s="1">
        <v>7.4200000000000002E-2</v>
      </c>
      <c r="F3730" s="1">
        <v>3.3E-3</v>
      </c>
      <c r="G3730" s="1">
        <v>0.46949999999999997</v>
      </c>
      <c r="H3730" s="1">
        <v>2.5999999999999999E-3</v>
      </c>
      <c r="I3730" s="1">
        <v>7.85E-2</v>
      </c>
      <c r="J3730" s="1">
        <v>8.0000000000000004E-4</v>
      </c>
      <c r="K3730" s="1">
        <v>1.1000000000000001E-3</v>
      </c>
      <c r="L3730" s="1">
        <v>0.2742</v>
      </c>
      <c r="M3730" s="1">
        <v>4.0000000000000002E-4</v>
      </c>
      <c r="N3730" s="1">
        <v>2.8E-3</v>
      </c>
      <c r="O3730" s="1">
        <v>5.7999999999999996E-3</v>
      </c>
      <c r="P3730" s="1">
        <v>6.3100000000000003E-2</v>
      </c>
      <c r="Q3730" s="1">
        <v>1.9599999999999999E-2</v>
      </c>
      <c r="R3730" s="1">
        <v>2.5999999999999999E-3</v>
      </c>
      <c r="S3730" s="1">
        <v>1.1000000000000001E-3</v>
      </c>
      <c r="T3730" s="1">
        <v>7.1000000000000004E-3</v>
      </c>
      <c r="U3730" s="1">
        <v>0.31019999999999998</v>
      </c>
      <c r="V3730" s="1">
        <v>0.27479999999999999</v>
      </c>
    </row>
    <row r="3732" spans="1:22" ht="43.5">
      <c r="A3732" s="25" t="s">
        <v>1171</v>
      </c>
    </row>
    <row r="3733" spans="1:22">
      <c r="A3733" s="25" t="s">
        <v>182</v>
      </c>
      <c r="B3733" t="s">
        <v>219</v>
      </c>
      <c r="C3733" t="s">
        <v>181</v>
      </c>
      <c r="D3733" t="s">
        <v>188</v>
      </c>
      <c r="E3733" t="s">
        <v>1059</v>
      </c>
      <c r="F3733" t="s">
        <v>1124</v>
      </c>
      <c r="G3733" t="s">
        <v>1061</v>
      </c>
      <c r="H3733" t="s">
        <v>241</v>
      </c>
      <c r="I3733" t="s">
        <v>1172</v>
      </c>
      <c r="J3733" t="s">
        <v>1063</v>
      </c>
      <c r="K3733" t="s">
        <v>324</v>
      </c>
      <c r="L3733" t="s">
        <v>269</v>
      </c>
      <c r="M3733" t="s">
        <v>243</v>
      </c>
      <c r="N3733" t="s">
        <v>1065</v>
      </c>
      <c r="O3733" t="s">
        <v>1066</v>
      </c>
      <c r="P3733" t="s">
        <v>1067</v>
      </c>
      <c r="Q3733" t="s">
        <v>1068</v>
      </c>
      <c r="R3733" t="s">
        <v>1173</v>
      </c>
      <c r="S3733" t="s">
        <v>1069</v>
      </c>
      <c r="T3733" t="s">
        <v>1070</v>
      </c>
      <c r="U3733" t="s">
        <v>1072</v>
      </c>
      <c r="V3733" t="s">
        <v>1073</v>
      </c>
    </row>
    <row r="3734" spans="1:22">
      <c r="A3734" s="25" t="s">
        <v>215</v>
      </c>
      <c r="B3734">
        <v>3307</v>
      </c>
      <c r="C3734" t="s">
        <v>189</v>
      </c>
      <c r="D3734">
        <v>10422</v>
      </c>
      <c r="E3734" s="1">
        <v>8.9999999999999998E-4</v>
      </c>
      <c r="F3734" s="1">
        <v>2.3999999999999998E-3</v>
      </c>
      <c r="G3734" s="1">
        <v>2.3E-3</v>
      </c>
      <c r="H3734" s="1">
        <v>0.14069999999999999</v>
      </c>
      <c r="J3734" s="1">
        <v>2.3E-3</v>
      </c>
      <c r="K3734" s="1">
        <v>0.41949999999999998</v>
      </c>
      <c r="L3734" s="1">
        <v>4.0000000000000002E-4</v>
      </c>
      <c r="M3734" s="1">
        <v>1.8E-3</v>
      </c>
      <c r="N3734" s="1">
        <v>9.9000000000000008E-3</v>
      </c>
      <c r="O3734" s="1">
        <v>1.2200000000000001E-2</v>
      </c>
      <c r="P3734" s="1">
        <v>3.8999999999999998E-3</v>
      </c>
      <c r="Q3734" s="1">
        <v>3.27E-2</v>
      </c>
      <c r="R3734" s="1">
        <v>4.5600000000000002E-2</v>
      </c>
      <c r="S3734" s="1">
        <v>4.1999999999999997E-3</v>
      </c>
      <c r="T3734" s="1">
        <v>1.2E-2</v>
      </c>
      <c r="U3734" s="1">
        <v>0.33739999999999998</v>
      </c>
      <c r="V3734" s="1">
        <v>0.36370000000000002</v>
      </c>
    </row>
    <row r="3735" spans="1:22">
      <c r="A3735" s="25" t="s">
        <v>216</v>
      </c>
      <c r="B3735">
        <v>2</v>
      </c>
      <c r="C3735" t="s">
        <v>189</v>
      </c>
      <c r="D3735">
        <v>10422</v>
      </c>
      <c r="U3735" s="1">
        <v>1</v>
      </c>
      <c r="V3735" s="1">
        <v>1</v>
      </c>
    </row>
    <row r="3736" spans="1:22">
      <c r="A3736" s="25" t="s">
        <v>217</v>
      </c>
      <c r="B3736">
        <v>7113</v>
      </c>
      <c r="C3736" t="s">
        <v>189</v>
      </c>
      <c r="D3736">
        <v>10422</v>
      </c>
      <c r="E3736" s="1">
        <v>8.9999999999999998E-4</v>
      </c>
      <c r="F3736" s="1">
        <v>1E-3</v>
      </c>
      <c r="G3736" s="1">
        <v>8.9999999999999998E-4</v>
      </c>
      <c r="H3736" s="1">
        <v>9.3899999999999997E-2</v>
      </c>
      <c r="I3736" s="1">
        <v>5.0000000000000001E-4</v>
      </c>
      <c r="J3736" s="1">
        <v>2.7000000000000001E-3</v>
      </c>
      <c r="K3736" s="1">
        <v>0.41049999999999998</v>
      </c>
      <c r="L3736" s="1">
        <v>1.8E-3</v>
      </c>
      <c r="M3736" s="1">
        <v>1.9E-3</v>
      </c>
      <c r="N3736" s="1">
        <v>7.0000000000000001E-3</v>
      </c>
      <c r="O3736" s="1">
        <v>1.1900000000000001E-2</v>
      </c>
      <c r="P3736" s="1">
        <v>5.5999999999999999E-3</v>
      </c>
      <c r="Q3736" s="1">
        <v>4.48E-2</v>
      </c>
      <c r="R3736" s="1">
        <v>4.6600000000000003E-2</v>
      </c>
      <c r="S3736" s="1">
        <v>1.6000000000000001E-3</v>
      </c>
      <c r="T3736" s="1">
        <v>8.0999999999999996E-3</v>
      </c>
      <c r="U3736" s="1">
        <v>0.37909999999999999</v>
      </c>
      <c r="V3736" s="1">
        <v>0.41889999999999999</v>
      </c>
    </row>
    <row r="3737" spans="1:22">
      <c r="A3737" s="25" t="s">
        <v>192</v>
      </c>
      <c r="B3737">
        <v>10422</v>
      </c>
      <c r="C3737" t="s">
        <v>192</v>
      </c>
      <c r="D3737">
        <v>10422</v>
      </c>
      <c r="E3737" s="1">
        <v>8.9999999999999998E-4</v>
      </c>
      <c r="F3737" s="1">
        <v>1.5E-3</v>
      </c>
      <c r="G3737" s="1">
        <v>1.4E-3</v>
      </c>
      <c r="H3737" s="1">
        <v>0.1099</v>
      </c>
      <c r="I3737" s="1">
        <v>2.9999999999999997E-4</v>
      </c>
      <c r="J3737" s="1">
        <v>2.5999999999999999E-3</v>
      </c>
      <c r="K3737" s="1">
        <v>0.41349999999999998</v>
      </c>
      <c r="L3737" s="1">
        <v>1.2999999999999999E-3</v>
      </c>
      <c r="M3737" s="1">
        <v>1.9E-3</v>
      </c>
      <c r="N3737" s="1">
        <v>8.0000000000000002E-3</v>
      </c>
      <c r="O3737" s="1">
        <v>1.2E-2</v>
      </c>
      <c r="P3737" s="1">
        <v>5.1000000000000004E-3</v>
      </c>
      <c r="Q3737" s="1">
        <v>4.07E-2</v>
      </c>
      <c r="R3737" s="1">
        <v>4.6300000000000001E-2</v>
      </c>
      <c r="S3737" s="1">
        <v>2.5000000000000001E-3</v>
      </c>
      <c r="T3737" s="1">
        <v>9.4999999999999998E-3</v>
      </c>
      <c r="U3737" s="1">
        <v>0.36499999999999999</v>
      </c>
      <c r="V3737" s="1">
        <v>0.4002</v>
      </c>
    </row>
    <row r="3739" spans="1:22" ht="43.5">
      <c r="A3739" s="25" t="s">
        <v>1174</v>
      </c>
    </row>
    <row r="3740" spans="1:22">
      <c r="A3740" s="25" t="s">
        <v>182</v>
      </c>
      <c r="B3740" t="s">
        <v>219</v>
      </c>
      <c r="C3740" t="s">
        <v>181</v>
      </c>
      <c r="D3740" t="s">
        <v>188</v>
      </c>
      <c r="E3740" t="s">
        <v>1059</v>
      </c>
      <c r="F3740" t="s">
        <v>1124</v>
      </c>
      <c r="G3740" t="s">
        <v>1061</v>
      </c>
      <c r="H3740" t="s">
        <v>241</v>
      </c>
      <c r="I3740" t="s">
        <v>1172</v>
      </c>
      <c r="J3740" t="s">
        <v>1063</v>
      </c>
      <c r="K3740" t="s">
        <v>324</v>
      </c>
      <c r="L3740" t="s">
        <v>269</v>
      </c>
      <c r="M3740" t="s">
        <v>243</v>
      </c>
      <c r="N3740" t="s">
        <v>1065</v>
      </c>
      <c r="O3740" t="s">
        <v>1066</v>
      </c>
      <c r="P3740" t="s">
        <v>1067</v>
      </c>
      <c r="Q3740" t="s">
        <v>1068</v>
      </c>
      <c r="R3740" t="s">
        <v>1173</v>
      </c>
      <c r="S3740" t="s">
        <v>1069</v>
      </c>
      <c r="T3740" t="s">
        <v>1070</v>
      </c>
      <c r="U3740" t="s">
        <v>1072</v>
      </c>
      <c r="V3740" t="s">
        <v>1073</v>
      </c>
    </row>
    <row r="3741" spans="1:22">
      <c r="A3741" s="25" t="s">
        <v>296</v>
      </c>
      <c r="B3741">
        <v>3534</v>
      </c>
      <c r="C3741" t="s">
        <v>189</v>
      </c>
      <c r="D3741">
        <v>10422</v>
      </c>
      <c r="E3741" s="1">
        <v>8.9999999999999998E-4</v>
      </c>
      <c r="F3741" s="1">
        <v>2E-3</v>
      </c>
      <c r="G3741" s="1">
        <v>3.7000000000000002E-3</v>
      </c>
      <c r="H3741" s="1">
        <v>2.46E-2</v>
      </c>
      <c r="J3741" s="1">
        <v>2.3999999999999998E-3</v>
      </c>
      <c r="K3741" s="1">
        <v>0.41670000000000001</v>
      </c>
      <c r="L3741" s="1">
        <v>2.8E-3</v>
      </c>
      <c r="M3741" s="1">
        <v>4.0000000000000002E-4</v>
      </c>
      <c r="N3741" s="1">
        <v>1.03E-2</v>
      </c>
      <c r="O3741" s="1">
        <v>1.34E-2</v>
      </c>
      <c r="P3741" s="1">
        <v>7.6E-3</v>
      </c>
      <c r="Q3741" s="1">
        <v>5.9400000000000001E-2</v>
      </c>
      <c r="R3741" s="1">
        <v>6.4899999999999999E-2</v>
      </c>
      <c r="S3741" s="1">
        <v>2.3999999999999998E-3</v>
      </c>
      <c r="T3741" s="1">
        <v>8.3000000000000001E-3</v>
      </c>
      <c r="U3741" s="1">
        <v>0.4304</v>
      </c>
      <c r="V3741" s="1">
        <v>0.46560000000000001</v>
      </c>
    </row>
    <row r="3742" spans="1:22">
      <c r="A3742" s="25" t="s">
        <v>297</v>
      </c>
      <c r="B3742">
        <v>6888</v>
      </c>
      <c r="C3742" t="s">
        <v>189</v>
      </c>
      <c r="D3742">
        <v>10422</v>
      </c>
      <c r="E3742" s="1">
        <v>8.9999999999999998E-4</v>
      </c>
      <c r="F3742" s="1">
        <v>1.1999999999999999E-3</v>
      </c>
      <c r="G3742" s="1">
        <v>2.0000000000000001E-4</v>
      </c>
      <c r="H3742" s="1">
        <v>0.15079999999999999</v>
      </c>
      <c r="I3742" s="1">
        <v>5.0000000000000001E-4</v>
      </c>
      <c r="J3742" s="1">
        <v>2.7000000000000001E-3</v>
      </c>
      <c r="K3742" s="1">
        <v>0.41199999999999998</v>
      </c>
      <c r="L3742" s="1">
        <v>5.9999999999999995E-4</v>
      </c>
      <c r="M3742" s="1">
        <v>2.5999999999999999E-3</v>
      </c>
      <c r="N3742" s="1">
        <v>6.8999999999999999E-3</v>
      </c>
      <c r="O3742" s="1">
        <v>1.1299999999999999E-2</v>
      </c>
      <c r="P3742" s="1">
        <v>3.8999999999999998E-3</v>
      </c>
      <c r="Q3742" s="1">
        <v>3.1699999999999999E-2</v>
      </c>
      <c r="R3742" s="1">
        <v>3.73E-2</v>
      </c>
      <c r="S3742" s="1">
        <v>2.5000000000000001E-3</v>
      </c>
      <c r="T3742" s="1">
        <v>0.01</v>
      </c>
      <c r="U3742" s="1">
        <v>0.33350000000000002</v>
      </c>
      <c r="V3742" s="1">
        <v>0.36870000000000003</v>
      </c>
    </row>
    <row r="3743" spans="1:22">
      <c r="A3743" s="25" t="s">
        <v>192</v>
      </c>
      <c r="B3743">
        <v>10422</v>
      </c>
      <c r="C3743" t="s">
        <v>192</v>
      </c>
      <c r="D3743">
        <v>10422</v>
      </c>
      <c r="E3743" s="1">
        <v>8.9999999999999998E-4</v>
      </c>
      <c r="F3743" s="1">
        <v>1.5E-3</v>
      </c>
      <c r="G3743" s="1">
        <v>1.4E-3</v>
      </c>
      <c r="H3743" s="1">
        <v>0.1099</v>
      </c>
      <c r="I3743" s="1">
        <v>2.9999999999999997E-4</v>
      </c>
      <c r="J3743" s="1">
        <v>2.5999999999999999E-3</v>
      </c>
      <c r="K3743" s="1">
        <v>0.41349999999999998</v>
      </c>
      <c r="L3743" s="1">
        <v>1.2999999999999999E-3</v>
      </c>
      <c r="M3743" s="1">
        <v>1.9E-3</v>
      </c>
      <c r="N3743" s="1">
        <v>8.0000000000000002E-3</v>
      </c>
      <c r="O3743" s="1">
        <v>1.2E-2</v>
      </c>
      <c r="P3743" s="1">
        <v>5.1000000000000004E-3</v>
      </c>
      <c r="Q3743" s="1">
        <v>4.07E-2</v>
      </c>
      <c r="R3743" s="1">
        <v>4.6300000000000001E-2</v>
      </c>
      <c r="S3743" s="1">
        <v>2.5000000000000001E-3</v>
      </c>
      <c r="T3743" s="1">
        <v>9.4999999999999998E-3</v>
      </c>
      <c r="U3743" s="1">
        <v>0.36499999999999999</v>
      </c>
      <c r="V3743" s="1">
        <v>0.4002</v>
      </c>
    </row>
    <row r="3745" spans="1:22" ht="43.5">
      <c r="A3745" s="25" t="s">
        <v>1175</v>
      </c>
    </row>
    <row r="3746" spans="1:22">
      <c r="A3746" s="25" t="s">
        <v>182</v>
      </c>
      <c r="B3746" t="s">
        <v>219</v>
      </c>
      <c r="C3746" t="s">
        <v>181</v>
      </c>
      <c r="D3746" t="s">
        <v>188</v>
      </c>
      <c r="E3746" t="s">
        <v>1059</v>
      </c>
      <c r="F3746" t="s">
        <v>1124</v>
      </c>
      <c r="G3746" t="s">
        <v>1061</v>
      </c>
      <c r="H3746" t="s">
        <v>241</v>
      </c>
      <c r="I3746" t="s">
        <v>1172</v>
      </c>
      <c r="J3746" t="s">
        <v>1063</v>
      </c>
      <c r="K3746" t="s">
        <v>324</v>
      </c>
      <c r="L3746" t="s">
        <v>269</v>
      </c>
      <c r="M3746" t="s">
        <v>243</v>
      </c>
      <c r="N3746" t="s">
        <v>1065</v>
      </c>
      <c r="O3746" t="s">
        <v>1066</v>
      </c>
      <c r="P3746" t="s">
        <v>1067</v>
      </c>
      <c r="Q3746" t="s">
        <v>1068</v>
      </c>
      <c r="R3746" t="s">
        <v>1173</v>
      </c>
      <c r="S3746" t="s">
        <v>1069</v>
      </c>
      <c r="T3746" t="s">
        <v>1070</v>
      </c>
      <c r="U3746" t="s">
        <v>1072</v>
      </c>
      <c r="V3746" t="s">
        <v>1073</v>
      </c>
    </row>
    <row r="3747" spans="1:22">
      <c r="A3747" s="25" t="s">
        <v>223</v>
      </c>
      <c r="B3747">
        <v>882</v>
      </c>
      <c r="C3747" t="s">
        <v>189</v>
      </c>
      <c r="D3747">
        <v>10422</v>
      </c>
      <c r="E3747" s="1">
        <v>2.0000000000000001E-4</v>
      </c>
      <c r="G3747" s="1">
        <v>1.6999999999999999E-3</v>
      </c>
      <c r="H3747" s="1">
        <v>0.14610000000000001</v>
      </c>
      <c r="I3747" s="1">
        <v>2.8E-3</v>
      </c>
      <c r="J3747" s="1">
        <v>6.6E-3</v>
      </c>
      <c r="K3747" s="1">
        <v>0.40310000000000001</v>
      </c>
      <c r="M3747" s="1">
        <v>6.9999999999999999E-4</v>
      </c>
      <c r="N3747" s="1">
        <v>8.8999999999999999E-3</v>
      </c>
      <c r="O3747" s="1">
        <v>8.6E-3</v>
      </c>
      <c r="P3747" s="1">
        <v>1.9E-3</v>
      </c>
      <c r="Q3747" s="1">
        <v>4.2299999999999997E-2</v>
      </c>
      <c r="R3747" s="1">
        <v>5.7000000000000002E-2</v>
      </c>
      <c r="S3747" s="1">
        <v>1.14E-2</v>
      </c>
      <c r="T3747" s="1">
        <v>2.1399999999999999E-2</v>
      </c>
      <c r="U3747" s="1">
        <v>0.34889999999999999</v>
      </c>
      <c r="V3747" s="1">
        <v>0.3669</v>
      </c>
    </row>
    <row r="3748" spans="1:22">
      <c r="A3748" s="25" t="s">
        <v>224</v>
      </c>
      <c r="B3748">
        <v>2873</v>
      </c>
      <c r="C3748" t="s">
        <v>189</v>
      </c>
      <c r="D3748">
        <v>10422</v>
      </c>
      <c r="E3748" s="1">
        <v>1E-4</v>
      </c>
      <c r="F3748" s="1">
        <v>3.7000000000000002E-3</v>
      </c>
      <c r="G3748" s="1">
        <v>3.8999999999999998E-3</v>
      </c>
      <c r="H3748" s="1">
        <v>6.3100000000000003E-2</v>
      </c>
      <c r="J3748" s="1">
        <v>3.3999999999999998E-3</v>
      </c>
      <c r="K3748" s="1">
        <v>0.38429999999999997</v>
      </c>
      <c r="L3748" s="1">
        <v>2.3999999999999998E-3</v>
      </c>
      <c r="M3748" s="1">
        <v>4.0000000000000001E-3</v>
      </c>
      <c r="N3748" s="1">
        <v>1.1299999999999999E-2</v>
      </c>
      <c r="O3748" s="1">
        <v>1.6400000000000001E-2</v>
      </c>
      <c r="P3748" s="1">
        <v>1.14E-2</v>
      </c>
      <c r="Q3748" s="1">
        <v>5.4199999999999998E-2</v>
      </c>
      <c r="R3748" s="1">
        <v>6.25E-2</v>
      </c>
      <c r="S3748" s="1">
        <v>2E-3</v>
      </c>
      <c r="T3748" s="1">
        <v>7.4000000000000003E-3</v>
      </c>
      <c r="U3748" s="1">
        <v>0.41749999999999998</v>
      </c>
      <c r="V3748" s="1">
        <v>0.4577</v>
      </c>
    </row>
    <row r="3749" spans="1:22">
      <c r="A3749" s="25" t="s">
        <v>225</v>
      </c>
      <c r="B3749">
        <v>2812</v>
      </c>
      <c r="C3749" t="s">
        <v>189</v>
      </c>
      <c r="D3749">
        <v>10422</v>
      </c>
      <c r="E3749" s="1">
        <v>2.8E-3</v>
      </c>
      <c r="F3749" s="1">
        <v>1.4E-3</v>
      </c>
      <c r="G3749" s="1">
        <v>5.0000000000000001E-4</v>
      </c>
      <c r="H3749" s="1">
        <v>9.2499999999999999E-2</v>
      </c>
      <c r="J3749" s="1">
        <v>1.1999999999999999E-3</v>
      </c>
      <c r="K3749" s="1">
        <v>0.41980000000000001</v>
      </c>
      <c r="L3749" s="1">
        <v>1.2999999999999999E-3</v>
      </c>
      <c r="M3749" s="1">
        <v>6.9999999999999999E-4</v>
      </c>
      <c r="N3749" s="1">
        <v>5.0000000000000001E-3</v>
      </c>
      <c r="O3749" s="1">
        <v>1.37E-2</v>
      </c>
      <c r="P3749" s="1">
        <v>5.0000000000000001E-3</v>
      </c>
      <c r="Q3749" s="1">
        <v>3.7999999999999999E-2</v>
      </c>
      <c r="R3749" s="1">
        <v>4.2000000000000003E-2</v>
      </c>
      <c r="S3749" s="1">
        <v>2.0000000000000001E-4</v>
      </c>
      <c r="T3749" s="1">
        <v>7.4999999999999997E-3</v>
      </c>
      <c r="U3749" s="1">
        <v>0.38500000000000001</v>
      </c>
      <c r="V3749" s="1">
        <v>0.41560000000000002</v>
      </c>
    </row>
    <row r="3750" spans="1:22">
      <c r="A3750" s="25" t="s">
        <v>226</v>
      </c>
      <c r="B3750">
        <v>3855</v>
      </c>
      <c r="C3750" t="s">
        <v>189</v>
      </c>
      <c r="D3750">
        <v>10422</v>
      </c>
      <c r="E3750" s="1">
        <v>4.0000000000000002E-4</v>
      </c>
      <c r="F3750" s="1">
        <v>5.0000000000000001E-4</v>
      </c>
      <c r="H3750" s="1">
        <v>0.14249999999999999</v>
      </c>
      <c r="J3750" s="1">
        <v>1.6000000000000001E-3</v>
      </c>
      <c r="K3750" s="1">
        <v>0.4335</v>
      </c>
      <c r="L3750" s="1">
        <v>1E-3</v>
      </c>
      <c r="M3750" s="1">
        <v>1.5E-3</v>
      </c>
      <c r="N3750" s="1">
        <v>7.3000000000000001E-3</v>
      </c>
      <c r="O3750" s="1">
        <v>8.8999999999999999E-3</v>
      </c>
      <c r="P3750" s="1">
        <v>1.6999999999999999E-3</v>
      </c>
      <c r="Q3750" s="1">
        <v>3.2300000000000002E-2</v>
      </c>
      <c r="R3750" s="1">
        <v>3.4000000000000002E-2</v>
      </c>
      <c r="S3750" s="1">
        <v>1.4E-3</v>
      </c>
      <c r="T3750" s="1">
        <v>8.3000000000000001E-3</v>
      </c>
      <c r="U3750" s="1">
        <v>0.31979999999999997</v>
      </c>
      <c r="V3750" s="1">
        <v>0.36020000000000002</v>
      </c>
    </row>
    <row r="3751" spans="1:22">
      <c r="A3751" s="25" t="s">
        <v>192</v>
      </c>
      <c r="B3751">
        <v>10422</v>
      </c>
      <c r="C3751" t="s">
        <v>192</v>
      </c>
      <c r="D3751">
        <v>10422</v>
      </c>
      <c r="E3751" s="1">
        <v>8.9999999999999998E-4</v>
      </c>
      <c r="F3751" s="1">
        <v>1.5E-3</v>
      </c>
      <c r="G3751" s="1">
        <v>1.4E-3</v>
      </c>
      <c r="H3751" s="1">
        <v>0.1099</v>
      </c>
      <c r="I3751" s="1">
        <v>2.9999999999999997E-4</v>
      </c>
      <c r="J3751" s="1">
        <v>2.5999999999999999E-3</v>
      </c>
      <c r="K3751" s="1">
        <v>0.41349999999999998</v>
      </c>
      <c r="L3751" s="1">
        <v>1.2999999999999999E-3</v>
      </c>
      <c r="M3751" s="1">
        <v>1.9E-3</v>
      </c>
      <c r="N3751" s="1">
        <v>8.0000000000000002E-3</v>
      </c>
      <c r="O3751" s="1">
        <v>1.2E-2</v>
      </c>
      <c r="P3751" s="1">
        <v>5.1000000000000004E-3</v>
      </c>
      <c r="Q3751" s="1">
        <v>4.07E-2</v>
      </c>
      <c r="R3751" s="1">
        <v>4.6300000000000001E-2</v>
      </c>
      <c r="S3751" s="1">
        <v>2.5000000000000001E-3</v>
      </c>
      <c r="T3751" s="1">
        <v>9.4999999999999998E-3</v>
      </c>
      <c r="U3751" s="1">
        <v>0.36499999999999999</v>
      </c>
      <c r="V3751" s="1">
        <v>0.4002</v>
      </c>
    </row>
    <row r="3753" spans="1:22" ht="43.5">
      <c r="A3753" s="25" t="s">
        <v>1176</v>
      </c>
    </row>
    <row r="3754" spans="1:22">
      <c r="A3754" s="25" t="s">
        <v>182</v>
      </c>
      <c r="B3754" t="s">
        <v>219</v>
      </c>
      <c r="C3754" t="s">
        <v>181</v>
      </c>
      <c r="D3754" t="s">
        <v>188</v>
      </c>
      <c r="E3754" t="s">
        <v>1059</v>
      </c>
      <c r="F3754" t="s">
        <v>1124</v>
      </c>
      <c r="G3754" t="s">
        <v>1061</v>
      </c>
      <c r="H3754" t="s">
        <v>241</v>
      </c>
      <c r="I3754" t="s">
        <v>1172</v>
      </c>
      <c r="J3754" t="s">
        <v>1063</v>
      </c>
      <c r="K3754" t="s">
        <v>324</v>
      </c>
      <c r="L3754" t="s">
        <v>269</v>
      </c>
      <c r="M3754" t="s">
        <v>243</v>
      </c>
      <c r="N3754" t="s">
        <v>1065</v>
      </c>
      <c r="O3754" t="s">
        <v>1066</v>
      </c>
      <c r="P3754" t="s">
        <v>1067</v>
      </c>
      <c r="Q3754" t="s">
        <v>1068</v>
      </c>
      <c r="R3754" t="s">
        <v>1173</v>
      </c>
      <c r="S3754" t="s">
        <v>1069</v>
      </c>
      <c r="T3754" t="s">
        <v>1070</v>
      </c>
      <c r="U3754" t="s">
        <v>1072</v>
      </c>
      <c r="V3754" t="s">
        <v>1073</v>
      </c>
    </row>
    <row r="3755" spans="1:22">
      <c r="A3755" s="25" t="s">
        <v>190</v>
      </c>
      <c r="B3755">
        <v>4896</v>
      </c>
      <c r="C3755" t="s">
        <v>189</v>
      </c>
      <c r="D3755">
        <v>10422</v>
      </c>
      <c r="E3755" s="1">
        <v>1.1000000000000001E-3</v>
      </c>
      <c r="F3755" s="1">
        <v>1.2999999999999999E-3</v>
      </c>
      <c r="G3755" s="1">
        <v>5.9999999999999995E-4</v>
      </c>
      <c r="H3755" s="1">
        <v>9.9299999999999999E-2</v>
      </c>
      <c r="J3755" s="1">
        <v>5.9999999999999995E-4</v>
      </c>
      <c r="K3755" s="1">
        <v>0.56399999999999995</v>
      </c>
      <c r="L3755" s="1">
        <v>5.0000000000000001E-4</v>
      </c>
      <c r="M3755" s="1">
        <v>1.6999999999999999E-3</v>
      </c>
      <c r="N3755" s="1">
        <v>1.06E-2</v>
      </c>
      <c r="O3755" s="1">
        <v>9.7000000000000003E-3</v>
      </c>
      <c r="P3755" s="1">
        <v>3.5999999999999999E-3</v>
      </c>
      <c r="Q3755" s="1">
        <v>3.1099999999999999E-2</v>
      </c>
      <c r="R3755" s="1">
        <v>3.2800000000000003E-2</v>
      </c>
      <c r="S3755" s="1">
        <v>2.0999999999999999E-3</v>
      </c>
      <c r="T3755" s="1">
        <v>6.0000000000000001E-3</v>
      </c>
      <c r="U3755" s="1">
        <v>0.24440000000000001</v>
      </c>
      <c r="V3755" s="1">
        <v>0.26</v>
      </c>
    </row>
    <row r="3756" spans="1:22">
      <c r="A3756" s="25" t="s">
        <v>191</v>
      </c>
      <c r="B3756">
        <v>5469</v>
      </c>
      <c r="C3756" t="s">
        <v>189</v>
      </c>
      <c r="D3756">
        <v>10422</v>
      </c>
      <c r="E3756" s="1">
        <v>6.9999999999999999E-4</v>
      </c>
      <c r="F3756" s="1">
        <v>1.6000000000000001E-3</v>
      </c>
      <c r="G3756" s="1">
        <v>1.8E-3</v>
      </c>
      <c r="H3756" s="1">
        <v>0.1164</v>
      </c>
      <c r="I3756" s="1">
        <v>5.9999999999999995E-4</v>
      </c>
      <c r="J3756" s="1">
        <v>3.8E-3</v>
      </c>
      <c r="K3756" s="1">
        <v>0.32129999999999997</v>
      </c>
      <c r="L3756" s="1">
        <v>1.8E-3</v>
      </c>
      <c r="M3756" s="1">
        <v>2E-3</v>
      </c>
      <c r="N3756" s="1">
        <v>6.3E-3</v>
      </c>
      <c r="O3756" s="1">
        <v>1.34E-2</v>
      </c>
      <c r="P3756" s="1">
        <v>6.0000000000000001E-3</v>
      </c>
      <c r="Q3756" s="1">
        <v>4.6600000000000003E-2</v>
      </c>
      <c r="R3756" s="1">
        <v>5.4600000000000003E-2</v>
      </c>
      <c r="S3756" s="1">
        <v>2.8E-3</v>
      </c>
      <c r="T3756" s="1">
        <v>1.1599999999999999E-2</v>
      </c>
      <c r="U3756" s="1">
        <v>0.43859999999999999</v>
      </c>
      <c r="V3756" s="1">
        <v>0.4859</v>
      </c>
    </row>
    <row r="3757" spans="1:22">
      <c r="A3757" s="25" t="s">
        <v>192</v>
      </c>
      <c r="B3757">
        <v>10422</v>
      </c>
      <c r="C3757" t="s">
        <v>192</v>
      </c>
      <c r="D3757">
        <v>10422</v>
      </c>
      <c r="E3757" s="1">
        <v>8.9999999999999998E-4</v>
      </c>
      <c r="F3757" s="1">
        <v>1.5E-3</v>
      </c>
      <c r="G3757" s="1">
        <v>1.4E-3</v>
      </c>
      <c r="H3757" s="1">
        <v>0.1099</v>
      </c>
      <c r="I3757" s="1">
        <v>2.9999999999999997E-4</v>
      </c>
      <c r="J3757" s="1">
        <v>2.5999999999999999E-3</v>
      </c>
      <c r="K3757" s="1">
        <v>0.41349999999999998</v>
      </c>
      <c r="L3757" s="1">
        <v>1.2999999999999999E-3</v>
      </c>
      <c r="M3757" s="1">
        <v>1.9E-3</v>
      </c>
      <c r="N3757" s="1">
        <v>8.0000000000000002E-3</v>
      </c>
      <c r="O3757" s="1">
        <v>1.2E-2</v>
      </c>
      <c r="P3757" s="1">
        <v>5.1000000000000004E-3</v>
      </c>
      <c r="Q3757" s="1">
        <v>4.07E-2</v>
      </c>
      <c r="R3757" s="1">
        <v>4.6300000000000001E-2</v>
      </c>
      <c r="S3757" s="1">
        <v>2.5000000000000001E-3</v>
      </c>
      <c r="T3757" s="1">
        <v>9.4999999999999998E-3</v>
      </c>
      <c r="U3757" s="1">
        <v>0.36499999999999999</v>
      </c>
      <c r="V3757" s="1">
        <v>0.4002</v>
      </c>
    </row>
    <row r="3759" spans="1:22" ht="57.95">
      <c r="A3759" s="25" t="s">
        <v>1177</v>
      </c>
    </row>
    <row r="3760" spans="1:22">
      <c r="A3760" s="25" t="s">
        <v>182</v>
      </c>
      <c r="B3760" t="s">
        <v>219</v>
      </c>
      <c r="C3760" t="s">
        <v>181</v>
      </c>
      <c r="D3760" t="s">
        <v>188</v>
      </c>
      <c r="E3760" t="s">
        <v>1059</v>
      </c>
      <c r="F3760" t="s">
        <v>1124</v>
      </c>
      <c r="G3760" t="s">
        <v>1061</v>
      </c>
      <c r="H3760" t="s">
        <v>241</v>
      </c>
      <c r="I3760" t="s">
        <v>1172</v>
      </c>
      <c r="J3760" t="s">
        <v>1063</v>
      </c>
      <c r="K3760" t="s">
        <v>324</v>
      </c>
      <c r="L3760" t="s">
        <v>269</v>
      </c>
      <c r="M3760" t="s">
        <v>243</v>
      </c>
      <c r="N3760" t="s">
        <v>1065</v>
      </c>
      <c r="O3760" t="s">
        <v>1066</v>
      </c>
      <c r="P3760" t="s">
        <v>1067</v>
      </c>
      <c r="Q3760" t="s">
        <v>1068</v>
      </c>
      <c r="R3760" t="s">
        <v>1173</v>
      </c>
      <c r="S3760" t="s">
        <v>1069</v>
      </c>
      <c r="T3760" t="s">
        <v>1070</v>
      </c>
      <c r="U3760" t="s">
        <v>1072</v>
      </c>
      <c r="V3760" t="s">
        <v>1073</v>
      </c>
    </row>
    <row r="3761" spans="1:22" ht="29.1">
      <c r="A3761" s="25" t="s">
        <v>194</v>
      </c>
      <c r="B3761">
        <v>5953</v>
      </c>
      <c r="C3761" t="s">
        <v>189</v>
      </c>
      <c r="D3761">
        <v>10422</v>
      </c>
      <c r="E3761" s="1">
        <v>6.9999999999999999E-4</v>
      </c>
      <c r="F3761" s="1">
        <v>1.1000000000000001E-3</v>
      </c>
      <c r="G3761" s="1">
        <v>1.9E-3</v>
      </c>
      <c r="H3761" s="1">
        <v>0.10349999999999999</v>
      </c>
      <c r="I3761" s="1">
        <v>5.0000000000000001E-4</v>
      </c>
      <c r="J3761" s="1">
        <v>2.2000000000000001E-3</v>
      </c>
      <c r="K3761" s="1">
        <v>0.51319999999999999</v>
      </c>
      <c r="L3761" s="1">
        <v>8.9999999999999998E-4</v>
      </c>
      <c r="M3761" s="1">
        <v>1.9E-3</v>
      </c>
      <c r="N3761" s="1">
        <v>4.4000000000000003E-3</v>
      </c>
      <c r="O3761" s="1">
        <v>9.7999999999999997E-3</v>
      </c>
      <c r="P3761" s="1">
        <v>3.8E-3</v>
      </c>
      <c r="Q3761" s="1">
        <v>3.9100000000000003E-2</v>
      </c>
      <c r="R3761" s="1">
        <v>5.21E-2</v>
      </c>
      <c r="S3761" s="1">
        <v>2.5000000000000001E-3</v>
      </c>
      <c r="T3761" s="1">
        <v>0.01</v>
      </c>
      <c r="U3761" s="1">
        <v>0.2606</v>
      </c>
      <c r="V3761" s="1">
        <v>0.30470000000000003</v>
      </c>
    </row>
    <row r="3762" spans="1:22" ht="29.1">
      <c r="A3762" s="25" t="s">
        <v>195</v>
      </c>
      <c r="B3762">
        <v>2701</v>
      </c>
      <c r="C3762" t="s">
        <v>189</v>
      </c>
      <c r="D3762">
        <v>10422</v>
      </c>
      <c r="E3762" s="1">
        <v>2E-3</v>
      </c>
      <c r="F3762" s="1">
        <v>2.0999999999999999E-3</v>
      </c>
      <c r="H3762" s="1">
        <v>0.13159999999999999</v>
      </c>
      <c r="J3762" s="1">
        <v>4.8999999999999998E-3</v>
      </c>
      <c r="K3762" s="1">
        <v>0.2114</v>
      </c>
      <c r="L3762" s="1">
        <v>3.2000000000000002E-3</v>
      </c>
      <c r="M3762" s="1">
        <v>5.0000000000000001E-4</v>
      </c>
      <c r="N3762" s="1">
        <v>1.5699999999999999E-2</v>
      </c>
      <c r="O3762" s="1">
        <v>1.2699999999999999E-2</v>
      </c>
      <c r="P3762" s="1">
        <v>5.7000000000000002E-3</v>
      </c>
      <c r="Q3762" s="1">
        <v>4.4999999999999998E-2</v>
      </c>
      <c r="R3762" s="1">
        <v>3.3799999999999997E-2</v>
      </c>
      <c r="S3762" s="1">
        <v>2.0999999999999999E-3</v>
      </c>
      <c r="T3762" s="1">
        <v>8.8000000000000005E-3</v>
      </c>
      <c r="U3762" s="1">
        <v>0.56100000000000005</v>
      </c>
      <c r="V3762" s="1">
        <v>0.56610000000000005</v>
      </c>
    </row>
    <row r="3763" spans="1:22" ht="29.1">
      <c r="A3763" s="25" t="s">
        <v>196</v>
      </c>
      <c r="B3763">
        <v>1711</v>
      </c>
      <c r="C3763" t="s">
        <v>189</v>
      </c>
      <c r="D3763">
        <v>10422</v>
      </c>
      <c r="F3763" s="1">
        <v>2.8999999999999998E-3</v>
      </c>
      <c r="H3763" s="1">
        <v>0.1142</v>
      </c>
      <c r="J3763" s="1">
        <v>1.1999999999999999E-3</v>
      </c>
      <c r="K3763" s="1">
        <v>7.0900000000000005E-2</v>
      </c>
      <c r="L3763" s="1">
        <v>4.0000000000000002E-4</v>
      </c>
      <c r="M3763" s="1">
        <v>5.0000000000000001E-3</v>
      </c>
      <c r="N3763" s="1">
        <v>1.9400000000000001E-2</v>
      </c>
      <c r="O3763" s="1">
        <v>2.7400000000000001E-2</v>
      </c>
      <c r="P3763" s="1">
        <v>1.32E-2</v>
      </c>
      <c r="Q3763" s="1">
        <v>4.36E-2</v>
      </c>
      <c r="R3763" s="1">
        <v>2.7699999999999999E-2</v>
      </c>
      <c r="S3763" s="1">
        <v>3.2000000000000002E-3</v>
      </c>
      <c r="T3763" s="1">
        <v>6.6E-3</v>
      </c>
      <c r="U3763" s="1">
        <v>0.75460000000000005</v>
      </c>
      <c r="V3763" s="1">
        <v>0.78349999999999997</v>
      </c>
    </row>
    <row r="3764" spans="1:22">
      <c r="A3764" s="25" t="s">
        <v>192</v>
      </c>
      <c r="B3764">
        <v>10422</v>
      </c>
      <c r="C3764" t="s">
        <v>192</v>
      </c>
      <c r="D3764">
        <v>10422</v>
      </c>
      <c r="E3764" s="1">
        <v>8.9999999999999998E-4</v>
      </c>
      <c r="F3764" s="1">
        <v>1.5E-3</v>
      </c>
      <c r="G3764" s="1">
        <v>1.4E-3</v>
      </c>
      <c r="H3764" s="1">
        <v>0.1099</v>
      </c>
      <c r="I3764" s="1">
        <v>2.9999999999999997E-4</v>
      </c>
      <c r="J3764" s="1">
        <v>2.5999999999999999E-3</v>
      </c>
      <c r="K3764" s="1">
        <v>0.41349999999999998</v>
      </c>
      <c r="L3764" s="1">
        <v>1.2999999999999999E-3</v>
      </c>
      <c r="M3764" s="1">
        <v>1.9E-3</v>
      </c>
      <c r="N3764" s="1">
        <v>8.0000000000000002E-3</v>
      </c>
      <c r="O3764" s="1">
        <v>1.2E-2</v>
      </c>
      <c r="P3764" s="1">
        <v>5.1000000000000004E-3</v>
      </c>
      <c r="Q3764" s="1">
        <v>4.07E-2</v>
      </c>
      <c r="R3764" s="1">
        <v>4.6300000000000001E-2</v>
      </c>
      <c r="S3764" s="1">
        <v>2.5000000000000001E-3</v>
      </c>
      <c r="T3764" s="1">
        <v>9.4999999999999998E-3</v>
      </c>
      <c r="U3764" s="1">
        <v>0.36499999999999999</v>
      </c>
      <c r="V3764" s="1">
        <v>0.4002</v>
      </c>
    </row>
    <row r="3766" spans="1:22" ht="43.5">
      <c r="A3766" s="25" t="s">
        <v>1178</v>
      </c>
    </row>
    <row r="3767" spans="1:22">
      <c r="A3767" s="25" t="s">
        <v>182</v>
      </c>
      <c r="B3767" t="s">
        <v>219</v>
      </c>
      <c r="C3767" t="s">
        <v>181</v>
      </c>
      <c r="D3767" t="s">
        <v>188</v>
      </c>
      <c r="E3767" t="s">
        <v>1059</v>
      </c>
      <c r="F3767" t="s">
        <v>1124</v>
      </c>
      <c r="G3767" t="s">
        <v>1061</v>
      </c>
      <c r="H3767" t="s">
        <v>241</v>
      </c>
      <c r="I3767" t="s">
        <v>1172</v>
      </c>
      <c r="J3767" t="s">
        <v>1063</v>
      </c>
      <c r="K3767" t="s">
        <v>324</v>
      </c>
      <c r="L3767" t="s">
        <v>269</v>
      </c>
      <c r="M3767" t="s">
        <v>243</v>
      </c>
      <c r="N3767" t="s">
        <v>1065</v>
      </c>
      <c r="O3767" t="s">
        <v>1066</v>
      </c>
      <c r="P3767" t="s">
        <v>1067</v>
      </c>
      <c r="Q3767" t="s">
        <v>1068</v>
      </c>
      <c r="R3767" t="s">
        <v>1173</v>
      </c>
      <c r="S3767" t="s">
        <v>1069</v>
      </c>
      <c r="T3767" t="s">
        <v>1070</v>
      </c>
      <c r="U3767" t="s">
        <v>1072</v>
      </c>
      <c r="V3767" t="s">
        <v>1073</v>
      </c>
    </row>
    <row r="3768" spans="1:22">
      <c r="A3768" s="25" t="s">
        <v>198</v>
      </c>
      <c r="B3768">
        <v>2258</v>
      </c>
      <c r="C3768" t="s">
        <v>189</v>
      </c>
      <c r="D3768">
        <v>10422</v>
      </c>
      <c r="E3768" s="1">
        <v>8.0000000000000004E-4</v>
      </c>
      <c r="F3768" s="1">
        <v>3.3E-3</v>
      </c>
      <c r="G3768" s="1">
        <v>1.2999999999999999E-3</v>
      </c>
      <c r="H3768" s="1">
        <v>0.1323</v>
      </c>
      <c r="J3768" s="1">
        <v>5.9999999999999995E-4</v>
      </c>
      <c r="K3768" s="1">
        <v>0.35549999999999998</v>
      </c>
      <c r="L3768" s="1">
        <v>4.0000000000000002E-4</v>
      </c>
      <c r="M3768" s="1">
        <v>2E-3</v>
      </c>
      <c r="N3768" s="1">
        <v>1.21E-2</v>
      </c>
      <c r="O3768" s="1">
        <v>1.41E-2</v>
      </c>
      <c r="P3768" s="1">
        <v>7.1000000000000004E-3</v>
      </c>
      <c r="Q3768" s="1">
        <v>4.9399999999999999E-2</v>
      </c>
      <c r="R3768" s="1">
        <v>5.1799999999999999E-2</v>
      </c>
      <c r="S3768" s="1">
        <v>1.6000000000000001E-3</v>
      </c>
      <c r="T3768" s="1">
        <v>8.5000000000000006E-3</v>
      </c>
      <c r="U3768" s="1">
        <v>0.40139999999999998</v>
      </c>
      <c r="V3768" s="1">
        <v>0.43309999999999998</v>
      </c>
    </row>
    <row r="3769" spans="1:22">
      <c r="A3769" s="25" t="s">
        <v>199</v>
      </c>
      <c r="B3769">
        <v>8164</v>
      </c>
      <c r="C3769" t="s">
        <v>189</v>
      </c>
      <c r="D3769">
        <v>10422</v>
      </c>
      <c r="E3769" s="1">
        <v>8.9999999999999998E-4</v>
      </c>
      <c r="F3769" s="1">
        <v>1.1000000000000001E-3</v>
      </c>
      <c r="G3769" s="1">
        <v>1.4E-3</v>
      </c>
      <c r="H3769" s="1">
        <v>0.1048</v>
      </c>
      <c r="I3769" s="1">
        <v>4.0000000000000002E-4</v>
      </c>
      <c r="J3769" s="1">
        <v>3.0000000000000001E-3</v>
      </c>
      <c r="K3769" s="1">
        <v>0.42649999999999999</v>
      </c>
      <c r="L3769" s="1">
        <v>1.5E-3</v>
      </c>
      <c r="M3769" s="1">
        <v>1.9E-3</v>
      </c>
      <c r="N3769" s="1">
        <v>7.1000000000000004E-3</v>
      </c>
      <c r="O3769" s="1">
        <v>1.15E-2</v>
      </c>
      <c r="P3769" s="1">
        <v>4.5999999999999999E-3</v>
      </c>
      <c r="Q3769" s="1">
        <v>3.8699999999999998E-2</v>
      </c>
      <c r="R3769" s="1">
        <v>4.4999999999999998E-2</v>
      </c>
      <c r="S3769" s="1">
        <v>2.7000000000000001E-3</v>
      </c>
      <c r="T3769" s="1">
        <v>9.7000000000000003E-3</v>
      </c>
      <c r="U3769" s="1">
        <v>0.35680000000000001</v>
      </c>
      <c r="V3769" s="1">
        <v>0.39279999999999998</v>
      </c>
    </row>
    <row r="3770" spans="1:22">
      <c r="A3770" s="25" t="s">
        <v>192</v>
      </c>
      <c r="B3770">
        <v>10422</v>
      </c>
      <c r="C3770" t="s">
        <v>192</v>
      </c>
      <c r="D3770">
        <v>10422</v>
      </c>
      <c r="E3770" s="1">
        <v>8.9999999999999998E-4</v>
      </c>
      <c r="F3770" s="1">
        <v>1.5E-3</v>
      </c>
      <c r="G3770" s="1">
        <v>1.4E-3</v>
      </c>
      <c r="H3770" s="1">
        <v>0.1099</v>
      </c>
      <c r="I3770" s="1">
        <v>2.9999999999999997E-4</v>
      </c>
      <c r="J3770" s="1">
        <v>2.5999999999999999E-3</v>
      </c>
      <c r="K3770" s="1">
        <v>0.41349999999999998</v>
      </c>
      <c r="L3770" s="1">
        <v>1.2999999999999999E-3</v>
      </c>
      <c r="M3770" s="1">
        <v>1.9E-3</v>
      </c>
      <c r="N3770" s="1">
        <v>8.0000000000000002E-3</v>
      </c>
      <c r="O3770" s="1">
        <v>1.2E-2</v>
      </c>
      <c r="P3770" s="1">
        <v>5.1000000000000004E-3</v>
      </c>
      <c r="Q3770" s="1">
        <v>4.07E-2</v>
      </c>
      <c r="R3770" s="1">
        <v>4.6300000000000001E-2</v>
      </c>
      <c r="S3770" s="1">
        <v>2.5000000000000001E-3</v>
      </c>
      <c r="T3770" s="1">
        <v>9.4999999999999998E-3</v>
      </c>
      <c r="U3770" s="1">
        <v>0.36499999999999999</v>
      </c>
      <c r="V3770" s="1">
        <v>0.4002</v>
      </c>
    </row>
    <row r="3772" spans="1:22" ht="43.5">
      <c r="A3772" s="25" t="s">
        <v>1179</v>
      </c>
    </row>
    <row r="3773" spans="1:22">
      <c r="A3773" s="25" t="s">
        <v>182</v>
      </c>
      <c r="B3773" t="s">
        <v>219</v>
      </c>
      <c r="C3773" t="s">
        <v>181</v>
      </c>
      <c r="D3773" t="s">
        <v>188</v>
      </c>
      <c r="E3773" t="s">
        <v>1059</v>
      </c>
      <c r="F3773" t="s">
        <v>1124</v>
      </c>
      <c r="G3773" t="s">
        <v>1061</v>
      </c>
      <c r="H3773" t="s">
        <v>241</v>
      </c>
      <c r="I3773" t="s">
        <v>1172</v>
      </c>
      <c r="J3773" t="s">
        <v>1063</v>
      </c>
      <c r="K3773" t="s">
        <v>324</v>
      </c>
      <c r="L3773" t="s">
        <v>269</v>
      </c>
      <c r="M3773" t="s">
        <v>243</v>
      </c>
      <c r="N3773" t="s">
        <v>1065</v>
      </c>
      <c r="O3773" t="s">
        <v>1066</v>
      </c>
      <c r="P3773" t="s">
        <v>1067</v>
      </c>
      <c r="Q3773" t="s">
        <v>1068</v>
      </c>
      <c r="R3773" t="s">
        <v>1173</v>
      </c>
      <c r="S3773" t="s">
        <v>1069</v>
      </c>
      <c r="T3773" t="s">
        <v>1070</v>
      </c>
      <c r="U3773" t="s">
        <v>1072</v>
      </c>
      <c r="V3773" t="s">
        <v>1073</v>
      </c>
    </row>
    <row r="3774" spans="1:22">
      <c r="A3774" s="25" t="s">
        <v>201</v>
      </c>
      <c r="B3774">
        <v>767</v>
      </c>
      <c r="C3774" t="s">
        <v>189</v>
      </c>
      <c r="D3774">
        <v>10422</v>
      </c>
      <c r="E3774" s="1">
        <v>2.9999999999999997E-4</v>
      </c>
      <c r="G3774" s="1">
        <v>0.01</v>
      </c>
      <c r="H3774" s="1">
        <v>0.12690000000000001</v>
      </c>
      <c r="J3774" s="1">
        <v>1.1000000000000001E-3</v>
      </c>
      <c r="K3774" s="1">
        <v>0.28760000000000002</v>
      </c>
      <c r="M3774" s="1">
        <v>5.0000000000000001E-4</v>
      </c>
      <c r="N3774" s="1">
        <v>2.06E-2</v>
      </c>
      <c r="O3774" s="1">
        <v>1.09E-2</v>
      </c>
      <c r="P3774" s="1">
        <v>8.9999999999999998E-4</v>
      </c>
      <c r="Q3774" s="1">
        <v>3.5799999999999998E-2</v>
      </c>
      <c r="R3774" s="1">
        <v>7.5200000000000003E-2</v>
      </c>
      <c r="S3774" s="1">
        <v>2.9999999999999997E-4</v>
      </c>
      <c r="T3774" s="1">
        <v>6.9999999999999999E-4</v>
      </c>
      <c r="U3774" s="1">
        <v>0.47720000000000001</v>
      </c>
      <c r="V3774" s="1">
        <v>0.50290000000000001</v>
      </c>
    </row>
    <row r="3775" spans="1:22">
      <c r="A3775" s="25" t="s">
        <v>202</v>
      </c>
      <c r="B3775">
        <v>110</v>
      </c>
      <c r="C3775" t="s">
        <v>189</v>
      </c>
      <c r="D3775">
        <v>10422</v>
      </c>
      <c r="H3775" s="1">
        <v>0.14829999999999999</v>
      </c>
      <c r="K3775" s="1">
        <v>0.189</v>
      </c>
      <c r="M3775" s="1">
        <v>6.7000000000000002E-3</v>
      </c>
      <c r="N3775" s="1">
        <v>2.29E-2</v>
      </c>
      <c r="Q3775" s="1">
        <v>0.05</v>
      </c>
      <c r="R3775" s="1">
        <v>1.18E-2</v>
      </c>
      <c r="U3775" s="1">
        <v>0.56999999999999995</v>
      </c>
      <c r="V3775" s="1">
        <v>0.61929999999999996</v>
      </c>
    </row>
    <row r="3776" spans="1:22">
      <c r="A3776" s="25" t="s">
        <v>203</v>
      </c>
      <c r="B3776">
        <v>8034</v>
      </c>
      <c r="C3776" t="s">
        <v>189</v>
      </c>
      <c r="D3776">
        <v>10422</v>
      </c>
      <c r="E3776" s="1">
        <v>1E-3</v>
      </c>
      <c r="F3776" s="1">
        <v>1.4E-3</v>
      </c>
      <c r="G3776" s="1">
        <v>4.0000000000000002E-4</v>
      </c>
      <c r="H3776" s="1">
        <v>0.11219999999999999</v>
      </c>
      <c r="I3776" s="1">
        <v>4.0000000000000002E-4</v>
      </c>
      <c r="J3776" s="1">
        <v>2.8E-3</v>
      </c>
      <c r="K3776" s="1">
        <v>0.45029999999999998</v>
      </c>
      <c r="L3776" s="1">
        <v>1.2999999999999999E-3</v>
      </c>
      <c r="M3776" s="1">
        <v>2.3E-3</v>
      </c>
      <c r="N3776" s="1">
        <v>5.1000000000000004E-3</v>
      </c>
      <c r="O3776" s="1">
        <v>1.0200000000000001E-2</v>
      </c>
      <c r="P3776" s="1">
        <v>4.4999999999999997E-3</v>
      </c>
      <c r="Q3776" s="1">
        <v>4.1000000000000002E-2</v>
      </c>
      <c r="R3776" s="1">
        <v>4.19E-2</v>
      </c>
      <c r="S3776" s="1">
        <v>2.3999999999999998E-3</v>
      </c>
      <c r="T3776" s="1">
        <v>8.8000000000000005E-3</v>
      </c>
      <c r="U3776" s="1">
        <v>0.33250000000000002</v>
      </c>
      <c r="V3776" s="1">
        <v>0.3589</v>
      </c>
    </row>
    <row r="3777" spans="1:22">
      <c r="A3777" s="25" t="s">
        <v>204</v>
      </c>
      <c r="B3777">
        <v>31</v>
      </c>
      <c r="C3777" t="s">
        <v>189</v>
      </c>
      <c r="D3777">
        <v>10422</v>
      </c>
      <c r="H3777" s="1">
        <v>0.15590000000000001</v>
      </c>
      <c r="K3777" s="1">
        <v>0.62660000000000005</v>
      </c>
      <c r="N3777" s="1">
        <v>3.2500000000000001E-2</v>
      </c>
      <c r="O3777" s="1">
        <v>3.2500000000000001E-2</v>
      </c>
      <c r="R3777" s="1">
        <v>0.1198</v>
      </c>
      <c r="U3777" s="1">
        <v>0.152</v>
      </c>
      <c r="V3777" s="1">
        <v>0.1046</v>
      </c>
    </row>
    <row r="3778" spans="1:22">
      <c r="A3778" s="25" t="s">
        <v>205</v>
      </c>
      <c r="B3778">
        <v>1480</v>
      </c>
      <c r="C3778" t="s">
        <v>189</v>
      </c>
      <c r="D3778">
        <v>10422</v>
      </c>
      <c r="E3778" s="1">
        <v>4.0000000000000002E-4</v>
      </c>
      <c r="F3778" s="1">
        <v>2.7000000000000001E-3</v>
      </c>
      <c r="G3778" s="1">
        <v>2.5999999999999999E-3</v>
      </c>
      <c r="H3778" s="1">
        <v>8.5500000000000007E-2</v>
      </c>
      <c r="J3778" s="1">
        <v>2.5999999999999999E-3</v>
      </c>
      <c r="K3778" s="1">
        <v>0.27400000000000002</v>
      </c>
      <c r="L3778" s="1">
        <v>2.3999999999999998E-3</v>
      </c>
      <c r="M3778" s="1">
        <v>2.9999999999999997E-4</v>
      </c>
      <c r="N3778" s="1">
        <v>1.7000000000000001E-2</v>
      </c>
      <c r="O3778" s="1">
        <v>2.2800000000000001E-2</v>
      </c>
      <c r="P3778" s="1">
        <v>1.09E-2</v>
      </c>
      <c r="Q3778" s="1">
        <v>4.1399999999999999E-2</v>
      </c>
      <c r="R3778" s="1">
        <v>5.6899999999999999E-2</v>
      </c>
      <c r="S3778" s="1">
        <v>4.1000000000000003E-3</v>
      </c>
      <c r="T3778" s="1">
        <v>1.8200000000000001E-2</v>
      </c>
      <c r="U3778" s="1">
        <v>0.48799999999999999</v>
      </c>
      <c r="V3778" s="1">
        <v>0.5786</v>
      </c>
    </row>
    <row r="3779" spans="1:22">
      <c r="A3779" s="25" t="s">
        <v>192</v>
      </c>
      <c r="B3779">
        <v>10422</v>
      </c>
      <c r="C3779" t="s">
        <v>192</v>
      </c>
      <c r="D3779">
        <v>10422</v>
      </c>
      <c r="E3779" s="1">
        <v>8.9999999999999998E-4</v>
      </c>
      <c r="F3779" s="1">
        <v>1.5E-3</v>
      </c>
      <c r="G3779" s="1">
        <v>1.4E-3</v>
      </c>
      <c r="H3779" s="1">
        <v>0.1099</v>
      </c>
      <c r="I3779" s="1">
        <v>2.9999999999999997E-4</v>
      </c>
      <c r="J3779" s="1">
        <v>2.5999999999999999E-3</v>
      </c>
      <c r="K3779" s="1">
        <v>0.41349999999999998</v>
      </c>
      <c r="L3779" s="1">
        <v>1.2999999999999999E-3</v>
      </c>
      <c r="M3779" s="1">
        <v>1.9E-3</v>
      </c>
      <c r="N3779" s="1">
        <v>8.0000000000000002E-3</v>
      </c>
      <c r="O3779" s="1">
        <v>1.2E-2</v>
      </c>
      <c r="P3779" s="1">
        <v>5.1000000000000004E-3</v>
      </c>
      <c r="Q3779" s="1">
        <v>4.07E-2</v>
      </c>
      <c r="R3779" s="1">
        <v>4.6300000000000001E-2</v>
      </c>
      <c r="S3779" s="1">
        <v>2.5000000000000001E-3</v>
      </c>
      <c r="T3779" s="1">
        <v>9.4999999999999998E-3</v>
      </c>
      <c r="U3779" s="1">
        <v>0.36499999999999999</v>
      </c>
      <c r="V3779" s="1">
        <v>0.4002</v>
      </c>
    </row>
    <row r="3781" spans="1:22" ht="43.5">
      <c r="A3781" s="25" t="s">
        <v>1180</v>
      </c>
    </row>
    <row r="3782" spans="1:22">
      <c r="A3782" s="25" t="s">
        <v>182</v>
      </c>
      <c r="B3782" t="s">
        <v>219</v>
      </c>
      <c r="C3782" t="s">
        <v>181</v>
      </c>
      <c r="D3782" t="s">
        <v>188</v>
      </c>
      <c r="E3782" t="s">
        <v>1059</v>
      </c>
      <c r="F3782" t="s">
        <v>1124</v>
      </c>
      <c r="G3782" t="s">
        <v>1061</v>
      </c>
      <c r="H3782" t="s">
        <v>241</v>
      </c>
      <c r="I3782" t="s">
        <v>1172</v>
      </c>
      <c r="J3782" t="s">
        <v>1063</v>
      </c>
      <c r="K3782" t="s">
        <v>324</v>
      </c>
      <c r="L3782" t="s">
        <v>269</v>
      </c>
      <c r="M3782" t="s">
        <v>243</v>
      </c>
      <c r="N3782" t="s">
        <v>1065</v>
      </c>
      <c r="O3782" t="s">
        <v>1066</v>
      </c>
      <c r="P3782" t="s">
        <v>1067</v>
      </c>
      <c r="Q3782" t="s">
        <v>1068</v>
      </c>
      <c r="R3782" t="s">
        <v>1173</v>
      </c>
      <c r="S3782" t="s">
        <v>1069</v>
      </c>
      <c r="T3782" t="s">
        <v>1070</v>
      </c>
      <c r="U3782" t="s">
        <v>1072</v>
      </c>
      <c r="V3782" t="s">
        <v>1073</v>
      </c>
    </row>
    <row r="3783" spans="1:22">
      <c r="A3783" s="25" t="s">
        <v>207</v>
      </c>
      <c r="B3783">
        <v>7245</v>
      </c>
      <c r="C3783" t="s">
        <v>189</v>
      </c>
      <c r="D3783">
        <v>10422</v>
      </c>
      <c r="E3783" s="1">
        <v>8.0000000000000004E-4</v>
      </c>
      <c r="F3783" s="1">
        <v>1.9E-3</v>
      </c>
      <c r="G3783" s="1">
        <v>1.6999999999999999E-3</v>
      </c>
      <c r="H3783" s="1">
        <v>9.1300000000000006E-2</v>
      </c>
      <c r="I3783" s="1">
        <v>5.0000000000000001E-4</v>
      </c>
      <c r="J3783" s="1">
        <v>3.0000000000000001E-3</v>
      </c>
      <c r="K3783" s="1">
        <v>0.41799999999999998</v>
      </c>
      <c r="L3783" s="1">
        <v>1.6999999999999999E-3</v>
      </c>
      <c r="M3783" s="1">
        <v>2.2000000000000001E-3</v>
      </c>
      <c r="N3783" s="1">
        <v>7.1000000000000004E-3</v>
      </c>
      <c r="O3783" s="1">
        <v>1.24E-2</v>
      </c>
      <c r="P3783" s="1">
        <v>5.4999999999999997E-3</v>
      </c>
      <c r="Q3783" s="1">
        <v>4.07E-2</v>
      </c>
      <c r="R3783" s="1">
        <v>4.9599999999999998E-2</v>
      </c>
      <c r="S3783" s="1">
        <v>2.2000000000000001E-3</v>
      </c>
      <c r="T3783" s="1">
        <v>9.1000000000000004E-3</v>
      </c>
      <c r="U3783" s="1">
        <v>0.38190000000000002</v>
      </c>
      <c r="V3783" s="1">
        <v>0.41210000000000002</v>
      </c>
    </row>
    <row r="3784" spans="1:22">
      <c r="A3784" s="25" t="s">
        <v>208</v>
      </c>
      <c r="B3784">
        <v>2242</v>
      </c>
      <c r="C3784" t="s">
        <v>189</v>
      </c>
      <c r="D3784">
        <v>10422</v>
      </c>
      <c r="E3784" s="1">
        <v>6.9999999999999999E-4</v>
      </c>
      <c r="F3784" s="1">
        <v>2.0000000000000001E-4</v>
      </c>
      <c r="G3784" s="1">
        <v>2.9999999999999997E-4</v>
      </c>
      <c r="H3784" s="1">
        <v>0.1958</v>
      </c>
      <c r="J3784" s="1">
        <v>2.2000000000000001E-3</v>
      </c>
      <c r="K3784" s="1">
        <v>0.3775</v>
      </c>
      <c r="L3784" s="1">
        <v>4.0000000000000002E-4</v>
      </c>
      <c r="M3784" s="1">
        <v>1.6999999999999999E-3</v>
      </c>
      <c r="N3784" s="1">
        <v>9.2999999999999992E-3</v>
      </c>
      <c r="O3784" s="1">
        <v>1.18E-2</v>
      </c>
      <c r="P3784" s="1">
        <v>4.0000000000000001E-3</v>
      </c>
      <c r="Q3784" s="1">
        <v>3.4299999999999997E-2</v>
      </c>
      <c r="R3784" s="1">
        <v>3.5499999999999997E-2</v>
      </c>
      <c r="S3784" s="1">
        <v>3.5000000000000001E-3</v>
      </c>
      <c r="T3784" s="1">
        <v>9.5999999999999992E-3</v>
      </c>
      <c r="U3784" s="1">
        <v>0.31040000000000001</v>
      </c>
      <c r="V3784" s="1">
        <v>0.36570000000000003</v>
      </c>
    </row>
    <row r="3785" spans="1:22">
      <c r="A3785" s="25" t="s">
        <v>209</v>
      </c>
      <c r="B3785">
        <v>935</v>
      </c>
      <c r="C3785" t="s">
        <v>189</v>
      </c>
      <c r="D3785">
        <v>10422</v>
      </c>
      <c r="E3785" s="1">
        <v>2.2000000000000001E-3</v>
      </c>
      <c r="F3785" s="1">
        <v>1.2999999999999999E-3</v>
      </c>
      <c r="G3785" s="1">
        <v>1.6999999999999999E-3</v>
      </c>
      <c r="H3785" s="1">
        <v>2.8899999999999999E-2</v>
      </c>
      <c r="K3785" s="1">
        <v>0.47639999999999999</v>
      </c>
      <c r="L3785" s="1">
        <v>8.9999999999999998E-4</v>
      </c>
      <c r="N3785" s="1">
        <v>1.2E-2</v>
      </c>
      <c r="O3785" s="1">
        <v>9.2999999999999992E-3</v>
      </c>
      <c r="P3785" s="1">
        <v>4.5999999999999999E-3</v>
      </c>
      <c r="Q3785" s="1">
        <v>5.8000000000000003E-2</v>
      </c>
      <c r="R3785" s="1">
        <v>4.7100000000000003E-2</v>
      </c>
      <c r="S3785" s="1">
        <v>2.3E-3</v>
      </c>
      <c r="T3785" s="1">
        <v>1.2E-2</v>
      </c>
      <c r="U3785" s="1">
        <v>0.37080000000000002</v>
      </c>
      <c r="V3785" s="1">
        <v>0.39279999999999998</v>
      </c>
    </row>
    <row r="3786" spans="1:22">
      <c r="A3786" s="25" t="s">
        <v>192</v>
      </c>
      <c r="B3786">
        <v>10422</v>
      </c>
      <c r="C3786" t="s">
        <v>192</v>
      </c>
      <c r="D3786">
        <v>10422</v>
      </c>
      <c r="E3786" s="1">
        <v>8.9999999999999998E-4</v>
      </c>
      <c r="F3786" s="1">
        <v>1.5E-3</v>
      </c>
      <c r="G3786" s="1">
        <v>1.4E-3</v>
      </c>
      <c r="H3786" s="1">
        <v>0.1099</v>
      </c>
      <c r="I3786" s="1">
        <v>2.9999999999999997E-4</v>
      </c>
      <c r="J3786" s="1">
        <v>2.5999999999999999E-3</v>
      </c>
      <c r="K3786" s="1">
        <v>0.41349999999999998</v>
      </c>
      <c r="L3786" s="1">
        <v>1.2999999999999999E-3</v>
      </c>
      <c r="M3786" s="1">
        <v>1.9E-3</v>
      </c>
      <c r="N3786" s="1">
        <v>8.0000000000000002E-3</v>
      </c>
      <c r="O3786" s="1">
        <v>1.2E-2</v>
      </c>
      <c r="P3786" s="1">
        <v>5.1000000000000004E-3</v>
      </c>
      <c r="Q3786" s="1">
        <v>4.07E-2</v>
      </c>
      <c r="R3786" s="1">
        <v>4.6300000000000001E-2</v>
      </c>
      <c r="S3786" s="1">
        <v>2.5000000000000001E-3</v>
      </c>
      <c r="T3786" s="1">
        <v>9.4999999999999998E-3</v>
      </c>
      <c r="U3786" s="1">
        <v>0.36499999999999999</v>
      </c>
      <c r="V3786" s="1">
        <v>0.4002</v>
      </c>
    </row>
    <row r="3788" spans="1:22" ht="43.5">
      <c r="A3788" s="25" t="s">
        <v>1181</v>
      </c>
    </row>
    <row r="3789" spans="1:22">
      <c r="A3789" s="25" t="s">
        <v>182</v>
      </c>
      <c r="B3789" t="s">
        <v>219</v>
      </c>
      <c r="C3789" t="s">
        <v>181</v>
      </c>
      <c r="D3789" t="s">
        <v>188</v>
      </c>
      <c r="E3789" t="s">
        <v>1059</v>
      </c>
      <c r="F3789" t="s">
        <v>1124</v>
      </c>
      <c r="G3789" t="s">
        <v>1061</v>
      </c>
      <c r="H3789" t="s">
        <v>241</v>
      </c>
      <c r="I3789" t="s">
        <v>1172</v>
      </c>
      <c r="J3789" t="s">
        <v>1063</v>
      </c>
      <c r="K3789" t="s">
        <v>324</v>
      </c>
      <c r="L3789" t="s">
        <v>269</v>
      </c>
      <c r="M3789" t="s">
        <v>243</v>
      </c>
      <c r="N3789" t="s">
        <v>1065</v>
      </c>
      <c r="O3789" t="s">
        <v>1066</v>
      </c>
      <c r="P3789" t="s">
        <v>1067</v>
      </c>
      <c r="Q3789" t="s">
        <v>1068</v>
      </c>
      <c r="R3789" t="s">
        <v>1173</v>
      </c>
      <c r="S3789" t="s">
        <v>1069</v>
      </c>
      <c r="T3789" t="s">
        <v>1070</v>
      </c>
      <c r="U3789" t="s">
        <v>1072</v>
      </c>
      <c r="V3789" t="s">
        <v>1073</v>
      </c>
    </row>
    <row r="3790" spans="1:22">
      <c r="A3790" s="25" t="s">
        <v>211</v>
      </c>
      <c r="B3790">
        <v>4966</v>
      </c>
      <c r="C3790" t="s">
        <v>189</v>
      </c>
      <c r="D3790">
        <v>10422</v>
      </c>
      <c r="E3790" s="1">
        <v>1.1000000000000001E-3</v>
      </c>
      <c r="F3790" s="1">
        <v>1.6999999999999999E-3</v>
      </c>
      <c r="G3790" s="1">
        <v>8.0000000000000004E-4</v>
      </c>
      <c r="H3790" s="1">
        <v>8.0600000000000005E-2</v>
      </c>
      <c r="I3790" s="1">
        <v>6.9999999999999999E-4</v>
      </c>
      <c r="J3790" s="1">
        <v>3.5000000000000001E-3</v>
      </c>
      <c r="K3790" s="1">
        <v>0.4375</v>
      </c>
      <c r="L3790" s="1">
        <v>2E-3</v>
      </c>
      <c r="M3790" s="1">
        <v>3.0999999999999999E-3</v>
      </c>
      <c r="N3790" s="1">
        <v>7.7999999999999996E-3</v>
      </c>
      <c r="O3790" s="1">
        <v>1.1299999999999999E-2</v>
      </c>
      <c r="P3790" s="1">
        <v>5.7999999999999996E-3</v>
      </c>
      <c r="Q3790" s="1">
        <v>3.7699999999999997E-2</v>
      </c>
      <c r="R3790" s="1">
        <v>3.9399999999999998E-2</v>
      </c>
      <c r="S3790" s="1">
        <v>2.3E-3</v>
      </c>
      <c r="T3790" s="1">
        <v>8.6999999999999994E-3</v>
      </c>
      <c r="U3790" s="1">
        <v>0.37509999999999999</v>
      </c>
      <c r="V3790" s="1">
        <v>0.40300000000000002</v>
      </c>
    </row>
    <row r="3791" spans="1:22">
      <c r="A3791" s="25" t="s">
        <v>212</v>
      </c>
      <c r="B3791">
        <v>3370</v>
      </c>
      <c r="C3791" t="s">
        <v>189</v>
      </c>
      <c r="D3791">
        <v>10422</v>
      </c>
      <c r="E3791" s="1">
        <v>1.1000000000000001E-3</v>
      </c>
      <c r="F3791" s="1">
        <v>5.9999999999999995E-4</v>
      </c>
      <c r="G3791" s="1">
        <v>8.0000000000000004E-4</v>
      </c>
      <c r="H3791" s="1">
        <v>0.129</v>
      </c>
      <c r="J3791" s="1">
        <v>2.2000000000000001E-3</v>
      </c>
      <c r="K3791" s="1">
        <v>0.379</v>
      </c>
      <c r="L3791" s="1">
        <v>8.0000000000000004E-4</v>
      </c>
      <c r="M3791" s="1">
        <v>1.1999999999999999E-3</v>
      </c>
      <c r="N3791" s="1">
        <v>7.0000000000000001E-3</v>
      </c>
      <c r="O3791" s="1">
        <v>1.2200000000000001E-2</v>
      </c>
      <c r="P3791" s="1">
        <v>5.3E-3</v>
      </c>
      <c r="Q3791" s="1">
        <v>4.2999999999999997E-2</v>
      </c>
      <c r="R3791" s="1">
        <v>4.9500000000000002E-2</v>
      </c>
      <c r="S3791" s="1">
        <v>2E-3</v>
      </c>
      <c r="T3791" s="1">
        <v>1.0200000000000001E-2</v>
      </c>
      <c r="U3791" s="1">
        <v>0.37480000000000002</v>
      </c>
      <c r="V3791" s="1">
        <v>0.4214</v>
      </c>
    </row>
    <row r="3792" spans="1:22">
      <c r="A3792" s="25" t="s">
        <v>213</v>
      </c>
      <c r="B3792">
        <v>2086</v>
      </c>
      <c r="C3792" t="s">
        <v>189</v>
      </c>
      <c r="D3792">
        <v>10422</v>
      </c>
      <c r="F3792" s="1">
        <v>2.3999999999999998E-3</v>
      </c>
      <c r="G3792" s="1">
        <v>3.5000000000000001E-3</v>
      </c>
      <c r="H3792" s="1">
        <v>0.14560000000000001</v>
      </c>
      <c r="J3792" s="1">
        <v>1.1999999999999999E-3</v>
      </c>
      <c r="K3792" s="1">
        <v>0.41110000000000002</v>
      </c>
      <c r="L3792" s="1">
        <v>6.9999999999999999E-4</v>
      </c>
      <c r="M3792" s="1">
        <v>2.0000000000000001E-4</v>
      </c>
      <c r="N3792" s="1">
        <v>9.7000000000000003E-3</v>
      </c>
      <c r="O3792" s="1">
        <v>1.32E-2</v>
      </c>
      <c r="P3792" s="1">
        <v>3.0999999999999999E-3</v>
      </c>
      <c r="Q3792" s="1">
        <v>4.36E-2</v>
      </c>
      <c r="R3792" s="1">
        <v>5.6399999999999999E-2</v>
      </c>
      <c r="S3792" s="1">
        <v>3.7000000000000002E-3</v>
      </c>
      <c r="T3792" s="1">
        <v>1.01E-2</v>
      </c>
      <c r="U3792" s="1">
        <v>0.3291</v>
      </c>
      <c r="V3792" s="1">
        <v>0.3639</v>
      </c>
    </row>
    <row r="3793" spans="1:23">
      <c r="A3793" s="25" t="s">
        <v>192</v>
      </c>
      <c r="B3793">
        <v>10422</v>
      </c>
      <c r="C3793" t="s">
        <v>192</v>
      </c>
      <c r="D3793">
        <v>10422</v>
      </c>
      <c r="E3793" s="1">
        <v>8.9999999999999998E-4</v>
      </c>
      <c r="F3793" s="1">
        <v>1.5E-3</v>
      </c>
      <c r="G3793" s="1">
        <v>1.4E-3</v>
      </c>
      <c r="H3793" s="1">
        <v>0.1099</v>
      </c>
      <c r="I3793" s="1">
        <v>2.9999999999999997E-4</v>
      </c>
      <c r="J3793" s="1">
        <v>2.5999999999999999E-3</v>
      </c>
      <c r="K3793" s="1">
        <v>0.41349999999999998</v>
      </c>
      <c r="L3793" s="1">
        <v>1.2999999999999999E-3</v>
      </c>
      <c r="M3793" s="1">
        <v>1.9E-3</v>
      </c>
      <c r="N3793" s="1">
        <v>8.0000000000000002E-3</v>
      </c>
      <c r="O3793" s="1">
        <v>1.2E-2</v>
      </c>
      <c r="P3793" s="1">
        <v>5.1000000000000004E-3</v>
      </c>
      <c r="Q3793" s="1">
        <v>4.07E-2</v>
      </c>
      <c r="R3793" s="1">
        <v>4.6300000000000001E-2</v>
      </c>
      <c r="S3793" s="1">
        <v>2.5000000000000001E-3</v>
      </c>
      <c r="T3793" s="1">
        <v>9.4999999999999998E-3</v>
      </c>
      <c r="U3793" s="1">
        <v>0.36499999999999999</v>
      </c>
      <c r="V3793" s="1">
        <v>0.4002</v>
      </c>
    </row>
    <row r="3795" spans="1:23" ht="43.5">
      <c r="A3795" s="25" t="s">
        <v>1182</v>
      </c>
    </row>
    <row r="3796" spans="1:23">
      <c r="A3796" s="25" t="s">
        <v>182</v>
      </c>
      <c r="B3796" t="s">
        <v>219</v>
      </c>
      <c r="C3796" t="s">
        <v>181</v>
      </c>
      <c r="D3796" t="s">
        <v>188</v>
      </c>
      <c r="E3796" t="s">
        <v>1183</v>
      </c>
      <c r="F3796" t="s">
        <v>1184</v>
      </c>
      <c r="G3796" t="s">
        <v>1185</v>
      </c>
      <c r="H3796" t="s">
        <v>241</v>
      </c>
      <c r="I3796" t="s">
        <v>1186</v>
      </c>
      <c r="J3796" t="s">
        <v>1187</v>
      </c>
      <c r="K3796" t="s">
        <v>1188</v>
      </c>
      <c r="L3796" t="s">
        <v>1189</v>
      </c>
      <c r="M3796" t="s">
        <v>1190</v>
      </c>
      <c r="N3796" t="s">
        <v>1191</v>
      </c>
      <c r="O3796" t="s">
        <v>1192</v>
      </c>
      <c r="P3796" t="s">
        <v>1193</v>
      </c>
      <c r="Q3796" t="s">
        <v>1194</v>
      </c>
      <c r="R3796" t="s">
        <v>1195</v>
      </c>
      <c r="S3796" t="s">
        <v>324</v>
      </c>
      <c r="T3796" t="s">
        <v>269</v>
      </c>
      <c r="U3796" t="s">
        <v>243</v>
      </c>
      <c r="V3796" t="s">
        <v>1196</v>
      </c>
      <c r="W3796" t="s">
        <v>1197</v>
      </c>
    </row>
    <row r="3797" spans="1:23">
      <c r="A3797" s="25" t="s">
        <v>190</v>
      </c>
      <c r="B3797">
        <v>4880</v>
      </c>
      <c r="C3797" t="s">
        <v>189</v>
      </c>
      <c r="D3797">
        <v>10398</v>
      </c>
      <c r="E3797" s="1">
        <v>1.15E-2</v>
      </c>
      <c r="F3797" s="1">
        <v>2.5600000000000001E-2</v>
      </c>
      <c r="G3797" s="1">
        <v>1.15E-2</v>
      </c>
      <c r="H3797" s="1">
        <v>1.4E-3</v>
      </c>
      <c r="I3797" s="1">
        <v>0</v>
      </c>
      <c r="J3797" s="1">
        <v>6.7000000000000002E-3</v>
      </c>
      <c r="K3797" s="1">
        <v>1.4E-3</v>
      </c>
      <c r="L3797" s="1">
        <v>1.1999999999999999E-3</v>
      </c>
      <c r="M3797" s="1">
        <v>4.1999999999999997E-3</v>
      </c>
      <c r="N3797" s="1">
        <v>1.6400000000000001E-2</v>
      </c>
      <c r="O3797" s="1">
        <v>1.5E-3</v>
      </c>
      <c r="P3797" s="1">
        <v>4.7000000000000002E-3</v>
      </c>
      <c r="Q3797" s="1">
        <v>6.8999999999999999E-3</v>
      </c>
      <c r="R3797" s="1">
        <v>1.1999999999999999E-3</v>
      </c>
      <c r="S3797" s="1">
        <v>0.92749999999999999</v>
      </c>
      <c r="T3797" s="1">
        <v>1E-4</v>
      </c>
      <c r="U3797" s="1">
        <v>2.2000000000000001E-3</v>
      </c>
      <c r="V3797" s="1">
        <v>1.6000000000000001E-3</v>
      </c>
      <c r="W3797" s="1">
        <v>1.4E-3</v>
      </c>
    </row>
    <row r="3798" spans="1:23">
      <c r="A3798" s="25" t="s">
        <v>191</v>
      </c>
      <c r="B3798">
        <v>5461</v>
      </c>
      <c r="C3798" t="s">
        <v>189</v>
      </c>
      <c r="D3798">
        <v>10398</v>
      </c>
      <c r="E3798" s="1">
        <v>1.2699999999999999E-2</v>
      </c>
      <c r="F3798" s="1">
        <v>3.2399999999999998E-2</v>
      </c>
      <c r="G3798" s="1">
        <v>2.8500000000000001E-2</v>
      </c>
      <c r="H3798" s="1">
        <v>1.2999999999999999E-3</v>
      </c>
      <c r="I3798" s="1">
        <v>8.9999999999999998E-4</v>
      </c>
      <c r="J3798" s="1">
        <v>2.64E-2</v>
      </c>
      <c r="K3798" s="1">
        <v>6.1999999999999998E-3</v>
      </c>
      <c r="L3798" s="1">
        <v>3.8999999999999998E-3</v>
      </c>
      <c r="M3798" s="1">
        <v>2.5999999999999999E-3</v>
      </c>
      <c r="N3798" s="1">
        <v>1.0999999999999999E-2</v>
      </c>
      <c r="O3798" s="1">
        <v>1.1000000000000001E-3</v>
      </c>
      <c r="P3798" s="1">
        <v>4.7000000000000002E-3</v>
      </c>
      <c r="Q3798" s="1">
        <v>1.6E-2</v>
      </c>
      <c r="R3798" s="1">
        <v>7.3000000000000001E-3</v>
      </c>
      <c r="S3798" s="1">
        <v>0.88260000000000005</v>
      </c>
      <c r="T3798" s="1">
        <v>1.5E-3</v>
      </c>
      <c r="U3798" s="1">
        <v>4.4999999999999997E-3</v>
      </c>
      <c r="V3798" s="1">
        <v>1.21E-2</v>
      </c>
      <c r="W3798" s="1">
        <v>3.7000000000000002E-3</v>
      </c>
    </row>
    <row r="3799" spans="1:23">
      <c r="A3799" s="25" t="s">
        <v>192</v>
      </c>
      <c r="B3799">
        <v>10398</v>
      </c>
      <c r="C3799" t="s">
        <v>192</v>
      </c>
      <c r="D3799">
        <v>10398</v>
      </c>
      <c r="E3799" s="1">
        <v>1.2200000000000001E-2</v>
      </c>
      <c r="F3799" s="1">
        <v>2.9899999999999999E-2</v>
      </c>
      <c r="G3799" s="1">
        <v>2.1999999999999999E-2</v>
      </c>
      <c r="H3799" s="1">
        <v>1.2999999999999999E-3</v>
      </c>
      <c r="I3799" s="1">
        <v>5.9999999999999995E-4</v>
      </c>
      <c r="J3799" s="1">
        <v>1.89E-2</v>
      </c>
      <c r="K3799" s="1">
        <v>4.3E-3</v>
      </c>
      <c r="L3799" s="1">
        <v>2.8999999999999998E-3</v>
      </c>
      <c r="M3799" s="1">
        <v>3.2000000000000002E-3</v>
      </c>
      <c r="N3799" s="1">
        <v>1.2999999999999999E-2</v>
      </c>
      <c r="O3799" s="1">
        <v>1.1999999999999999E-3</v>
      </c>
      <c r="P3799" s="1">
        <v>4.7999999999999996E-3</v>
      </c>
      <c r="Q3799" s="1">
        <v>1.2500000000000001E-2</v>
      </c>
      <c r="R3799" s="1">
        <v>5.0000000000000001E-3</v>
      </c>
      <c r="S3799" s="1">
        <v>0.89970000000000006</v>
      </c>
      <c r="T3799" s="1">
        <v>1E-3</v>
      </c>
      <c r="U3799" s="1">
        <v>3.5999999999999999E-3</v>
      </c>
      <c r="V3799" s="1">
        <v>8.0999999999999996E-3</v>
      </c>
      <c r="W3799" s="1">
        <v>2.8E-3</v>
      </c>
    </row>
    <row r="3801" spans="1:23" ht="43.5">
      <c r="A3801" s="25" t="s">
        <v>1198</v>
      </c>
    </row>
    <row r="3802" spans="1:23">
      <c r="A3802" s="25" t="s">
        <v>182</v>
      </c>
      <c r="B3802" t="s">
        <v>219</v>
      </c>
      <c r="C3802" t="s">
        <v>181</v>
      </c>
      <c r="D3802" t="s">
        <v>188</v>
      </c>
      <c r="E3802" t="s">
        <v>1183</v>
      </c>
      <c r="F3802" t="s">
        <v>1184</v>
      </c>
      <c r="G3802" t="s">
        <v>1185</v>
      </c>
      <c r="H3802" t="s">
        <v>241</v>
      </c>
      <c r="I3802" t="s">
        <v>1186</v>
      </c>
      <c r="J3802" t="s">
        <v>1187</v>
      </c>
      <c r="K3802" t="s">
        <v>1188</v>
      </c>
      <c r="L3802" t="s">
        <v>1189</v>
      </c>
      <c r="M3802" t="s">
        <v>1190</v>
      </c>
      <c r="N3802" t="s">
        <v>1191</v>
      </c>
      <c r="O3802" t="s">
        <v>1192</v>
      </c>
      <c r="P3802" t="s">
        <v>1193</v>
      </c>
      <c r="Q3802" t="s">
        <v>1194</v>
      </c>
      <c r="R3802" t="s">
        <v>1195</v>
      </c>
      <c r="S3802" t="s">
        <v>324</v>
      </c>
      <c r="T3802" t="s">
        <v>269</v>
      </c>
      <c r="U3802" t="s">
        <v>243</v>
      </c>
      <c r="V3802" t="s">
        <v>1196</v>
      </c>
      <c r="W3802" t="s">
        <v>1197</v>
      </c>
    </row>
    <row r="3803" spans="1:23" ht="29.1">
      <c r="A3803" s="25" t="s">
        <v>194</v>
      </c>
      <c r="B3803">
        <v>5941</v>
      </c>
      <c r="C3803" t="s">
        <v>189</v>
      </c>
      <c r="D3803">
        <v>10398</v>
      </c>
      <c r="E3803" s="1">
        <v>7.9000000000000008E-3</v>
      </c>
      <c r="F3803" s="1">
        <v>1.67E-2</v>
      </c>
      <c r="G3803" s="1">
        <v>2.1000000000000001E-2</v>
      </c>
      <c r="H3803" s="1">
        <v>1E-3</v>
      </c>
      <c r="I3803" s="1">
        <v>6.9999999999999999E-4</v>
      </c>
      <c r="J3803" s="1">
        <v>1.66E-2</v>
      </c>
      <c r="K3803" s="1">
        <v>3.0000000000000001E-3</v>
      </c>
      <c r="L3803" s="1">
        <v>1.9E-3</v>
      </c>
      <c r="M3803" s="1">
        <v>2.7000000000000001E-3</v>
      </c>
      <c r="N3803" s="1">
        <v>1.43E-2</v>
      </c>
      <c r="O3803" s="1">
        <v>1E-3</v>
      </c>
      <c r="P3803" s="1">
        <v>3.3999999999999998E-3</v>
      </c>
      <c r="Q3803" s="1">
        <v>1.14E-2</v>
      </c>
      <c r="R3803" s="1">
        <v>5.7000000000000002E-3</v>
      </c>
      <c r="S3803" s="1">
        <v>0.91639999999999999</v>
      </c>
      <c r="T3803" s="1">
        <v>5.0000000000000001E-4</v>
      </c>
      <c r="U3803" s="1">
        <v>4.3E-3</v>
      </c>
      <c r="V3803" s="1">
        <v>8.0000000000000002E-3</v>
      </c>
      <c r="W3803" s="1">
        <v>3.2000000000000002E-3</v>
      </c>
    </row>
    <row r="3804" spans="1:23" ht="29.1">
      <c r="A3804" s="25" t="s">
        <v>195</v>
      </c>
      <c r="B3804">
        <v>2690</v>
      </c>
      <c r="C3804" t="s">
        <v>189</v>
      </c>
      <c r="D3804">
        <v>10398</v>
      </c>
      <c r="E3804" s="1">
        <v>1.4800000000000001E-2</v>
      </c>
      <c r="F3804" s="1">
        <v>3.5799999999999998E-2</v>
      </c>
      <c r="G3804" s="1">
        <v>1.95E-2</v>
      </c>
      <c r="H3804" s="1">
        <v>2E-3</v>
      </c>
      <c r="J3804" s="1">
        <v>1.9900000000000001E-2</v>
      </c>
      <c r="K3804" s="1">
        <v>3.3999999999999998E-3</v>
      </c>
      <c r="L3804" s="1">
        <v>5.7999999999999996E-3</v>
      </c>
      <c r="M3804" s="1">
        <v>3.5999999999999999E-3</v>
      </c>
      <c r="N3804" s="1">
        <v>9.9000000000000008E-3</v>
      </c>
      <c r="O3804" s="1">
        <v>1.6999999999999999E-3</v>
      </c>
      <c r="P3804" s="1">
        <v>4.1999999999999997E-3</v>
      </c>
      <c r="Q3804" s="1">
        <v>1.1299999999999999E-2</v>
      </c>
      <c r="R3804" s="1">
        <v>2.3999999999999998E-3</v>
      </c>
      <c r="S3804" s="1">
        <v>0.90069999999999995</v>
      </c>
      <c r="T3804" s="1">
        <v>1.6000000000000001E-3</v>
      </c>
      <c r="U3804" s="1">
        <v>1.6999999999999999E-3</v>
      </c>
      <c r="V3804" s="1">
        <v>5.5999999999999999E-3</v>
      </c>
      <c r="W3804" s="1">
        <v>5.0000000000000001E-4</v>
      </c>
    </row>
    <row r="3805" spans="1:23" ht="29.1">
      <c r="A3805" s="25" t="s">
        <v>196</v>
      </c>
      <c r="B3805">
        <v>1710</v>
      </c>
      <c r="C3805" t="s">
        <v>189</v>
      </c>
      <c r="D3805">
        <v>10398</v>
      </c>
      <c r="E3805" s="1">
        <v>4.0099999999999997E-2</v>
      </c>
      <c r="F3805" s="1">
        <v>0.11749999999999999</v>
      </c>
      <c r="G3805" s="1">
        <v>3.4799999999999998E-2</v>
      </c>
      <c r="H3805" s="1">
        <v>2.3E-3</v>
      </c>
      <c r="I3805" s="1">
        <v>4.0000000000000002E-4</v>
      </c>
      <c r="J3805" s="1">
        <v>3.4599999999999999E-2</v>
      </c>
      <c r="K3805" s="1">
        <v>1.67E-2</v>
      </c>
      <c r="L3805" s="1">
        <v>4.0000000000000001E-3</v>
      </c>
      <c r="M3805" s="1">
        <v>6.1999999999999998E-3</v>
      </c>
      <c r="N3805" s="1">
        <v>1.04E-2</v>
      </c>
      <c r="O3805" s="1">
        <v>2.3999999999999998E-3</v>
      </c>
      <c r="P3805" s="1">
        <v>1.5599999999999999E-2</v>
      </c>
      <c r="Q3805" s="1">
        <v>2.3800000000000002E-2</v>
      </c>
      <c r="R3805" s="1">
        <v>4.3E-3</v>
      </c>
      <c r="S3805" s="1">
        <v>0.77139999999999997</v>
      </c>
      <c r="T3805" s="1">
        <v>3.0999999999999999E-3</v>
      </c>
      <c r="U3805" s="1">
        <v>2.2000000000000001E-3</v>
      </c>
      <c r="V3805" s="1">
        <v>1.3899999999999999E-2</v>
      </c>
      <c r="W3805" s="1">
        <v>4.5999999999999999E-3</v>
      </c>
    </row>
    <row r="3806" spans="1:23">
      <c r="A3806" s="25" t="s">
        <v>192</v>
      </c>
      <c r="B3806">
        <v>10398</v>
      </c>
      <c r="C3806" t="s">
        <v>192</v>
      </c>
      <c r="D3806">
        <v>10398</v>
      </c>
      <c r="E3806" s="1">
        <v>1.2200000000000001E-2</v>
      </c>
      <c r="F3806" s="1">
        <v>2.9899999999999999E-2</v>
      </c>
      <c r="G3806" s="1">
        <v>2.1999999999999999E-2</v>
      </c>
      <c r="H3806" s="1">
        <v>1.2999999999999999E-3</v>
      </c>
      <c r="I3806" s="1">
        <v>5.9999999999999995E-4</v>
      </c>
      <c r="J3806" s="1">
        <v>1.89E-2</v>
      </c>
      <c r="K3806" s="1">
        <v>4.3E-3</v>
      </c>
      <c r="L3806" s="1">
        <v>2.8999999999999998E-3</v>
      </c>
      <c r="M3806" s="1">
        <v>3.2000000000000002E-3</v>
      </c>
      <c r="N3806" s="1">
        <v>1.2999999999999999E-2</v>
      </c>
      <c r="O3806" s="1">
        <v>1.1999999999999999E-3</v>
      </c>
      <c r="P3806" s="1">
        <v>4.7999999999999996E-3</v>
      </c>
      <c r="Q3806" s="1">
        <v>1.2500000000000001E-2</v>
      </c>
      <c r="R3806" s="1">
        <v>5.0000000000000001E-3</v>
      </c>
      <c r="S3806" s="1">
        <v>0.89970000000000006</v>
      </c>
      <c r="T3806" s="1">
        <v>1E-3</v>
      </c>
      <c r="U3806" s="1">
        <v>3.5999999999999999E-3</v>
      </c>
      <c r="V3806" s="1">
        <v>8.0999999999999996E-3</v>
      </c>
      <c r="W3806" s="1">
        <v>2.8E-3</v>
      </c>
    </row>
    <row r="3808" spans="1:23" ht="43.5">
      <c r="A3808" s="25" t="s">
        <v>1199</v>
      </c>
    </row>
    <row r="3809" spans="1:23">
      <c r="A3809" s="25" t="s">
        <v>182</v>
      </c>
      <c r="B3809" t="s">
        <v>219</v>
      </c>
      <c r="C3809" t="s">
        <v>181</v>
      </c>
      <c r="D3809" t="s">
        <v>188</v>
      </c>
      <c r="E3809" t="s">
        <v>1183</v>
      </c>
      <c r="F3809" t="s">
        <v>1184</v>
      </c>
      <c r="G3809" t="s">
        <v>1185</v>
      </c>
      <c r="H3809" t="s">
        <v>241</v>
      </c>
      <c r="I3809" t="s">
        <v>1186</v>
      </c>
      <c r="J3809" t="s">
        <v>1187</v>
      </c>
      <c r="K3809" t="s">
        <v>1188</v>
      </c>
      <c r="L3809" t="s">
        <v>1189</v>
      </c>
      <c r="M3809" t="s">
        <v>1190</v>
      </c>
      <c r="N3809" t="s">
        <v>1191</v>
      </c>
      <c r="O3809" t="s">
        <v>1192</v>
      </c>
      <c r="P3809" t="s">
        <v>1193</v>
      </c>
      <c r="Q3809" t="s">
        <v>1194</v>
      </c>
      <c r="R3809" t="s">
        <v>1195</v>
      </c>
      <c r="S3809" t="s">
        <v>324</v>
      </c>
      <c r="T3809" t="s">
        <v>269</v>
      </c>
      <c r="U3809" t="s">
        <v>243</v>
      </c>
      <c r="V3809" t="s">
        <v>1196</v>
      </c>
      <c r="W3809" t="s">
        <v>1197</v>
      </c>
    </row>
    <row r="3810" spans="1:23">
      <c r="A3810" s="25" t="s">
        <v>198</v>
      </c>
      <c r="B3810">
        <v>2250</v>
      </c>
      <c r="C3810" t="s">
        <v>189</v>
      </c>
      <c r="D3810">
        <v>10398</v>
      </c>
      <c r="E3810" s="1">
        <v>1.37E-2</v>
      </c>
      <c r="F3810" s="1">
        <v>4.4699999999999997E-2</v>
      </c>
      <c r="G3810" s="1">
        <v>2.6100000000000002E-2</v>
      </c>
      <c r="H3810" s="1">
        <v>1.2999999999999999E-3</v>
      </c>
      <c r="I3810" s="1">
        <v>5.0000000000000001E-4</v>
      </c>
      <c r="J3810" s="1">
        <v>2.2800000000000001E-2</v>
      </c>
      <c r="K3810" s="1">
        <v>3.8E-3</v>
      </c>
      <c r="L3810" s="1">
        <v>4.0000000000000001E-3</v>
      </c>
      <c r="M3810" s="1">
        <v>4.7999999999999996E-3</v>
      </c>
      <c r="N3810" s="1">
        <v>1.78E-2</v>
      </c>
      <c r="O3810" s="1">
        <v>2.0999999999999999E-3</v>
      </c>
      <c r="P3810" s="1">
        <v>8.3999999999999995E-3</v>
      </c>
      <c r="Q3810" s="1">
        <v>2.1000000000000001E-2</v>
      </c>
      <c r="R3810" s="1">
        <v>2.2000000000000001E-3</v>
      </c>
      <c r="S3810" s="1">
        <v>0.86029999999999995</v>
      </c>
      <c r="T3810" s="1">
        <v>1.2999999999999999E-3</v>
      </c>
      <c r="U3810" s="1">
        <v>8.5000000000000006E-3</v>
      </c>
      <c r="V3810" s="1">
        <v>7.1000000000000004E-3</v>
      </c>
      <c r="W3810" s="1">
        <v>4.7999999999999996E-3</v>
      </c>
    </row>
    <row r="3811" spans="1:23">
      <c r="A3811" s="25" t="s">
        <v>199</v>
      </c>
      <c r="B3811">
        <v>8148</v>
      </c>
      <c r="C3811" t="s">
        <v>189</v>
      </c>
      <c r="D3811">
        <v>10398</v>
      </c>
      <c r="E3811" s="1">
        <v>1.1900000000000001E-2</v>
      </c>
      <c r="F3811" s="1">
        <v>2.6499999999999999E-2</v>
      </c>
      <c r="G3811" s="1">
        <v>2.1100000000000001E-2</v>
      </c>
      <c r="H3811" s="1">
        <v>1.2999999999999999E-3</v>
      </c>
      <c r="I3811" s="1">
        <v>5.9999999999999995E-4</v>
      </c>
      <c r="J3811" s="1">
        <v>1.8100000000000002E-2</v>
      </c>
      <c r="K3811" s="1">
        <v>4.4000000000000003E-3</v>
      </c>
      <c r="L3811" s="1">
        <v>2.5999999999999999E-3</v>
      </c>
      <c r="M3811" s="1">
        <v>2.8E-3</v>
      </c>
      <c r="N3811" s="1">
        <v>1.2E-2</v>
      </c>
      <c r="O3811" s="1">
        <v>1E-3</v>
      </c>
      <c r="P3811" s="1">
        <v>3.8999999999999998E-3</v>
      </c>
      <c r="Q3811" s="1">
        <v>1.06E-2</v>
      </c>
      <c r="R3811" s="1">
        <v>5.5999999999999999E-3</v>
      </c>
      <c r="S3811" s="1">
        <v>0.90849999999999997</v>
      </c>
      <c r="T3811" s="1">
        <v>8.9999999999999998E-4</v>
      </c>
      <c r="U3811" s="1">
        <v>2.5000000000000001E-3</v>
      </c>
      <c r="V3811" s="1">
        <v>8.3000000000000001E-3</v>
      </c>
      <c r="W3811" s="1">
        <v>2.3999999999999998E-3</v>
      </c>
    </row>
    <row r="3812" spans="1:23">
      <c r="A3812" s="25" t="s">
        <v>192</v>
      </c>
      <c r="B3812">
        <v>10398</v>
      </c>
      <c r="C3812" t="s">
        <v>192</v>
      </c>
      <c r="D3812">
        <v>10398</v>
      </c>
      <c r="E3812" s="1">
        <v>1.2200000000000001E-2</v>
      </c>
      <c r="F3812" s="1">
        <v>2.9899999999999999E-2</v>
      </c>
      <c r="G3812" s="1">
        <v>2.1999999999999999E-2</v>
      </c>
      <c r="H3812" s="1">
        <v>1.2999999999999999E-3</v>
      </c>
      <c r="I3812" s="1">
        <v>5.9999999999999995E-4</v>
      </c>
      <c r="J3812" s="1">
        <v>1.89E-2</v>
      </c>
      <c r="K3812" s="1">
        <v>4.3E-3</v>
      </c>
      <c r="L3812" s="1">
        <v>2.8999999999999998E-3</v>
      </c>
      <c r="M3812" s="1">
        <v>3.2000000000000002E-3</v>
      </c>
      <c r="N3812" s="1">
        <v>1.2999999999999999E-2</v>
      </c>
      <c r="O3812" s="1">
        <v>1.1999999999999999E-3</v>
      </c>
      <c r="P3812" s="1">
        <v>4.7999999999999996E-3</v>
      </c>
      <c r="Q3812" s="1">
        <v>1.2500000000000001E-2</v>
      </c>
      <c r="R3812" s="1">
        <v>5.0000000000000001E-3</v>
      </c>
      <c r="S3812" s="1">
        <v>0.89970000000000006</v>
      </c>
      <c r="T3812" s="1">
        <v>1E-3</v>
      </c>
      <c r="U3812" s="1">
        <v>3.5999999999999999E-3</v>
      </c>
      <c r="V3812" s="1">
        <v>8.0999999999999996E-3</v>
      </c>
      <c r="W3812" s="1">
        <v>2.8E-3</v>
      </c>
    </row>
    <row r="3814" spans="1:23" ht="43.5">
      <c r="A3814" s="25" t="s">
        <v>1200</v>
      </c>
    </row>
    <row r="3815" spans="1:23">
      <c r="A3815" s="25" t="s">
        <v>182</v>
      </c>
      <c r="B3815" t="s">
        <v>219</v>
      </c>
      <c r="C3815" t="s">
        <v>181</v>
      </c>
      <c r="D3815" t="s">
        <v>188</v>
      </c>
      <c r="E3815" t="s">
        <v>1183</v>
      </c>
      <c r="F3815" t="s">
        <v>1184</v>
      </c>
      <c r="G3815" t="s">
        <v>1185</v>
      </c>
      <c r="H3815" t="s">
        <v>241</v>
      </c>
      <c r="I3815" t="s">
        <v>1186</v>
      </c>
      <c r="J3815" t="s">
        <v>1187</v>
      </c>
      <c r="K3815" t="s">
        <v>1188</v>
      </c>
      <c r="L3815" t="s">
        <v>1189</v>
      </c>
      <c r="M3815" t="s">
        <v>1190</v>
      </c>
      <c r="N3815" t="s">
        <v>1191</v>
      </c>
      <c r="O3815" t="s">
        <v>1192</v>
      </c>
      <c r="P3815" t="s">
        <v>1193</v>
      </c>
      <c r="Q3815" t="s">
        <v>1194</v>
      </c>
      <c r="R3815" t="s">
        <v>1195</v>
      </c>
      <c r="S3815" t="s">
        <v>324</v>
      </c>
      <c r="T3815" t="s">
        <v>269</v>
      </c>
      <c r="U3815" t="s">
        <v>243</v>
      </c>
      <c r="V3815" t="s">
        <v>1196</v>
      </c>
      <c r="W3815" t="s">
        <v>1197</v>
      </c>
    </row>
    <row r="3816" spans="1:23">
      <c r="A3816" s="25" t="s">
        <v>201</v>
      </c>
      <c r="B3816">
        <v>765</v>
      </c>
      <c r="C3816" t="s">
        <v>189</v>
      </c>
      <c r="D3816">
        <v>10398</v>
      </c>
      <c r="E3816" s="1">
        <v>6.9400000000000003E-2</v>
      </c>
      <c r="F3816" s="1">
        <v>0.17280000000000001</v>
      </c>
      <c r="G3816" s="1">
        <v>0.24879999999999999</v>
      </c>
      <c r="H3816" s="1">
        <v>5.9999999999999995E-4</v>
      </c>
      <c r="J3816" s="1">
        <v>0.23380000000000001</v>
      </c>
      <c r="K3816" s="1">
        <v>4.3999999999999997E-2</v>
      </c>
      <c r="L3816" s="1">
        <v>3.3599999999999998E-2</v>
      </c>
      <c r="M3816" s="1">
        <v>1.7100000000000001E-2</v>
      </c>
      <c r="N3816" s="1">
        <v>2.2200000000000001E-2</v>
      </c>
      <c r="O3816" s="1">
        <v>7.1999999999999998E-3</v>
      </c>
      <c r="P3816" s="1">
        <v>4.7500000000000001E-2</v>
      </c>
      <c r="Q3816" s="1">
        <v>0.14860000000000001</v>
      </c>
      <c r="R3816" s="1">
        <v>2.1899999999999999E-2</v>
      </c>
      <c r="S3816" s="1">
        <v>0.3196</v>
      </c>
      <c r="T3816" s="1">
        <v>1.4E-3</v>
      </c>
      <c r="U3816" s="1">
        <v>4.7000000000000002E-3</v>
      </c>
      <c r="V3816" s="1">
        <v>9.0300000000000005E-2</v>
      </c>
      <c r="W3816" s="1">
        <v>2.9999999999999997E-4</v>
      </c>
    </row>
    <row r="3817" spans="1:23">
      <c r="A3817" s="25" t="s">
        <v>202</v>
      </c>
      <c r="B3817">
        <v>110</v>
      </c>
      <c r="C3817" t="s">
        <v>189</v>
      </c>
      <c r="D3817">
        <v>10398</v>
      </c>
      <c r="E3817" s="1">
        <v>3.4200000000000001E-2</v>
      </c>
      <c r="F3817" s="1">
        <v>0.17530000000000001</v>
      </c>
      <c r="G3817" s="1">
        <v>8.6199999999999999E-2</v>
      </c>
      <c r="H3817" s="1">
        <v>2.5999999999999999E-3</v>
      </c>
      <c r="I3817" s="1">
        <v>1.47E-2</v>
      </c>
      <c r="J3817" s="1">
        <v>6.4100000000000004E-2</v>
      </c>
      <c r="K3817" s="1">
        <v>4.6899999999999997E-2</v>
      </c>
      <c r="L3817" s="1">
        <v>2.1700000000000001E-2</v>
      </c>
      <c r="M3817" s="1">
        <v>5.9999999999999995E-4</v>
      </c>
      <c r="N3817" s="1">
        <v>6.0000000000000001E-3</v>
      </c>
      <c r="O3817" s="1">
        <v>1.7899999999999999E-2</v>
      </c>
      <c r="P3817" s="1">
        <v>6.1100000000000002E-2</v>
      </c>
      <c r="Q3817" s="1">
        <v>3.3399999999999999E-2</v>
      </c>
      <c r="R3817" s="1">
        <v>1.47E-2</v>
      </c>
      <c r="S3817" s="1">
        <v>0.63029999999999997</v>
      </c>
      <c r="V3817" s="1">
        <v>1.7000000000000001E-2</v>
      </c>
    </row>
    <row r="3818" spans="1:23">
      <c r="A3818" s="25" t="s">
        <v>203</v>
      </c>
      <c r="B3818">
        <v>8018</v>
      </c>
      <c r="C3818" t="s">
        <v>189</v>
      </c>
      <c r="D3818">
        <v>10398</v>
      </c>
      <c r="E3818" s="1">
        <v>6.1999999999999998E-3</v>
      </c>
      <c r="F3818" s="1">
        <v>1.41E-2</v>
      </c>
      <c r="G3818" s="1">
        <v>2.8E-3</v>
      </c>
      <c r="H3818" s="1">
        <v>8.0000000000000004E-4</v>
      </c>
      <c r="I3818" s="1">
        <v>5.9999999999999995E-4</v>
      </c>
      <c r="J3818" s="1">
        <v>1.9E-3</v>
      </c>
      <c r="K3818" s="1">
        <v>2.9999999999999997E-4</v>
      </c>
      <c r="L3818" s="1">
        <v>2.0000000000000001E-4</v>
      </c>
      <c r="M3818" s="1">
        <v>1.6000000000000001E-3</v>
      </c>
      <c r="N3818" s="1">
        <v>1.2800000000000001E-2</v>
      </c>
      <c r="O3818" s="1">
        <v>5.0000000000000001E-4</v>
      </c>
      <c r="P3818" s="1">
        <v>1.1000000000000001E-3</v>
      </c>
      <c r="Q3818" s="1">
        <v>1.6000000000000001E-3</v>
      </c>
      <c r="R3818" s="1">
        <v>4.0000000000000001E-3</v>
      </c>
      <c r="S3818" s="1">
        <v>0.95199999999999996</v>
      </c>
      <c r="T3818" s="1">
        <v>8.9999999999999998E-4</v>
      </c>
      <c r="U3818" s="1">
        <v>3.2000000000000002E-3</v>
      </c>
      <c r="V3818" s="1">
        <v>1.6999999999999999E-3</v>
      </c>
      <c r="W3818" s="1">
        <v>2E-3</v>
      </c>
    </row>
    <row r="3819" spans="1:23">
      <c r="A3819" s="25" t="s">
        <v>204</v>
      </c>
      <c r="B3819">
        <v>31</v>
      </c>
      <c r="C3819" t="s">
        <v>189</v>
      </c>
      <c r="D3819">
        <v>10398</v>
      </c>
      <c r="E3819" s="1">
        <v>2.1700000000000001E-2</v>
      </c>
      <c r="F3819" s="1">
        <v>2.24E-2</v>
      </c>
      <c r="G3819" s="1">
        <v>2.3900000000000001E-2</v>
      </c>
      <c r="S3819" s="1">
        <v>0.8841</v>
      </c>
      <c r="V3819" s="1">
        <v>4.8000000000000001E-2</v>
      </c>
    </row>
    <row r="3820" spans="1:23">
      <c r="A3820" s="25" t="s">
        <v>205</v>
      </c>
      <c r="B3820">
        <v>1474</v>
      </c>
      <c r="C3820" t="s">
        <v>189</v>
      </c>
      <c r="D3820">
        <v>10398</v>
      </c>
      <c r="E3820" s="1">
        <v>1.6500000000000001E-2</v>
      </c>
      <c r="F3820" s="1">
        <v>4.1799999999999997E-2</v>
      </c>
      <c r="G3820" s="1">
        <v>1.44E-2</v>
      </c>
      <c r="H3820" s="1">
        <v>4.8999999999999998E-3</v>
      </c>
      <c r="J3820" s="1">
        <v>6.1000000000000004E-3</v>
      </c>
      <c r="K3820" s="1">
        <v>5.3E-3</v>
      </c>
      <c r="L3820" s="1">
        <v>1.5E-3</v>
      </c>
      <c r="M3820" s="1">
        <v>5.4000000000000003E-3</v>
      </c>
      <c r="N3820" s="1">
        <v>1.0500000000000001E-2</v>
      </c>
      <c r="O3820" s="1">
        <v>1.9E-3</v>
      </c>
      <c r="P3820" s="1">
        <v>1.8E-3</v>
      </c>
      <c r="Q3820" s="1">
        <v>5.4000000000000003E-3</v>
      </c>
      <c r="R3820" s="1">
        <v>1.4E-3</v>
      </c>
      <c r="S3820" s="1">
        <v>0.90539999999999998</v>
      </c>
      <c r="T3820" s="1">
        <v>1E-3</v>
      </c>
      <c r="U3820" s="1">
        <v>5.1999999999999998E-3</v>
      </c>
      <c r="V3820" s="1">
        <v>2E-3</v>
      </c>
      <c r="W3820" s="1">
        <v>8.6E-3</v>
      </c>
    </row>
    <row r="3821" spans="1:23">
      <c r="A3821" s="25" t="s">
        <v>192</v>
      </c>
      <c r="B3821">
        <v>10398</v>
      </c>
      <c r="C3821" t="s">
        <v>192</v>
      </c>
      <c r="D3821">
        <v>10398</v>
      </c>
      <c r="E3821" s="1">
        <v>1.2200000000000001E-2</v>
      </c>
      <c r="F3821" s="1">
        <v>2.9899999999999999E-2</v>
      </c>
      <c r="G3821" s="1">
        <v>2.1999999999999999E-2</v>
      </c>
      <c r="H3821" s="1">
        <v>1.2999999999999999E-3</v>
      </c>
      <c r="I3821" s="1">
        <v>5.9999999999999995E-4</v>
      </c>
      <c r="J3821" s="1">
        <v>1.89E-2</v>
      </c>
      <c r="K3821" s="1">
        <v>4.3E-3</v>
      </c>
      <c r="L3821" s="1">
        <v>2.8999999999999998E-3</v>
      </c>
      <c r="M3821" s="1">
        <v>3.2000000000000002E-3</v>
      </c>
      <c r="N3821" s="1">
        <v>1.2999999999999999E-2</v>
      </c>
      <c r="O3821" s="1">
        <v>1.1999999999999999E-3</v>
      </c>
      <c r="P3821" s="1">
        <v>4.7999999999999996E-3</v>
      </c>
      <c r="Q3821" s="1">
        <v>1.2500000000000001E-2</v>
      </c>
      <c r="R3821" s="1">
        <v>5.0000000000000001E-3</v>
      </c>
      <c r="S3821" s="1">
        <v>0.89970000000000006</v>
      </c>
      <c r="T3821" s="1">
        <v>1E-3</v>
      </c>
      <c r="U3821" s="1">
        <v>3.5999999999999999E-3</v>
      </c>
      <c r="V3821" s="1">
        <v>8.0999999999999996E-3</v>
      </c>
      <c r="W3821" s="1">
        <v>2.8E-3</v>
      </c>
    </row>
    <row r="3823" spans="1:23" ht="43.5">
      <c r="A3823" s="25" t="s">
        <v>1201</v>
      </c>
    </row>
    <row r="3824" spans="1:23">
      <c r="A3824" s="25" t="s">
        <v>182</v>
      </c>
      <c r="B3824" t="s">
        <v>219</v>
      </c>
      <c r="C3824" t="s">
        <v>181</v>
      </c>
      <c r="D3824" t="s">
        <v>188</v>
      </c>
      <c r="E3824" t="s">
        <v>1183</v>
      </c>
      <c r="F3824" t="s">
        <v>1184</v>
      </c>
      <c r="G3824" t="s">
        <v>1185</v>
      </c>
      <c r="H3824" t="s">
        <v>241</v>
      </c>
      <c r="I3824" t="s">
        <v>1186</v>
      </c>
      <c r="J3824" t="s">
        <v>1187</v>
      </c>
      <c r="K3824" t="s">
        <v>1188</v>
      </c>
      <c r="L3824" t="s">
        <v>1189</v>
      </c>
      <c r="M3824" t="s">
        <v>1190</v>
      </c>
      <c r="N3824" t="s">
        <v>1191</v>
      </c>
      <c r="O3824" t="s">
        <v>1192</v>
      </c>
      <c r="P3824" t="s">
        <v>1193</v>
      </c>
      <c r="Q3824" t="s">
        <v>1194</v>
      </c>
      <c r="R3824" t="s">
        <v>1195</v>
      </c>
      <c r="S3824" t="s">
        <v>324</v>
      </c>
      <c r="T3824" t="s">
        <v>269</v>
      </c>
      <c r="U3824" t="s">
        <v>243</v>
      </c>
      <c r="V3824" t="s">
        <v>1196</v>
      </c>
      <c r="W3824" t="s">
        <v>1197</v>
      </c>
    </row>
    <row r="3825" spans="1:23">
      <c r="A3825" s="25" t="s">
        <v>207</v>
      </c>
      <c r="B3825">
        <v>7226</v>
      </c>
      <c r="C3825" t="s">
        <v>189</v>
      </c>
      <c r="D3825">
        <v>10398</v>
      </c>
      <c r="E3825" s="1">
        <v>1.3899999999999999E-2</v>
      </c>
      <c r="F3825" s="1">
        <v>3.1099999999999999E-2</v>
      </c>
      <c r="G3825" s="1">
        <v>2.4199999999999999E-2</v>
      </c>
      <c r="H3825" s="1">
        <v>1.6000000000000001E-3</v>
      </c>
      <c r="I3825" s="1">
        <v>5.9999999999999995E-4</v>
      </c>
      <c r="J3825" s="1">
        <v>1.89E-2</v>
      </c>
      <c r="K3825" s="1">
        <v>3.5000000000000001E-3</v>
      </c>
      <c r="L3825" s="1">
        <v>2.8999999999999998E-3</v>
      </c>
      <c r="M3825" s="1">
        <v>3.0000000000000001E-3</v>
      </c>
      <c r="N3825" s="1">
        <v>1.35E-2</v>
      </c>
      <c r="O3825" s="1">
        <v>1.1000000000000001E-3</v>
      </c>
      <c r="P3825" s="1">
        <v>5.1000000000000004E-3</v>
      </c>
      <c r="Q3825" s="1">
        <v>1.3899999999999999E-2</v>
      </c>
      <c r="R3825" s="1">
        <v>4.3E-3</v>
      </c>
      <c r="S3825" s="1">
        <v>0.89710000000000001</v>
      </c>
      <c r="T3825" s="1">
        <v>1.2999999999999999E-3</v>
      </c>
      <c r="U3825" s="1">
        <v>3.5000000000000001E-3</v>
      </c>
      <c r="V3825" s="1">
        <v>8.6999999999999994E-3</v>
      </c>
      <c r="W3825" s="1">
        <v>3.2000000000000002E-3</v>
      </c>
    </row>
    <row r="3826" spans="1:23">
      <c r="A3826" s="25" t="s">
        <v>208</v>
      </c>
      <c r="B3826">
        <v>2241</v>
      </c>
      <c r="C3826" t="s">
        <v>189</v>
      </c>
      <c r="D3826">
        <v>10398</v>
      </c>
      <c r="E3826" s="1">
        <v>9.1000000000000004E-3</v>
      </c>
      <c r="F3826" s="1">
        <v>2.3300000000000001E-2</v>
      </c>
      <c r="G3826" s="1">
        <v>1.78E-2</v>
      </c>
      <c r="H3826" s="1">
        <v>6.9999999999999999E-4</v>
      </c>
      <c r="I3826" s="1">
        <v>6.9999999999999999E-4</v>
      </c>
      <c r="J3826" s="1">
        <v>1.8100000000000002E-2</v>
      </c>
      <c r="K3826" s="1">
        <v>7.1999999999999998E-3</v>
      </c>
      <c r="L3826" s="1">
        <v>1.6000000000000001E-3</v>
      </c>
      <c r="M3826" s="1">
        <v>2.5999999999999999E-3</v>
      </c>
      <c r="N3826" s="1">
        <v>1.09E-2</v>
      </c>
      <c r="O3826" s="1">
        <v>1.9E-3</v>
      </c>
      <c r="P3826" s="1">
        <v>1.8E-3</v>
      </c>
      <c r="Q3826" s="1">
        <v>9.1000000000000004E-3</v>
      </c>
      <c r="R3826" s="1">
        <v>7.3000000000000001E-3</v>
      </c>
      <c r="S3826" s="1">
        <v>0.9103</v>
      </c>
      <c r="T3826" s="1">
        <v>2.9999999999999997E-4</v>
      </c>
      <c r="U3826" s="1">
        <v>5.0000000000000001E-3</v>
      </c>
      <c r="V3826" s="1">
        <v>5.0000000000000001E-3</v>
      </c>
      <c r="W3826" s="1">
        <v>8.0000000000000004E-4</v>
      </c>
    </row>
    <row r="3827" spans="1:23">
      <c r="A3827" s="25" t="s">
        <v>209</v>
      </c>
      <c r="B3827">
        <v>931</v>
      </c>
      <c r="C3827" t="s">
        <v>189</v>
      </c>
      <c r="D3827">
        <v>10398</v>
      </c>
      <c r="E3827" s="1">
        <v>6.6E-3</v>
      </c>
      <c r="F3827" s="1">
        <v>3.73E-2</v>
      </c>
      <c r="G3827" s="1">
        <v>1.4800000000000001E-2</v>
      </c>
      <c r="H3827" s="1">
        <v>8.9999999999999998E-4</v>
      </c>
      <c r="J3827" s="1">
        <v>2.1299999999999999E-2</v>
      </c>
      <c r="K3827" s="1">
        <v>3.2000000000000002E-3</v>
      </c>
      <c r="L3827" s="1">
        <v>6.6E-3</v>
      </c>
      <c r="M3827" s="1">
        <v>6.6E-3</v>
      </c>
      <c r="N3827" s="1">
        <v>1.5599999999999999E-2</v>
      </c>
      <c r="O3827" s="1">
        <v>5.0000000000000001E-4</v>
      </c>
      <c r="P3827" s="1">
        <v>1.03E-2</v>
      </c>
      <c r="Q3827" s="1">
        <v>9.9000000000000008E-3</v>
      </c>
      <c r="R3827" s="1">
        <v>3.5000000000000001E-3</v>
      </c>
      <c r="S3827" s="1">
        <v>0.89219999999999999</v>
      </c>
      <c r="T3827" s="1">
        <v>2.9999999999999997E-4</v>
      </c>
      <c r="V3827" s="1">
        <v>1.11E-2</v>
      </c>
      <c r="W3827" s="1">
        <v>4.7000000000000002E-3</v>
      </c>
    </row>
    <row r="3828" spans="1:23">
      <c r="A3828" s="25" t="s">
        <v>192</v>
      </c>
      <c r="B3828">
        <v>10398</v>
      </c>
      <c r="C3828" t="s">
        <v>192</v>
      </c>
      <c r="D3828">
        <v>10398</v>
      </c>
      <c r="E3828" s="1">
        <v>1.2200000000000001E-2</v>
      </c>
      <c r="F3828" s="1">
        <v>2.9899999999999999E-2</v>
      </c>
      <c r="G3828" s="1">
        <v>2.1999999999999999E-2</v>
      </c>
      <c r="H3828" s="1">
        <v>1.2999999999999999E-3</v>
      </c>
      <c r="I3828" s="1">
        <v>5.9999999999999995E-4</v>
      </c>
      <c r="J3828" s="1">
        <v>1.89E-2</v>
      </c>
      <c r="K3828" s="1">
        <v>4.3E-3</v>
      </c>
      <c r="L3828" s="1">
        <v>2.8999999999999998E-3</v>
      </c>
      <c r="M3828" s="1">
        <v>3.2000000000000002E-3</v>
      </c>
      <c r="N3828" s="1">
        <v>1.2999999999999999E-2</v>
      </c>
      <c r="O3828" s="1">
        <v>1.1999999999999999E-3</v>
      </c>
      <c r="P3828" s="1">
        <v>4.7999999999999996E-3</v>
      </c>
      <c r="Q3828" s="1">
        <v>1.2500000000000001E-2</v>
      </c>
      <c r="R3828" s="1">
        <v>5.0000000000000001E-3</v>
      </c>
      <c r="S3828" s="1">
        <v>0.89970000000000006</v>
      </c>
      <c r="T3828" s="1">
        <v>1E-3</v>
      </c>
      <c r="U3828" s="1">
        <v>3.5999999999999999E-3</v>
      </c>
      <c r="V3828" s="1">
        <v>8.0999999999999996E-3</v>
      </c>
      <c r="W3828" s="1">
        <v>2.8E-3</v>
      </c>
    </row>
    <row r="3830" spans="1:23" ht="43.5">
      <c r="A3830" s="25" t="s">
        <v>1202</v>
      </c>
    </row>
    <row r="3831" spans="1:23">
      <c r="A3831" s="25" t="s">
        <v>182</v>
      </c>
      <c r="B3831" t="s">
        <v>219</v>
      </c>
      <c r="C3831" t="s">
        <v>181</v>
      </c>
      <c r="D3831" t="s">
        <v>188</v>
      </c>
      <c r="E3831" t="s">
        <v>1183</v>
      </c>
      <c r="F3831" t="s">
        <v>1184</v>
      </c>
      <c r="G3831" t="s">
        <v>1185</v>
      </c>
      <c r="H3831" t="s">
        <v>241</v>
      </c>
      <c r="I3831" t="s">
        <v>1186</v>
      </c>
      <c r="J3831" t="s">
        <v>1187</v>
      </c>
      <c r="K3831" t="s">
        <v>1188</v>
      </c>
      <c r="L3831" t="s">
        <v>1189</v>
      </c>
      <c r="M3831" t="s">
        <v>1190</v>
      </c>
      <c r="N3831" t="s">
        <v>1191</v>
      </c>
      <c r="O3831" t="s">
        <v>1192</v>
      </c>
      <c r="P3831" t="s">
        <v>1193</v>
      </c>
      <c r="Q3831" t="s">
        <v>1194</v>
      </c>
      <c r="R3831" t="s">
        <v>1195</v>
      </c>
      <c r="S3831" t="s">
        <v>324</v>
      </c>
      <c r="T3831" t="s">
        <v>269</v>
      </c>
      <c r="U3831" t="s">
        <v>243</v>
      </c>
      <c r="V3831" t="s">
        <v>1196</v>
      </c>
      <c r="W3831" t="s">
        <v>1197</v>
      </c>
    </row>
    <row r="3832" spans="1:23">
      <c r="A3832" s="25" t="s">
        <v>211</v>
      </c>
      <c r="B3832">
        <v>4955</v>
      </c>
      <c r="C3832" t="s">
        <v>189</v>
      </c>
      <c r="D3832">
        <v>10398</v>
      </c>
      <c r="E3832" s="1">
        <v>1.44E-2</v>
      </c>
      <c r="F3832" s="1">
        <v>2.7799999999999998E-2</v>
      </c>
      <c r="G3832" s="1">
        <v>2.24E-2</v>
      </c>
      <c r="H3832" s="1">
        <v>1.1999999999999999E-3</v>
      </c>
      <c r="I3832" s="1">
        <v>2.9999999999999997E-4</v>
      </c>
      <c r="J3832" s="1">
        <v>1.83E-2</v>
      </c>
      <c r="K3832" s="1">
        <v>3.5000000000000001E-3</v>
      </c>
      <c r="L3832" s="1">
        <v>2.3E-3</v>
      </c>
      <c r="M3832" s="1">
        <v>2.7000000000000001E-3</v>
      </c>
      <c r="N3832" s="1">
        <v>1.2500000000000001E-2</v>
      </c>
      <c r="O3832" s="1">
        <v>1.1000000000000001E-3</v>
      </c>
      <c r="P3832" s="1">
        <v>4.7999999999999996E-3</v>
      </c>
      <c r="Q3832" s="1">
        <v>1.0800000000000001E-2</v>
      </c>
      <c r="R3832" s="1">
        <v>4.1000000000000003E-3</v>
      </c>
      <c r="S3832" s="1">
        <v>0.9042</v>
      </c>
      <c r="T3832" s="1">
        <v>8.0000000000000004E-4</v>
      </c>
      <c r="U3832" s="1">
        <v>2.8999999999999998E-3</v>
      </c>
      <c r="V3832" s="1">
        <v>8.3999999999999995E-3</v>
      </c>
      <c r="W3832" s="1">
        <v>2.8E-3</v>
      </c>
    </row>
    <row r="3833" spans="1:23">
      <c r="A3833" s="25" t="s">
        <v>212</v>
      </c>
      <c r="B3833">
        <v>3366</v>
      </c>
      <c r="C3833" t="s">
        <v>189</v>
      </c>
      <c r="D3833">
        <v>10398</v>
      </c>
      <c r="E3833" s="1">
        <v>7.6E-3</v>
      </c>
      <c r="F3833" s="1">
        <v>3.6799999999999999E-2</v>
      </c>
      <c r="G3833" s="1">
        <v>2.2700000000000001E-2</v>
      </c>
      <c r="H3833" s="1">
        <v>1E-3</v>
      </c>
      <c r="I3833" s="1">
        <v>5.0000000000000001E-4</v>
      </c>
      <c r="J3833" s="1">
        <v>1.9800000000000002E-2</v>
      </c>
      <c r="K3833" s="1">
        <v>5.7999999999999996E-3</v>
      </c>
      <c r="L3833" s="1">
        <v>3.8E-3</v>
      </c>
      <c r="M3833" s="1">
        <v>3.8E-3</v>
      </c>
      <c r="N3833" s="1">
        <v>1.6199999999999999E-2</v>
      </c>
      <c r="O3833" s="1">
        <v>1.6000000000000001E-3</v>
      </c>
      <c r="P3833" s="1">
        <v>5.4999999999999997E-3</v>
      </c>
      <c r="Q3833" s="1">
        <v>1.5699999999999999E-2</v>
      </c>
      <c r="R3833" s="1">
        <v>1.2999999999999999E-3</v>
      </c>
      <c r="S3833" s="1">
        <v>0.89319999999999999</v>
      </c>
      <c r="T3833" s="1">
        <v>2.0000000000000001E-4</v>
      </c>
      <c r="U3833" s="1">
        <v>3.7000000000000002E-3</v>
      </c>
      <c r="V3833" s="1">
        <v>8.8999999999999999E-3</v>
      </c>
      <c r="W3833" s="1">
        <v>2.8999999999999998E-3</v>
      </c>
    </row>
    <row r="3834" spans="1:23">
      <c r="A3834" s="25" t="s">
        <v>213</v>
      </c>
      <c r="B3834">
        <v>2077</v>
      </c>
      <c r="C3834" t="s">
        <v>189</v>
      </c>
      <c r="D3834">
        <v>10398</v>
      </c>
      <c r="E3834" s="1">
        <v>1.41E-2</v>
      </c>
      <c r="F3834" s="1">
        <v>2.4199999999999999E-2</v>
      </c>
      <c r="G3834" s="1">
        <v>2.01E-2</v>
      </c>
      <c r="H3834" s="1">
        <v>2E-3</v>
      </c>
      <c r="I3834" s="1">
        <v>1.1999999999999999E-3</v>
      </c>
      <c r="J3834" s="1">
        <v>1.9E-2</v>
      </c>
      <c r="K3834" s="1">
        <v>4.0000000000000001E-3</v>
      </c>
      <c r="L3834" s="1">
        <v>2.7000000000000001E-3</v>
      </c>
      <c r="M3834" s="1">
        <v>3.3E-3</v>
      </c>
      <c r="N3834" s="1">
        <v>9.7000000000000003E-3</v>
      </c>
      <c r="O3834" s="1">
        <v>1.1000000000000001E-3</v>
      </c>
      <c r="P3834" s="1">
        <v>3.5999999999999999E-3</v>
      </c>
      <c r="Q3834" s="1">
        <v>1.1599999999999999E-2</v>
      </c>
      <c r="R3834" s="1">
        <v>1.21E-2</v>
      </c>
      <c r="S3834" s="1">
        <v>0.89900000000000002</v>
      </c>
      <c r="T3834" s="1">
        <v>2.3E-3</v>
      </c>
      <c r="U3834" s="1">
        <v>4.8999999999999998E-3</v>
      </c>
      <c r="V3834" s="1">
        <v>6.1999999999999998E-3</v>
      </c>
      <c r="W3834" s="1">
        <v>2.5999999999999999E-3</v>
      </c>
    </row>
    <row r="3835" spans="1:23">
      <c r="A3835" s="25" t="s">
        <v>192</v>
      </c>
      <c r="B3835">
        <v>10398</v>
      </c>
      <c r="C3835" t="s">
        <v>192</v>
      </c>
      <c r="D3835">
        <v>10398</v>
      </c>
      <c r="E3835" s="1">
        <v>1.2200000000000001E-2</v>
      </c>
      <c r="F3835" s="1">
        <v>2.9899999999999999E-2</v>
      </c>
      <c r="G3835" s="1">
        <v>2.1999999999999999E-2</v>
      </c>
      <c r="H3835" s="1">
        <v>1.2999999999999999E-3</v>
      </c>
      <c r="I3835" s="1">
        <v>5.9999999999999995E-4</v>
      </c>
      <c r="J3835" s="1">
        <v>1.89E-2</v>
      </c>
      <c r="K3835" s="1">
        <v>4.3E-3</v>
      </c>
      <c r="L3835" s="1">
        <v>2.8999999999999998E-3</v>
      </c>
      <c r="M3835" s="1">
        <v>3.2000000000000002E-3</v>
      </c>
      <c r="N3835" s="1">
        <v>1.2999999999999999E-2</v>
      </c>
      <c r="O3835" s="1">
        <v>1.1999999999999999E-3</v>
      </c>
      <c r="P3835" s="1">
        <v>4.7999999999999996E-3</v>
      </c>
      <c r="Q3835" s="1">
        <v>1.2500000000000001E-2</v>
      </c>
      <c r="R3835" s="1">
        <v>5.0000000000000001E-3</v>
      </c>
      <c r="S3835" s="1">
        <v>0.89970000000000006</v>
      </c>
      <c r="T3835" s="1">
        <v>1E-3</v>
      </c>
      <c r="U3835" s="1">
        <v>3.5999999999999999E-3</v>
      </c>
      <c r="V3835" s="1">
        <v>8.0999999999999996E-3</v>
      </c>
      <c r="W3835" s="1">
        <v>2.8E-3</v>
      </c>
    </row>
    <row r="3837" spans="1:23" ht="57.95">
      <c r="A3837" s="25" t="s">
        <v>1203</v>
      </c>
    </row>
    <row r="3838" spans="1:23">
      <c r="A3838" s="25" t="s">
        <v>181</v>
      </c>
      <c r="B3838" t="s">
        <v>182</v>
      </c>
      <c r="C3838" t="s">
        <v>183</v>
      </c>
      <c r="D3838" t="s">
        <v>184</v>
      </c>
      <c r="E3838" t="s">
        <v>185</v>
      </c>
      <c r="F3838" t="s">
        <v>186</v>
      </c>
      <c r="G3838" t="s">
        <v>187</v>
      </c>
      <c r="H3838" t="s">
        <v>188</v>
      </c>
    </row>
    <row r="3839" spans="1:23">
      <c r="A3839" s="25" t="s">
        <v>189</v>
      </c>
      <c r="B3839" t="s">
        <v>190</v>
      </c>
      <c r="C3839">
        <v>0.66948843184793161</v>
      </c>
      <c r="D3839">
        <v>0</v>
      </c>
      <c r="E3839">
        <v>0</v>
      </c>
      <c r="F3839">
        <v>19</v>
      </c>
      <c r="G3839">
        <v>4481</v>
      </c>
      <c r="H3839">
        <v>9426</v>
      </c>
    </row>
    <row r="3840" spans="1:23">
      <c r="A3840" s="25" t="s">
        <v>189</v>
      </c>
      <c r="B3840" t="s">
        <v>191</v>
      </c>
      <c r="C3840">
        <v>0.90609630279541764</v>
      </c>
      <c r="D3840">
        <v>0</v>
      </c>
      <c r="E3840">
        <v>0</v>
      </c>
      <c r="F3840">
        <v>19</v>
      </c>
      <c r="G3840">
        <v>4892</v>
      </c>
      <c r="H3840">
        <v>9426</v>
      </c>
    </row>
    <row r="3841" spans="1:8">
      <c r="A3841" s="25" t="s">
        <v>192</v>
      </c>
      <c r="B3841" t="s">
        <v>192</v>
      </c>
      <c r="C3841">
        <v>0.81544482733804657</v>
      </c>
      <c r="D3841">
        <v>0</v>
      </c>
      <c r="E3841">
        <v>0</v>
      </c>
      <c r="F3841">
        <v>19</v>
      </c>
      <c r="G3841">
        <v>9426</v>
      </c>
      <c r="H3841">
        <v>9426</v>
      </c>
    </row>
    <row r="3843" spans="1:8" ht="57.95">
      <c r="A3843" s="25" t="s">
        <v>1204</v>
      </c>
    </row>
    <row r="3844" spans="1:8">
      <c r="A3844" s="25" t="s">
        <v>181</v>
      </c>
      <c r="B3844" t="s">
        <v>182</v>
      </c>
      <c r="C3844" t="s">
        <v>183</v>
      </c>
      <c r="D3844" t="s">
        <v>184</v>
      </c>
      <c r="E3844" t="s">
        <v>185</v>
      </c>
      <c r="F3844" t="s">
        <v>186</v>
      </c>
      <c r="G3844" t="s">
        <v>187</v>
      </c>
      <c r="H3844" t="s">
        <v>188</v>
      </c>
    </row>
    <row r="3845" spans="1:8">
      <c r="A3845" s="25" t="s">
        <v>189</v>
      </c>
      <c r="B3845" t="s">
        <v>194</v>
      </c>
      <c r="C3845">
        <v>0.74620243988718193</v>
      </c>
      <c r="D3845">
        <v>0</v>
      </c>
      <c r="E3845">
        <v>0</v>
      </c>
      <c r="F3845">
        <v>15</v>
      </c>
      <c r="G3845">
        <v>5569</v>
      </c>
      <c r="H3845">
        <v>9426</v>
      </c>
    </row>
    <row r="3846" spans="1:8">
      <c r="A3846" s="25" t="s">
        <v>189</v>
      </c>
      <c r="B3846" t="s">
        <v>195</v>
      </c>
      <c r="C3846">
        <v>0.77851774212618385</v>
      </c>
      <c r="D3846">
        <v>0</v>
      </c>
      <c r="E3846">
        <v>0</v>
      </c>
      <c r="F3846">
        <v>15</v>
      </c>
      <c r="G3846">
        <v>2395</v>
      </c>
      <c r="H3846">
        <v>9426</v>
      </c>
    </row>
    <row r="3847" spans="1:8">
      <c r="A3847" s="25" t="s">
        <v>189</v>
      </c>
      <c r="B3847" t="s">
        <v>196</v>
      </c>
      <c r="C3847">
        <v>1.441305008347936</v>
      </c>
      <c r="D3847">
        <v>0</v>
      </c>
      <c r="E3847">
        <v>0</v>
      </c>
      <c r="F3847">
        <v>19</v>
      </c>
      <c r="G3847">
        <v>1409</v>
      </c>
      <c r="H3847">
        <v>9426</v>
      </c>
    </row>
    <row r="3848" spans="1:8">
      <c r="A3848" s="25" t="s">
        <v>192</v>
      </c>
      <c r="B3848" t="s">
        <v>192</v>
      </c>
      <c r="C3848">
        <v>0.81544482733804657</v>
      </c>
      <c r="D3848">
        <v>0</v>
      </c>
      <c r="E3848">
        <v>0</v>
      </c>
      <c r="F3848">
        <v>19</v>
      </c>
      <c r="G3848">
        <v>9426</v>
      </c>
      <c r="H3848">
        <v>9426</v>
      </c>
    </row>
    <row r="3850" spans="1:8" ht="57.95">
      <c r="A3850" s="25" t="s">
        <v>1205</v>
      </c>
    </row>
    <row r="3851" spans="1:8">
      <c r="A3851" s="25" t="s">
        <v>181</v>
      </c>
      <c r="B3851" t="s">
        <v>182</v>
      </c>
      <c r="C3851" t="s">
        <v>183</v>
      </c>
      <c r="D3851" t="s">
        <v>184</v>
      </c>
      <c r="E3851" t="s">
        <v>185</v>
      </c>
      <c r="F3851" t="s">
        <v>186</v>
      </c>
      <c r="G3851" t="s">
        <v>187</v>
      </c>
      <c r="H3851" t="s">
        <v>188</v>
      </c>
    </row>
    <row r="3852" spans="1:8">
      <c r="A3852" s="25" t="s">
        <v>189</v>
      </c>
      <c r="B3852" t="s">
        <v>198</v>
      </c>
      <c r="C3852">
        <v>0.71273875926260011</v>
      </c>
      <c r="D3852">
        <v>0</v>
      </c>
      <c r="E3852">
        <v>0</v>
      </c>
      <c r="F3852">
        <v>18</v>
      </c>
      <c r="G3852">
        <v>2036</v>
      </c>
      <c r="H3852">
        <v>9426</v>
      </c>
    </row>
    <row r="3853" spans="1:8">
      <c r="A3853" s="25" t="s">
        <v>189</v>
      </c>
      <c r="B3853" t="s">
        <v>199</v>
      </c>
      <c r="C3853">
        <v>0.83828530174246296</v>
      </c>
      <c r="D3853">
        <v>0</v>
      </c>
      <c r="E3853">
        <v>0</v>
      </c>
      <c r="F3853">
        <v>19</v>
      </c>
      <c r="G3853">
        <v>7390</v>
      </c>
      <c r="H3853">
        <v>9426</v>
      </c>
    </row>
    <row r="3854" spans="1:8">
      <c r="A3854" s="25" t="s">
        <v>192</v>
      </c>
      <c r="B3854" t="s">
        <v>192</v>
      </c>
      <c r="C3854">
        <v>0.81544482733804657</v>
      </c>
      <c r="D3854">
        <v>0</v>
      </c>
      <c r="E3854">
        <v>0</v>
      </c>
      <c r="F3854">
        <v>19</v>
      </c>
      <c r="G3854">
        <v>9426</v>
      </c>
      <c r="H3854">
        <v>9426</v>
      </c>
    </row>
    <row r="3856" spans="1:8" ht="57.95">
      <c r="A3856" s="25" t="s">
        <v>1206</v>
      </c>
    </row>
    <row r="3857" spans="1:8">
      <c r="A3857" s="25" t="s">
        <v>181</v>
      </c>
      <c r="B3857" t="s">
        <v>182</v>
      </c>
      <c r="C3857" t="s">
        <v>183</v>
      </c>
      <c r="D3857" t="s">
        <v>184</v>
      </c>
      <c r="E3857" t="s">
        <v>185</v>
      </c>
      <c r="F3857" t="s">
        <v>186</v>
      </c>
      <c r="G3857" t="s">
        <v>187</v>
      </c>
      <c r="H3857" t="s">
        <v>188</v>
      </c>
    </row>
    <row r="3858" spans="1:8">
      <c r="A3858" s="25" t="s">
        <v>189</v>
      </c>
      <c r="B3858" t="s">
        <v>201</v>
      </c>
      <c r="C3858">
        <v>1.2192718602919239</v>
      </c>
      <c r="D3858">
        <v>1</v>
      </c>
      <c r="E3858">
        <v>0</v>
      </c>
      <c r="F3858">
        <v>19</v>
      </c>
      <c r="G3858">
        <v>680</v>
      </c>
      <c r="H3858">
        <v>9426</v>
      </c>
    </row>
    <row r="3859" spans="1:8">
      <c r="A3859" s="25" t="s">
        <v>189</v>
      </c>
      <c r="B3859" t="s">
        <v>202</v>
      </c>
      <c r="C3859">
        <v>0.90079455685446608</v>
      </c>
      <c r="D3859">
        <v>0</v>
      </c>
      <c r="E3859">
        <v>0</v>
      </c>
      <c r="F3859">
        <v>12</v>
      </c>
      <c r="G3859">
        <v>97</v>
      </c>
      <c r="H3859">
        <v>9426</v>
      </c>
    </row>
    <row r="3860" spans="1:8">
      <c r="A3860" s="25" t="s">
        <v>189</v>
      </c>
      <c r="B3860" t="s">
        <v>203</v>
      </c>
      <c r="C3860">
        <v>0.70075914232479219</v>
      </c>
      <c r="D3860">
        <v>0</v>
      </c>
      <c r="E3860">
        <v>0</v>
      </c>
      <c r="F3860">
        <v>19</v>
      </c>
      <c r="G3860">
        <v>7332</v>
      </c>
      <c r="H3860">
        <v>9426</v>
      </c>
    </row>
    <row r="3861" spans="1:8">
      <c r="A3861" s="25" t="s">
        <v>189</v>
      </c>
      <c r="B3861" t="s">
        <v>204</v>
      </c>
      <c r="C3861">
        <v>0.38933519337235378</v>
      </c>
      <c r="D3861">
        <v>0</v>
      </c>
      <c r="E3861">
        <v>0</v>
      </c>
      <c r="F3861">
        <v>4</v>
      </c>
      <c r="G3861">
        <v>25</v>
      </c>
      <c r="H3861">
        <v>9426</v>
      </c>
    </row>
    <row r="3862" spans="1:8">
      <c r="A3862" s="25" t="s">
        <v>189</v>
      </c>
      <c r="B3862" t="s">
        <v>205</v>
      </c>
      <c r="C3862">
        <v>1.270601478518302</v>
      </c>
      <c r="D3862">
        <v>0</v>
      </c>
      <c r="E3862">
        <v>0</v>
      </c>
      <c r="F3862">
        <v>18</v>
      </c>
      <c r="G3862">
        <v>1292</v>
      </c>
      <c r="H3862">
        <v>9426</v>
      </c>
    </row>
    <row r="3863" spans="1:8">
      <c r="A3863" s="25" t="s">
        <v>192</v>
      </c>
      <c r="B3863" t="s">
        <v>192</v>
      </c>
      <c r="C3863">
        <v>0.81544482733804657</v>
      </c>
      <c r="D3863">
        <v>0</v>
      </c>
      <c r="E3863">
        <v>0</v>
      </c>
      <c r="F3863">
        <v>19</v>
      </c>
      <c r="G3863">
        <v>9426</v>
      </c>
      <c r="H3863">
        <v>9426</v>
      </c>
    </row>
    <row r="3865" spans="1:8" ht="57.95">
      <c r="A3865" s="25" t="s">
        <v>1207</v>
      </c>
    </row>
    <row r="3866" spans="1:8">
      <c r="A3866" s="25" t="s">
        <v>181</v>
      </c>
      <c r="B3866" t="s">
        <v>182</v>
      </c>
      <c r="C3866" t="s">
        <v>183</v>
      </c>
      <c r="D3866" t="s">
        <v>184</v>
      </c>
      <c r="E3866" t="s">
        <v>185</v>
      </c>
      <c r="F3866" t="s">
        <v>186</v>
      </c>
      <c r="G3866" t="s">
        <v>187</v>
      </c>
      <c r="H3866" t="s">
        <v>188</v>
      </c>
    </row>
    <row r="3867" spans="1:8">
      <c r="A3867" s="25" t="s">
        <v>189</v>
      </c>
      <c r="B3867" t="s">
        <v>207</v>
      </c>
      <c r="C3867">
        <v>0.84205713433924878</v>
      </c>
      <c r="D3867">
        <v>0</v>
      </c>
      <c r="E3867">
        <v>0</v>
      </c>
      <c r="F3867">
        <v>19</v>
      </c>
      <c r="G3867">
        <v>6503</v>
      </c>
      <c r="H3867">
        <v>9426</v>
      </c>
    </row>
    <row r="3868" spans="1:8">
      <c r="A3868" s="25" t="s">
        <v>189</v>
      </c>
      <c r="B3868" t="s">
        <v>208</v>
      </c>
      <c r="C3868">
        <v>0.56604669318050838</v>
      </c>
      <c r="D3868">
        <v>0</v>
      </c>
      <c r="E3868">
        <v>0</v>
      </c>
      <c r="F3868">
        <v>19</v>
      </c>
      <c r="G3868">
        <v>2085</v>
      </c>
      <c r="H3868">
        <v>9426</v>
      </c>
    </row>
    <row r="3869" spans="1:8">
      <c r="A3869" s="25" t="s">
        <v>189</v>
      </c>
      <c r="B3869" t="s">
        <v>209</v>
      </c>
      <c r="C3869">
        <v>1.308294218929746</v>
      </c>
      <c r="D3869">
        <v>0</v>
      </c>
      <c r="E3869">
        <v>0</v>
      </c>
      <c r="F3869">
        <v>18</v>
      </c>
      <c r="G3869">
        <v>838</v>
      </c>
      <c r="H3869">
        <v>9426</v>
      </c>
    </row>
    <row r="3870" spans="1:8">
      <c r="A3870" s="25" t="s">
        <v>192</v>
      </c>
      <c r="B3870" t="s">
        <v>192</v>
      </c>
      <c r="C3870">
        <v>0.81544482733804657</v>
      </c>
      <c r="D3870">
        <v>0</v>
      </c>
      <c r="E3870">
        <v>0</v>
      </c>
      <c r="F3870">
        <v>19</v>
      </c>
      <c r="G3870">
        <v>9426</v>
      </c>
      <c r="H3870">
        <v>9426</v>
      </c>
    </row>
    <row r="3872" spans="1:8" ht="57.95">
      <c r="A3872" s="25" t="s">
        <v>1208</v>
      </c>
    </row>
    <row r="3873" spans="1:9">
      <c r="A3873" s="25" t="s">
        <v>181</v>
      </c>
      <c r="B3873" t="s">
        <v>182</v>
      </c>
      <c r="C3873" t="s">
        <v>183</v>
      </c>
      <c r="D3873" t="s">
        <v>184</v>
      </c>
      <c r="E3873" t="s">
        <v>185</v>
      </c>
      <c r="F3873" t="s">
        <v>186</v>
      </c>
      <c r="G3873" t="s">
        <v>187</v>
      </c>
      <c r="H3873" t="s">
        <v>188</v>
      </c>
    </row>
    <row r="3874" spans="1:9">
      <c r="A3874" s="25" t="s">
        <v>189</v>
      </c>
      <c r="B3874" t="s">
        <v>211</v>
      </c>
      <c r="C3874">
        <v>0.95279785669081196</v>
      </c>
      <c r="D3874">
        <v>0</v>
      </c>
      <c r="E3874">
        <v>0</v>
      </c>
      <c r="F3874">
        <v>18</v>
      </c>
      <c r="G3874">
        <v>4489</v>
      </c>
      <c r="H3874">
        <v>9426</v>
      </c>
    </row>
    <row r="3875" spans="1:9">
      <c r="A3875" s="25" t="s">
        <v>189</v>
      </c>
      <c r="B3875" t="s">
        <v>212</v>
      </c>
      <c r="C3875">
        <v>0.66594101969722064</v>
      </c>
      <c r="D3875">
        <v>0</v>
      </c>
      <c r="E3875">
        <v>0</v>
      </c>
      <c r="F3875">
        <v>19</v>
      </c>
      <c r="G3875">
        <v>3059</v>
      </c>
      <c r="H3875">
        <v>9426</v>
      </c>
    </row>
    <row r="3876" spans="1:9">
      <c r="A3876" s="25" t="s">
        <v>189</v>
      </c>
      <c r="B3876" t="s">
        <v>213</v>
      </c>
      <c r="C3876">
        <v>0.7344401978040126</v>
      </c>
      <c r="D3876">
        <v>0</v>
      </c>
      <c r="E3876">
        <v>0</v>
      </c>
      <c r="F3876">
        <v>19</v>
      </c>
      <c r="G3876">
        <v>1878</v>
      </c>
      <c r="H3876">
        <v>9426</v>
      </c>
    </row>
    <row r="3877" spans="1:9">
      <c r="A3877" s="25" t="s">
        <v>192</v>
      </c>
      <c r="B3877" t="s">
        <v>192</v>
      </c>
      <c r="C3877">
        <v>0.81544482733804657</v>
      </c>
      <c r="D3877">
        <v>0</v>
      </c>
      <c r="E3877">
        <v>0</v>
      </c>
      <c r="F3877">
        <v>19</v>
      </c>
      <c r="G3877">
        <v>9426</v>
      </c>
      <c r="H3877">
        <v>9426</v>
      </c>
    </row>
    <row r="3879" spans="1:9" ht="43.5">
      <c r="A3879" s="25" t="s">
        <v>1209</v>
      </c>
    </row>
    <row r="3880" spans="1:9">
      <c r="A3880" s="25" t="s">
        <v>182</v>
      </c>
      <c r="B3880" t="s">
        <v>219</v>
      </c>
      <c r="C3880" t="s">
        <v>181</v>
      </c>
      <c r="D3880" t="s">
        <v>188</v>
      </c>
      <c r="E3880" t="s">
        <v>241</v>
      </c>
      <c r="F3880" t="s">
        <v>220</v>
      </c>
      <c r="G3880" t="s">
        <v>1210</v>
      </c>
      <c r="H3880" t="s">
        <v>1211</v>
      </c>
      <c r="I3880" t="s">
        <v>1212</v>
      </c>
    </row>
    <row r="3881" spans="1:9">
      <c r="A3881" s="25" t="s">
        <v>190</v>
      </c>
      <c r="B3881">
        <v>4903</v>
      </c>
      <c r="C3881" t="s">
        <v>189</v>
      </c>
      <c r="D3881">
        <v>10434</v>
      </c>
      <c r="E3881" s="1">
        <v>0.14710000000000001</v>
      </c>
      <c r="F3881" s="1">
        <v>0.78739999999999999</v>
      </c>
      <c r="G3881" s="1">
        <v>1E-4</v>
      </c>
      <c r="H3881" s="1">
        <v>4.7500000000000001E-2</v>
      </c>
      <c r="I3881" s="1">
        <v>1.7899999999999999E-2</v>
      </c>
    </row>
    <row r="3882" spans="1:9">
      <c r="A3882" s="25" t="s">
        <v>191</v>
      </c>
      <c r="B3882">
        <v>5474</v>
      </c>
      <c r="C3882" t="s">
        <v>189</v>
      </c>
      <c r="D3882">
        <v>10434</v>
      </c>
      <c r="E3882" s="1">
        <v>0.21870000000000001</v>
      </c>
      <c r="F3882" s="1">
        <v>0.67079999999999995</v>
      </c>
      <c r="G3882" s="1">
        <v>1.4E-3</v>
      </c>
      <c r="H3882" s="1">
        <v>9.5200000000000007E-2</v>
      </c>
      <c r="I3882" s="1">
        <v>1.3899999999999999E-2</v>
      </c>
    </row>
    <row r="3883" spans="1:9">
      <c r="A3883" s="25" t="s">
        <v>192</v>
      </c>
      <c r="B3883">
        <v>10434</v>
      </c>
      <c r="C3883" t="s">
        <v>192</v>
      </c>
      <c r="D3883">
        <v>10434</v>
      </c>
      <c r="E3883" s="1">
        <v>0.1915</v>
      </c>
      <c r="F3883" s="1">
        <v>0.71489999999999998</v>
      </c>
      <c r="G3883" s="1">
        <v>8.9999999999999998E-4</v>
      </c>
      <c r="H3883" s="1">
        <v>7.7100000000000002E-2</v>
      </c>
      <c r="I3883" s="1">
        <v>1.55E-2</v>
      </c>
    </row>
    <row r="3885" spans="1:9" ht="57.95">
      <c r="A3885" s="25" t="s">
        <v>1213</v>
      </c>
    </row>
    <row r="3886" spans="1:9">
      <c r="A3886" s="25" t="s">
        <v>182</v>
      </c>
      <c r="B3886" t="s">
        <v>219</v>
      </c>
      <c r="C3886" t="s">
        <v>181</v>
      </c>
      <c r="D3886" t="s">
        <v>188</v>
      </c>
      <c r="E3886" t="s">
        <v>241</v>
      </c>
      <c r="F3886" t="s">
        <v>220</v>
      </c>
      <c r="G3886" t="s">
        <v>1210</v>
      </c>
      <c r="H3886" t="s">
        <v>1211</v>
      </c>
      <c r="I3886" t="s">
        <v>1212</v>
      </c>
    </row>
    <row r="3887" spans="1:9" ht="29.1">
      <c r="A3887" s="25" t="s">
        <v>194</v>
      </c>
      <c r="B3887">
        <v>5954</v>
      </c>
      <c r="C3887" t="s">
        <v>189</v>
      </c>
      <c r="D3887">
        <v>10434</v>
      </c>
      <c r="E3887" s="1">
        <v>0.17480000000000001</v>
      </c>
      <c r="F3887" s="1">
        <v>0.76890000000000003</v>
      </c>
      <c r="G3887" s="1">
        <v>2.0000000000000001E-4</v>
      </c>
      <c r="H3887" s="1">
        <v>4.8599999999999997E-2</v>
      </c>
      <c r="I3887" s="1">
        <v>7.4999999999999997E-3</v>
      </c>
    </row>
    <row r="3888" spans="1:9" ht="29.1">
      <c r="A3888" s="25" t="s">
        <v>195</v>
      </c>
      <c r="B3888">
        <v>2703</v>
      </c>
      <c r="C3888" t="s">
        <v>189</v>
      </c>
      <c r="D3888">
        <v>10434</v>
      </c>
      <c r="E3888" s="1">
        <v>0.18229999999999999</v>
      </c>
      <c r="F3888" s="1">
        <v>0.67530000000000001</v>
      </c>
      <c r="G3888" s="1">
        <v>8.9999999999999998E-4</v>
      </c>
      <c r="H3888" s="1">
        <v>0.12189999999999999</v>
      </c>
      <c r="I3888" s="1">
        <v>1.9599999999999999E-2</v>
      </c>
    </row>
    <row r="3889" spans="1:9" ht="29.1">
      <c r="A3889" s="25" t="s">
        <v>196</v>
      </c>
      <c r="B3889">
        <v>1720</v>
      </c>
      <c r="C3889" t="s">
        <v>189</v>
      </c>
      <c r="D3889">
        <v>10434</v>
      </c>
      <c r="E3889" s="1">
        <v>0.33560000000000001</v>
      </c>
      <c r="F3889" s="1">
        <v>0.38969999999999999</v>
      </c>
      <c r="G3889" s="1">
        <v>6.3E-3</v>
      </c>
      <c r="H3889" s="1">
        <v>0.20119999999999999</v>
      </c>
      <c r="I3889" s="1">
        <v>6.7199999999999996E-2</v>
      </c>
    </row>
    <row r="3890" spans="1:9">
      <c r="A3890" s="25" t="s">
        <v>192</v>
      </c>
      <c r="B3890">
        <v>10434</v>
      </c>
      <c r="C3890" t="s">
        <v>192</v>
      </c>
      <c r="D3890">
        <v>10434</v>
      </c>
      <c r="E3890" s="1">
        <v>0.1915</v>
      </c>
      <c r="F3890" s="1">
        <v>0.71489999999999998</v>
      </c>
      <c r="G3890" s="1">
        <v>8.9999999999999998E-4</v>
      </c>
      <c r="H3890" s="1">
        <v>7.7100000000000002E-2</v>
      </c>
      <c r="I3890" s="1">
        <v>1.55E-2</v>
      </c>
    </row>
    <row r="3892" spans="1:9" ht="43.5">
      <c r="A3892" s="25" t="s">
        <v>1214</v>
      </c>
    </row>
    <row r="3893" spans="1:9">
      <c r="A3893" s="25" t="s">
        <v>182</v>
      </c>
      <c r="B3893" t="s">
        <v>219</v>
      </c>
      <c r="C3893" t="s">
        <v>181</v>
      </c>
      <c r="D3893" t="s">
        <v>188</v>
      </c>
      <c r="E3893" t="s">
        <v>241</v>
      </c>
      <c r="F3893" t="s">
        <v>220</v>
      </c>
      <c r="G3893" t="s">
        <v>1210</v>
      </c>
      <c r="H3893" t="s">
        <v>1211</v>
      </c>
      <c r="I3893" t="s">
        <v>1212</v>
      </c>
    </row>
    <row r="3894" spans="1:9">
      <c r="A3894" s="25" t="s">
        <v>198</v>
      </c>
      <c r="B3894">
        <v>2264</v>
      </c>
      <c r="C3894" t="s">
        <v>189</v>
      </c>
      <c r="D3894">
        <v>10434</v>
      </c>
      <c r="E3894" s="1">
        <v>0.21310000000000001</v>
      </c>
      <c r="F3894" s="1">
        <v>0.67059999999999997</v>
      </c>
      <c r="G3894" s="1">
        <v>2.0000000000000001E-4</v>
      </c>
      <c r="H3894" s="1">
        <v>8.8599999999999998E-2</v>
      </c>
      <c r="I3894" s="1">
        <v>2.7400000000000001E-2</v>
      </c>
    </row>
    <row r="3895" spans="1:9">
      <c r="A3895" s="25" t="s">
        <v>199</v>
      </c>
      <c r="B3895">
        <v>8170</v>
      </c>
      <c r="C3895" t="s">
        <v>189</v>
      </c>
      <c r="D3895">
        <v>10434</v>
      </c>
      <c r="E3895" s="1">
        <v>0.1867</v>
      </c>
      <c r="F3895" s="1">
        <v>0.7248</v>
      </c>
      <c r="G3895" s="1">
        <v>1.1000000000000001E-3</v>
      </c>
      <c r="H3895" s="1">
        <v>7.46E-2</v>
      </c>
      <c r="I3895" s="1">
        <v>1.2800000000000001E-2</v>
      </c>
    </row>
    <row r="3896" spans="1:9">
      <c r="A3896" s="25" t="s">
        <v>192</v>
      </c>
      <c r="B3896">
        <v>10434</v>
      </c>
      <c r="C3896" t="s">
        <v>192</v>
      </c>
      <c r="D3896">
        <v>10434</v>
      </c>
      <c r="E3896" s="1">
        <v>0.1915</v>
      </c>
      <c r="F3896" s="1">
        <v>0.71489999999999998</v>
      </c>
      <c r="G3896" s="1">
        <v>8.9999999999999998E-4</v>
      </c>
      <c r="H3896" s="1">
        <v>7.7100000000000002E-2</v>
      </c>
      <c r="I3896" s="1">
        <v>1.55E-2</v>
      </c>
    </row>
    <row r="3898" spans="1:9" ht="43.5">
      <c r="A3898" s="25" t="s">
        <v>1215</v>
      </c>
    </row>
    <row r="3899" spans="1:9">
      <c r="A3899" s="25" t="s">
        <v>182</v>
      </c>
      <c r="B3899" t="s">
        <v>219</v>
      </c>
      <c r="C3899" t="s">
        <v>181</v>
      </c>
      <c r="D3899" t="s">
        <v>188</v>
      </c>
      <c r="E3899" t="s">
        <v>241</v>
      </c>
      <c r="F3899" t="s">
        <v>220</v>
      </c>
      <c r="G3899" t="s">
        <v>1210</v>
      </c>
      <c r="H3899" t="s">
        <v>1211</v>
      </c>
      <c r="I3899" t="s">
        <v>1212</v>
      </c>
    </row>
    <row r="3900" spans="1:9">
      <c r="A3900" s="25" t="s">
        <v>201</v>
      </c>
      <c r="B3900">
        <v>767</v>
      </c>
      <c r="C3900" t="s">
        <v>189</v>
      </c>
      <c r="D3900">
        <v>10434</v>
      </c>
      <c r="E3900" s="1">
        <v>0.29970000000000002</v>
      </c>
      <c r="F3900" s="1">
        <v>0.55510000000000004</v>
      </c>
      <c r="G3900" s="1">
        <v>2.9999999999999997E-4</v>
      </c>
      <c r="H3900" s="1">
        <v>0.12620000000000001</v>
      </c>
      <c r="I3900" s="1">
        <v>1.8700000000000001E-2</v>
      </c>
    </row>
    <row r="3901" spans="1:9">
      <c r="A3901" s="25" t="s">
        <v>202</v>
      </c>
      <c r="B3901">
        <v>110</v>
      </c>
      <c r="C3901" t="s">
        <v>189</v>
      </c>
      <c r="D3901">
        <v>10434</v>
      </c>
      <c r="E3901" s="1">
        <v>0.31130000000000002</v>
      </c>
      <c r="F3901" s="1">
        <v>0.41499999999999998</v>
      </c>
      <c r="H3901" s="1">
        <v>0.20269999999999999</v>
      </c>
      <c r="I3901" s="1">
        <v>7.0999999999999994E-2</v>
      </c>
    </row>
    <row r="3902" spans="1:9">
      <c r="A3902" s="25" t="s">
        <v>203</v>
      </c>
      <c r="B3902">
        <v>8042</v>
      </c>
      <c r="C3902" t="s">
        <v>189</v>
      </c>
      <c r="D3902">
        <v>10434</v>
      </c>
      <c r="E3902" s="1">
        <v>0.17169999999999999</v>
      </c>
      <c r="F3902" s="1">
        <v>0.76380000000000003</v>
      </c>
      <c r="G3902" s="1">
        <v>1.1000000000000001E-3</v>
      </c>
      <c r="H3902" s="1">
        <v>5.2499999999999998E-2</v>
      </c>
      <c r="I3902" s="1">
        <v>1.09E-2</v>
      </c>
    </row>
    <row r="3903" spans="1:9">
      <c r="A3903" s="25" t="s">
        <v>204</v>
      </c>
      <c r="B3903">
        <v>31</v>
      </c>
      <c r="C3903" t="s">
        <v>189</v>
      </c>
      <c r="D3903">
        <v>10434</v>
      </c>
      <c r="E3903" s="1">
        <v>7.6399999999999996E-2</v>
      </c>
      <c r="F3903" s="1">
        <v>0.78169999999999995</v>
      </c>
      <c r="H3903" s="1">
        <v>0.11840000000000001</v>
      </c>
      <c r="I3903" s="1">
        <v>2.35E-2</v>
      </c>
    </row>
    <row r="3904" spans="1:9">
      <c r="A3904" s="25" t="s">
        <v>205</v>
      </c>
      <c r="B3904">
        <v>1484</v>
      </c>
      <c r="C3904" t="s">
        <v>189</v>
      </c>
      <c r="D3904">
        <v>10434</v>
      </c>
      <c r="E3904" s="1">
        <v>0.2465</v>
      </c>
      <c r="F3904" s="1">
        <v>0.52839999999999998</v>
      </c>
      <c r="G3904" s="1">
        <v>2.9999999999999997E-4</v>
      </c>
      <c r="H3904" s="1">
        <v>0.18690000000000001</v>
      </c>
      <c r="I3904" s="1">
        <v>3.7900000000000003E-2</v>
      </c>
    </row>
    <row r="3905" spans="1:9">
      <c r="A3905" s="25" t="s">
        <v>192</v>
      </c>
      <c r="B3905">
        <v>10434</v>
      </c>
      <c r="C3905" t="s">
        <v>192</v>
      </c>
      <c r="D3905">
        <v>10434</v>
      </c>
      <c r="E3905" s="1">
        <v>0.1915</v>
      </c>
      <c r="F3905" s="1">
        <v>0.71489999999999998</v>
      </c>
      <c r="G3905" s="1">
        <v>8.9999999999999998E-4</v>
      </c>
      <c r="H3905" s="1">
        <v>7.7100000000000002E-2</v>
      </c>
      <c r="I3905" s="1">
        <v>1.55E-2</v>
      </c>
    </row>
    <row r="3907" spans="1:9" ht="43.5">
      <c r="A3907" s="25" t="s">
        <v>1216</v>
      </c>
    </row>
    <row r="3908" spans="1:9">
      <c r="A3908" s="25" t="s">
        <v>182</v>
      </c>
      <c r="B3908" t="s">
        <v>219</v>
      </c>
      <c r="C3908" t="s">
        <v>181</v>
      </c>
      <c r="D3908" t="s">
        <v>188</v>
      </c>
      <c r="E3908" t="s">
        <v>241</v>
      </c>
      <c r="F3908" t="s">
        <v>220</v>
      </c>
      <c r="G3908" t="s">
        <v>1210</v>
      </c>
      <c r="H3908" t="s">
        <v>1211</v>
      </c>
      <c r="I3908" t="s">
        <v>1212</v>
      </c>
    </row>
    <row r="3909" spans="1:9">
      <c r="A3909" s="25" t="s">
        <v>207</v>
      </c>
      <c r="B3909">
        <v>7254</v>
      </c>
      <c r="C3909" t="s">
        <v>189</v>
      </c>
      <c r="D3909">
        <v>10434</v>
      </c>
      <c r="E3909" s="1">
        <v>0.1933</v>
      </c>
      <c r="F3909" s="1">
        <v>0.71499999999999997</v>
      </c>
      <c r="G3909" s="1">
        <v>5.0000000000000001E-4</v>
      </c>
      <c r="H3909" s="1">
        <v>7.5899999999999995E-2</v>
      </c>
      <c r="I3909" s="1">
        <v>1.5299999999999999E-2</v>
      </c>
    </row>
    <row r="3910" spans="1:9">
      <c r="A3910" s="25" t="s">
        <v>208</v>
      </c>
      <c r="B3910">
        <v>2245</v>
      </c>
      <c r="C3910" t="s">
        <v>189</v>
      </c>
      <c r="D3910">
        <v>10434</v>
      </c>
      <c r="E3910" s="1">
        <v>0.20580000000000001</v>
      </c>
      <c r="F3910" s="1">
        <v>0.6915</v>
      </c>
      <c r="G3910" s="1">
        <v>2.5999999999999999E-3</v>
      </c>
      <c r="H3910" s="1">
        <v>8.8900000000000007E-2</v>
      </c>
      <c r="I3910" s="1">
        <v>1.12E-2</v>
      </c>
    </row>
    <row r="3911" spans="1:9">
      <c r="A3911" s="25" t="s">
        <v>209</v>
      </c>
      <c r="B3911">
        <v>935</v>
      </c>
      <c r="C3911" t="s">
        <v>189</v>
      </c>
      <c r="D3911">
        <v>10434</v>
      </c>
      <c r="E3911" s="1">
        <v>0.1346</v>
      </c>
      <c r="F3911" s="1">
        <v>0.78120000000000001</v>
      </c>
      <c r="H3911" s="1">
        <v>5.4100000000000002E-2</v>
      </c>
      <c r="I3911" s="1">
        <v>3.0099999999999998E-2</v>
      </c>
    </row>
    <row r="3912" spans="1:9">
      <c r="A3912" s="25" t="s">
        <v>192</v>
      </c>
      <c r="B3912">
        <v>10434</v>
      </c>
      <c r="C3912" t="s">
        <v>192</v>
      </c>
      <c r="D3912">
        <v>10434</v>
      </c>
      <c r="E3912" s="1">
        <v>0.1915</v>
      </c>
      <c r="F3912" s="1">
        <v>0.71489999999999998</v>
      </c>
      <c r="G3912" s="1">
        <v>8.9999999999999998E-4</v>
      </c>
      <c r="H3912" s="1">
        <v>7.7100000000000002E-2</v>
      </c>
      <c r="I3912" s="1">
        <v>1.55E-2</v>
      </c>
    </row>
    <row r="3914" spans="1:9" ht="43.5">
      <c r="A3914" s="25" t="s">
        <v>1217</v>
      </c>
    </row>
    <row r="3915" spans="1:9">
      <c r="A3915" s="25" t="s">
        <v>182</v>
      </c>
      <c r="B3915" t="s">
        <v>219</v>
      </c>
      <c r="C3915" t="s">
        <v>181</v>
      </c>
      <c r="D3915" t="s">
        <v>188</v>
      </c>
      <c r="E3915" t="s">
        <v>241</v>
      </c>
      <c r="F3915" t="s">
        <v>220</v>
      </c>
      <c r="G3915" t="s">
        <v>1210</v>
      </c>
      <c r="H3915" t="s">
        <v>1211</v>
      </c>
      <c r="I3915" t="s">
        <v>1212</v>
      </c>
    </row>
    <row r="3916" spans="1:9">
      <c r="A3916" s="25" t="s">
        <v>211</v>
      </c>
      <c r="B3916">
        <v>4972</v>
      </c>
      <c r="C3916" t="s">
        <v>189</v>
      </c>
      <c r="D3916">
        <v>10434</v>
      </c>
      <c r="E3916" s="1">
        <v>0.193</v>
      </c>
      <c r="F3916" s="1">
        <v>0.7137</v>
      </c>
      <c r="G3916" s="1">
        <v>5.9999999999999995E-4</v>
      </c>
      <c r="H3916" s="1">
        <v>7.6300000000000007E-2</v>
      </c>
      <c r="I3916" s="1">
        <v>1.6400000000000001E-2</v>
      </c>
    </row>
    <row r="3917" spans="1:9">
      <c r="A3917" s="25" t="s">
        <v>212</v>
      </c>
      <c r="B3917">
        <v>3376</v>
      </c>
      <c r="C3917" t="s">
        <v>189</v>
      </c>
      <c r="D3917">
        <v>10434</v>
      </c>
      <c r="E3917" s="1">
        <v>0.20150000000000001</v>
      </c>
      <c r="F3917" s="1">
        <v>0.71030000000000004</v>
      </c>
      <c r="G3917" s="1">
        <v>2.0000000000000001E-4</v>
      </c>
      <c r="H3917" s="1">
        <v>7.7899999999999997E-2</v>
      </c>
      <c r="I3917" s="1">
        <v>1.0200000000000001E-2</v>
      </c>
    </row>
    <row r="3918" spans="1:9">
      <c r="A3918" s="25" t="s">
        <v>213</v>
      </c>
      <c r="B3918">
        <v>2086</v>
      </c>
      <c r="C3918" t="s">
        <v>189</v>
      </c>
      <c r="D3918">
        <v>10434</v>
      </c>
      <c r="E3918" s="1">
        <v>0.17419999999999999</v>
      </c>
      <c r="F3918" s="1">
        <v>0.72419999999999995</v>
      </c>
      <c r="G3918" s="1">
        <v>2.5999999999999999E-3</v>
      </c>
      <c r="H3918" s="1">
        <v>7.7899999999999997E-2</v>
      </c>
      <c r="I3918" s="1">
        <v>2.12E-2</v>
      </c>
    </row>
    <row r="3919" spans="1:9">
      <c r="A3919" s="25" t="s">
        <v>192</v>
      </c>
      <c r="B3919">
        <v>10434</v>
      </c>
      <c r="C3919" t="s">
        <v>192</v>
      </c>
      <c r="D3919">
        <v>10434</v>
      </c>
      <c r="E3919" s="1">
        <v>0.1915</v>
      </c>
      <c r="F3919" s="1">
        <v>0.71489999999999998</v>
      </c>
      <c r="G3919" s="1">
        <v>8.9999999999999998E-4</v>
      </c>
      <c r="H3919" s="1">
        <v>7.7100000000000002E-2</v>
      </c>
      <c r="I3919" s="1">
        <v>1.55E-2</v>
      </c>
    </row>
    <row r="3921" spans="1:8" ht="43.5">
      <c r="A3921" s="25" t="s">
        <v>1218</v>
      </c>
    </row>
    <row r="3922" spans="1:8">
      <c r="A3922" s="25" t="s">
        <v>182</v>
      </c>
      <c r="B3922" t="s">
        <v>219</v>
      </c>
      <c r="C3922" t="s">
        <v>181</v>
      </c>
      <c r="D3922" t="s">
        <v>188</v>
      </c>
      <c r="E3922" t="s">
        <v>241</v>
      </c>
      <c r="F3922" t="s">
        <v>1219</v>
      </c>
      <c r="G3922" t="s">
        <v>243</v>
      </c>
      <c r="H3922" t="s">
        <v>1220</v>
      </c>
    </row>
    <row r="3923" spans="1:8">
      <c r="A3923" s="25" t="s">
        <v>190</v>
      </c>
      <c r="B3923">
        <v>615</v>
      </c>
      <c r="C3923" t="s">
        <v>189</v>
      </c>
      <c r="D3923">
        <v>1465</v>
      </c>
      <c r="E3923" s="1">
        <v>6.3600000000000004E-2</v>
      </c>
      <c r="F3923" s="1">
        <v>0.27529999999999999</v>
      </c>
      <c r="G3923" s="1">
        <v>5.4999999999999997E-3</v>
      </c>
      <c r="H3923" s="1">
        <v>0.65549999999999997</v>
      </c>
    </row>
    <row r="3924" spans="1:8">
      <c r="A3924" s="25" t="s">
        <v>191</v>
      </c>
      <c r="B3924">
        <v>828</v>
      </c>
      <c r="C3924" t="s">
        <v>189</v>
      </c>
      <c r="D3924">
        <v>1465</v>
      </c>
      <c r="E3924" s="1">
        <v>7.4899999999999994E-2</v>
      </c>
      <c r="F3924" s="1">
        <v>0.16650000000000001</v>
      </c>
      <c r="G3924" s="1">
        <v>8.9999999999999998E-4</v>
      </c>
      <c r="H3924" s="1">
        <v>0.75760000000000005</v>
      </c>
    </row>
    <row r="3925" spans="1:8">
      <c r="A3925" s="25" t="s">
        <v>192</v>
      </c>
      <c r="B3925">
        <v>1465</v>
      </c>
      <c r="C3925" t="s">
        <v>192</v>
      </c>
      <c r="D3925">
        <v>1465</v>
      </c>
      <c r="E3925" s="1">
        <v>7.1599999999999997E-2</v>
      </c>
      <c r="F3925" s="1">
        <v>0.19539999999999999</v>
      </c>
      <c r="G3925" s="1">
        <v>2.2000000000000001E-3</v>
      </c>
      <c r="H3925" s="1">
        <v>0.73080000000000001</v>
      </c>
    </row>
    <row r="3927" spans="1:8" ht="57.95">
      <c r="A3927" s="25" t="s">
        <v>1221</v>
      </c>
    </row>
    <row r="3928" spans="1:8">
      <c r="A3928" s="25" t="s">
        <v>182</v>
      </c>
      <c r="B3928" t="s">
        <v>219</v>
      </c>
      <c r="C3928" t="s">
        <v>181</v>
      </c>
      <c r="D3928" t="s">
        <v>188</v>
      </c>
      <c r="E3928" t="s">
        <v>241</v>
      </c>
      <c r="F3928" t="s">
        <v>1219</v>
      </c>
      <c r="G3928" t="s">
        <v>243</v>
      </c>
      <c r="H3928" t="s">
        <v>1220</v>
      </c>
    </row>
    <row r="3929" spans="1:8" ht="29.1">
      <c r="A3929" s="25" t="s">
        <v>194</v>
      </c>
      <c r="B3929">
        <v>280</v>
      </c>
      <c r="C3929" t="s">
        <v>189</v>
      </c>
      <c r="D3929">
        <v>1465</v>
      </c>
      <c r="E3929" s="1">
        <v>6.9199999999999998E-2</v>
      </c>
      <c r="F3929" s="1">
        <v>0.28199999999999997</v>
      </c>
      <c r="G3929" s="1">
        <v>4.4999999999999997E-3</v>
      </c>
      <c r="H3929" s="1">
        <v>0.64419999999999999</v>
      </c>
    </row>
    <row r="3930" spans="1:8" ht="29.1">
      <c r="A3930" s="25" t="s">
        <v>195</v>
      </c>
      <c r="B3930">
        <v>484</v>
      </c>
      <c r="C3930" t="s">
        <v>189</v>
      </c>
      <c r="D3930">
        <v>1465</v>
      </c>
      <c r="E3930" s="1">
        <v>6.6100000000000006E-2</v>
      </c>
      <c r="F3930" s="1">
        <v>0.16200000000000001</v>
      </c>
      <c r="G3930" s="1">
        <v>6.9999999999999999E-4</v>
      </c>
      <c r="H3930" s="1">
        <v>0.7712</v>
      </c>
    </row>
    <row r="3931" spans="1:8" ht="29.1">
      <c r="A3931" s="25" t="s">
        <v>196</v>
      </c>
      <c r="B3931">
        <v>679</v>
      </c>
      <c r="C3931" t="s">
        <v>189</v>
      </c>
      <c r="D3931">
        <v>1465</v>
      </c>
      <c r="E3931" s="1">
        <v>8.2299999999999998E-2</v>
      </c>
      <c r="F3931" s="1">
        <v>9.5699999999999993E-2</v>
      </c>
      <c r="H3931" s="1">
        <v>0.82189999999999996</v>
      </c>
    </row>
    <row r="3932" spans="1:8">
      <c r="A3932" s="25" t="s">
        <v>192</v>
      </c>
      <c r="B3932">
        <v>1465</v>
      </c>
      <c r="C3932" t="s">
        <v>192</v>
      </c>
      <c r="D3932">
        <v>1465</v>
      </c>
      <c r="E3932" s="1">
        <v>7.1599999999999997E-2</v>
      </c>
      <c r="F3932" s="1">
        <v>0.19539999999999999</v>
      </c>
      <c r="G3932" s="1">
        <v>2.2000000000000001E-3</v>
      </c>
      <c r="H3932" s="1">
        <v>0.73080000000000001</v>
      </c>
    </row>
    <row r="3934" spans="1:8" ht="57.95">
      <c r="A3934" s="25" t="s">
        <v>1222</v>
      </c>
    </row>
    <row r="3935" spans="1:8">
      <c r="A3935" s="25" t="s">
        <v>182</v>
      </c>
      <c r="B3935" t="s">
        <v>219</v>
      </c>
      <c r="C3935" t="s">
        <v>181</v>
      </c>
      <c r="D3935" t="s">
        <v>188</v>
      </c>
      <c r="E3935" t="s">
        <v>241</v>
      </c>
      <c r="F3935" t="s">
        <v>1219</v>
      </c>
      <c r="G3935" t="s">
        <v>243</v>
      </c>
      <c r="H3935" t="s">
        <v>1220</v>
      </c>
    </row>
    <row r="3936" spans="1:8">
      <c r="A3936" s="25" t="s">
        <v>198</v>
      </c>
      <c r="B3936">
        <v>417</v>
      </c>
      <c r="C3936" t="s">
        <v>189</v>
      </c>
      <c r="D3936">
        <v>1465</v>
      </c>
      <c r="E3936" s="1">
        <v>5.9200000000000003E-2</v>
      </c>
      <c r="F3936" s="1">
        <v>0.13650000000000001</v>
      </c>
      <c r="H3936" s="1">
        <v>0.80430000000000001</v>
      </c>
    </row>
    <row r="3937" spans="1:8">
      <c r="A3937" s="25" t="s">
        <v>199</v>
      </c>
      <c r="B3937">
        <v>1048</v>
      </c>
      <c r="C3937" t="s">
        <v>189</v>
      </c>
      <c r="D3937">
        <v>1465</v>
      </c>
      <c r="E3937" s="1">
        <v>7.5300000000000006E-2</v>
      </c>
      <c r="F3937" s="1">
        <v>0.21290000000000001</v>
      </c>
      <c r="G3937" s="1">
        <v>2.8E-3</v>
      </c>
      <c r="H3937" s="1">
        <v>0.70889999999999997</v>
      </c>
    </row>
    <row r="3938" spans="1:8">
      <c r="A3938" s="25" t="s">
        <v>192</v>
      </c>
      <c r="B3938">
        <v>1465</v>
      </c>
      <c r="C3938" t="s">
        <v>192</v>
      </c>
      <c r="D3938">
        <v>1465</v>
      </c>
      <c r="E3938" s="1">
        <v>7.1599999999999997E-2</v>
      </c>
      <c r="F3938" s="1">
        <v>0.19539999999999999</v>
      </c>
      <c r="G3938" s="1">
        <v>2.2000000000000001E-3</v>
      </c>
      <c r="H3938" s="1">
        <v>0.73080000000000001</v>
      </c>
    </row>
    <row r="3940" spans="1:8" ht="57.95">
      <c r="A3940" s="25" t="s">
        <v>1223</v>
      </c>
    </row>
    <row r="3941" spans="1:8">
      <c r="A3941" s="25" t="s">
        <v>182</v>
      </c>
      <c r="B3941" t="s">
        <v>219</v>
      </c>
      <c r="C3941" t="s">
        <v>181</v>
      </c>
      <c r="D3941" t="s">
        <v>188</v>
      </c>
      <c r="E3941" t="s">
        <v>241</v>
      </c>
      <c r="F3941" t="s">
        <v>1219</v>
      </c>
      <c r="G3941" t="s">
        <v>243</v>
      </c>
      <c r="H3941" t="s">
        <v>1220</v>
      </c>
    </row>
    <row r="3942" spans="1:8">
      <c r="A3942" s="25" t="s">
        <v>201</v>
      </c>
      <c r="B3942">
        <v>153</v>
      </c>
      <c r="C3942" t="s">
        <v>189</v>
      </c>
      <c r="D3942">
        <v>1465</v>
      </c>
      <c r="E3942" s="1">
        <v>4.9099999999999998E-2</v>
      </c>
      <c r="F3942" s="1">
        <v>6.1400000000000003E-2</v>
      </c>
      <c r="H3942" s="1">
        <v>0.88959999999999995</v>
      </c>
    </row>
    <row r="3943" spans="1:8">
      <c r="A3943" s="25" t="s">
        <v>202</v>
      </c>
      <c r="B3943">
        <v>46</v>
      </c>
      <c r="C3943" t="s">
        <v>189</v>
      </c>
      <c r="D3943">
        <v>1465</v>
      </c>
      <c r="F3943" s="1">
        <v>0.18770000000000001</v>
      </c>
      <c r="H3943" s="1">
        <v>0.81230000000000002</v>
      </c>
    </row>
    <row r="3944" spans="1:8">
      <c r="A3944" s="25" t="s">
        <v>203</v>
      </c>
      <c r="B3944">
        <v>769</v>
      </c>
      <c r="C3944" t="s">
        <v>189</v>
      </c>
      <c r="D3944">
        <v>1465</v>
      </c>
      <c r="E3944" s="1">
        <v>8.7099999999999997E-2</v>
      </c>
      <c r="F3944" s="1">
        <v>0.28070000000000001</v>
      </c>
      <c r="G3944" s="1">
        <v>4.0000000000000001E-3</v>
      </c>
      <c r="H3944" s="1">
        <v>0.62819999999999998</v>
      </c>
    </row>
    <row r="3945" spans="1:8">
      <c r="A3945" s="25" t="s">
        <v>204</v>
      </c>
      <c r="B3945">
        <v>11</v>
      </c>
      <c r="C3945" t="s">
        <v>189</v>
      </c>
      <c r="D3945">
        <v>1465</v>
      </c>
      <c r="E3945" s="1">
        <v>7.6300000000000007E-2</v>
      </c>
      <c r="F3945" s="1">
        <v>0.44009999999999999</v>
      </c>
      <c r="H3945" s="1">
        <v>0.48370000000000002</v>
      </c>
    </row>
    <row r="3946" spans="1:8">
      <c r="A3946" s="25" t="s">
        <v>205</v>
      </c>
      <c r="B3946">
        <v>486</v>
      </c>
      <c r="C3946" t="s">
        <v>189</v>
      </c>
      <c r="D3946">
        <v>1465</v>
      </c>
      <c r="E3946" s="1">
        <v>5.7700000000000001E-2</v>
      </c>
      <c r="F3946" s="1">
        <v>0.1</v>
      </c>
      <c r="H3946" s="1">
        <v>0.84230000000000005</v>
      </c>
    </row>
    <row r="3947" spans="1:8">
      <c r="A3947" s="25" t="s">
        <v>192</v>
      </c>
      <c r="B3947">
        <v>1465</v>
      </c>
      <c r="C3947" t="s">
        <v>192</v>
      </c>
      <c r="D3947">
        <v>1465</v>
      </c>
      <c r="E3947" s="1">
        <v>7.1599999999999997E-2</v>
      </c>
      <c r="F3947" s="1">
        <v>0.19539999999999999</v>
      </c>
      <c r="G3947" s="1">
        <v>2.2000000000000001E-3</v>
      </c>
      <c r="H3947" s="1">
        <v>0.73080000000000001</v>
      </c>
    </row>
    <row r="3949" spans="1:8" ht="57.95">
      <c r="A3949" s="25" t="s">
        <v>1224</v>
      </c>
    </row>
    <row r="3950" spans="1:8">
      <c r="A3950" s="25" t="s">
        <v>182</v>
      </c>
      <c r="B3950" t="s">
        <v>219</v>
      </c>
      <c r="C3950" t="s">
        <v>181</v>
      </c>
      <c r="D3950" t="s">
        <v>188</v>
      </c>
      <c r="E3950" t="s">
        <v>241</v>
      </c>
      <c r="F3950" t="s">
        <v>1219</v>
      </c>
      <c r="G3950" t="s">
        <v>243</v>
      </c>
      <c r="H3950" t="s">
        <v>1220</v>
      </c>
    </row>
    <row r="3951" spans="1:8">
      <c r="A3951" s="25" t="s">
        <v>207</v>
      </c>
      <c r="B3951">
        <v>1037</v>
      </c>
      <c r="C3951" t="s">
        <v>189</v>
      </c>
      <c r="D3951">
        <v>1465</v>
      </c>
      <c r="E3951" s="1">
        <v>6.1199999999999997E-2</v>
      </c>
      <c r="F3951" s="1">
        <v>0.2051</v>
      </c>
      <c r="G3951" s="1">
        <v>6.9999999999999999E-4</v>
      </c>
      <c r="H3951" s="1">
        <v>0.73309999999999997</v>
      </c>
    </row>
    <row r="3952" spans="1:8">
      <c r="A3952" s="25" t="s">
        <v>208</v>
      </c>
      <c r="B3952">
        <v>282</v>
      </c>
      <c r="C3952" t="s">
        <v>189</v>
      </c>
      <c r="D3952">
        <v>1465</v>
      </c>
      <c r="E3952" s="1">
        <v>9.6600000000000005E-2</v>
      </c>
      <c r="F3952" s="1">
        <v>0.16900000000000001</v>
      </c>
      <c r="G3952" s="1">
        <v>7.0000000000000001E-3</v>
      </c>
      <c r="H3952" s="1">
        <v>0.72740000000000005</v>
      </c>
    </row>
    <row r="3953" spans="1:13">
      <c r="A3953" s="25" t="s">
        <v>209</v>
      </c>
      <c r="B3953">
        <v>146</v>
      </c>
      <c r="C3953" t="s">
        <v>189</v>
      </c>
      <c r="D3953">
        <v>1465</v>
      </c>
      <c r="E3953" s="1">
        <v>8.7400000000000005E-2</v>
      </c>
      <c r="F3953" s="1">
        <v>0.1923</v>
      </c>
      <c r="H3953" s="1">
        <v>0.72030000000000005</v>
      </c>
    </row>
    <row r="3954" spans="1:13">
      <c r="A3954" s="25" t="s">
        <v>192</v>
      </c>
      <c r="B3954">
        <v>1465</v>
      </c>
      <c r="C3954" t="s">
        <v>192</v>
      </c>
      <c r="D3954">
        <v>1465</v>
      </c>
      <c r="E3954" s="1">
        <v>7.1599999999999997E-2</v>
      </c>
      <c r="F3954" s="1">
        <v>0.19539999999999999</v>
      </c>
      <c r="G3954" s="1">
        <v>2.2000000000000001E-3</v>
      </c>
      <c r="H3954" s="1">
        <v>0.73080000000000001</v>
      </c>
    </row>
    <row r="3956" spans="1:13" ht="57.95">
      <c r="A3956" s="25" t="s">
        <v>1225</v>
      </c>
    </row>
    <row r="3957" spans="1:13">
      <c r="A3957" s="25" t="s">
        <v>182</v>
      </c>
      <c r="B3957" t="s">
        <v>219</v>
      </c>
      <c r="C3957" t="s">
        <v>181</v>
      </c>
      <c r="D3957" t="s">
        <v>188</v>
      </c>
      <c r="E3957" t="s">
        <v>241</v>
      </c>
      <c r="F3957" t="s">
        <v>1219</v>
      </c>
      <c r="G3957" t="s">
        <v>243</v>
      </c>
      <c r="H3957" t="s">
        <v>1220</v>
      </c>
    </row>
    <row r="3958" spans="1:13">
      <c r="A3958" s="25" t="s">
        <v>211</v>
      </c>
      <c r="B3958">
        <v>693</v>
      </c>
      <c r="C3958" t="s">
        <v>189</v>
      </c>
      <c r="D3958">
        <v>1465</v>
      </c>
      <c r="E3958" s="1">
        <v>7.6899999999999996E-2</v>
      </c>
      <c r="F3958" s="1">
        <v>0.17430000000000001</v>
      </c>
      <c r="G3958" s="1">
        <v>1E-3</v>
      </c>
      <c r="H3958" s="1">
        <v>0.74780000000000002</v>
      </c>
    </row>
    <row r="3959" spans="1:13">
      <c r="A3959" s="25" t="s">
        <v>212</v>
      </c>
      <c r="B3959">
        <v>475</v>
      </c>
      <c r="C3959" t="s">
        <v>189</v>
      </c>
      <c r="D3959">
        <v>1465</v>
      </c>
      <c r="E3959" s="1">
        <v>8.5099999999999995E-2</v>
      </c>
      <c r="F3959" s="1">
        <v>0.16070000000000001</v>
      </c>
      <c r="G3959" s="1">
        <v>6.9999999999999999E-4</v>
      </c>
      <c r="H3959" s="1">
        <v>0.75349999999999995</v>
      </c>
    </row>
    <row r="3960" spans="1:13">
      <c r="A3960" s="25" t="s">
        <v>213</v>
      </c>
      <c r="B3960">
        <v>297</v>
      </c>
      <c r="C3960" t="s">
        <v>189</v>
      </c>
      <c r="D3960">
        <v>1465</v>
      </c>
      <c r="E3960" s="1">
        <v>4.41E-2</v>
      </c>
      <c r="F3960" s="1">
        <v>0.28160000000000002</v>
      </c>
      <c r="G3960" s="1">
        <v>6.3E-3</v>
      </c>
      <c r="H3960" s="1">
        <v>0.66800000000000004</v>
      </c>
    </row>
    <row r="3961" spans="1:13">
      <c r="A3961" s="25" t="s">
        <v>192</v>
      </c>
      <c r="B3961">
        <v>1465</v>
      </c>
      <c r="C3961" t="s">
        <v>192</v>
      </c>
      <c r="D3961">
        <v>1465</v>
      </c>
      <c r="E3961" s="1">
        <v>7.1599999999999997E-2</v>
      </c>
      <c r="F3961" s="1">
        <v>0.19539999999999999</v>
      </c>
      <c r="G3961" s="1">
        <v>2.2000000000000001E-3</v>
      </c>
      <c r="H3961" s="1">
        <v>0.73080000000000001</v>
      </c>
    </row>
    <row r="3963" spans="1:13" ht="29.1">
      <c r="A3963" s="25" t="s">
        <v>1226</v>
      </c>
    </row>
    <row r="3964" spans="1:13">
      <c r="A3964" s="25" t="s">
        <v>182</v>
      </c>
      <c r="B3964" t="s">
        <v>219</v>
      </c>
      <c r="C3964" t="s">
        <v>181</v>
      </c>
      <c r="D3964" t="s">
        <v>188</v>
      </c>
      <c r="E3964" t="s">
        <v>1227</v>
      </c>
      <c r="F3964" t="s">
        <v>241</v>
      </c>
      <c r="G3964" t="s">
        <v>1228</v>
      </c>
      <c r="H3964" t="s">
        <v>1229</v>
      </c>
      <c r="I3964" t="s">
        <v>1230</v>
      </c>
      <c r="J3964" t="s">
        <v>1231</v>
      </c>
      <c r="K3964" t="s">
        <v>1232</v>
      </c>
      <c r="L3964" t="s">
        <v>269</v>
      </c>
      <c r="M3964" t="s">
        <v>243</v>
      </c>
    </row>
    <row r="3965" spans="1:13">
      <c r="A3965" s="25" t="s">
        <v>190</v>
      </c>
      <c r="B3965">
        <v>4903</v>
      </c>
      <c r="C3965" t="s">
        <v>189</v>
      </c>
      <c r="D3965">
        <v>10433</v>
      </c>
      <c r="E3965" s="1">
        <v>3.3E-3</v>
      </c>
      <c r="F3965" s="1">
        <v>1E-4</v>
      </c>
      <c r="G3965" s="1">
        <v>5.4000000000000003E-3</v>
      </c>
      <c r="H3965" s="1">
        <v>6.9999999999999999E-4</v>
      </c>
      <c r="I3965" s="1">
        <v>0.97389999999999999</v>
      </c>
      <c r="J3965" s="1">
        <v>1.6E-2</v>
      </c>
      <c r="K3965" s="1">
        <v>5.0000000000000001E-4</v>
      </c>
      <c r="L3965" s="1">
        <v>1E-4</v>
      </c>
      <c r="M3965" s="1">
        <v>0</v>
      </c>
    </row>
    <row r="3966" spans="1:13">
      <c r="A3966" s="25" t="s">
        <v>191</v>
      </c>
      <c r="B3966">
        <v>5473</v>
      </c>
      <c r="C3966" t="s">
        <v>189</v>
      </c>
      <c r="D3966">
        <v>10433</v>
      </c>
      <c r="E3966" s="1">
        <v>5.1000000000000004E-3</v>
      </c>
      <c r="F3966" s="1">
        <v>4.0000000000000002E-4</v>
      </c>
      <c r="G3966" s="1">
        <v>7.7999999999999996E-3</v>
      </c>
      <c r="H3966" s="1">
        <v>2.7000000000000001E-3</v>
      </c>
      <c r="I3966" s="1">
        <v>0.92669999999999997</v>
      </c>
      <c r="J3966" s="1">
        <v>5.45E-2</v>
      </c>
      <c r="K3966" s="1">
        <v>2.9999999999999997E-4</v>
      </c>
      <c r="L3966" s="1">
        <v>2.5000000000000001E-3</v>
      </c>
    </row>
    <row r="3967" spans="1:13">
      <c r="A3967" s="25" t="s">
        <v>192</v>
      </c>
      <c r="B3967">
        <v>10433</v>
      </c>
      <c r="C3967" t="s">
        <v>192</v>
      </c>
      <c r="D3967">
        <v>10433</v>
      </c>
      <c r="E3967" s="1">
        <v>4.4999999999999997E-3</v>
      </c>
      <c r="F3967" s="1">
        <v>2.9999999999999997E-4</v>
      </c>
      <c r="G3967" s="1">
        <v>6.8999999999999999E-3</v>
      </c>
      <c r="H3967" s="1">
        <v>1.9E-3</v>
      </c>
      <c r="I3967" s="1">
        <v>0.9446</v>
      </c>
      <c r="J3967" s="1">
        <v>3.9899999999999998E-2</v>
      </c>
      <c r="K3967" s="1">
        <v>4.0000000000000002E-4</v>
      </c>
      <c r="L3967" s="1">
        <v>1.6000000000000001E-3</v>
      </c>
      <c r="M3967" s="1">
        <v>0</v>
      </c>
    </row>
    <row r="3969" spans="1:13" ht="43.5">
      <c r="A3969" s="25" t="s">
        <v>1233</v>
      </c>
    </row>
    <row r="3970" spans="1:13">
      <c r="A3970" s="25" t="s">
        <v>182</v>
      </c>
      <c r="B3970" t="s">
        <v>219</v>
      </c>
      <c r="C3970" t="s">
        <v>181</v>
      </c>
      <c r="D3970" t="s">
        <v>188</v>
      </c>
      <c r="E3970" t="s">
        <v>1227</v>
      </c>
      <c r="F3970" t="s">
        <v>241</v>
      </c>
      <c r="G3970" t="s">
        <v>1228</v>
      </c>
      <c r="H3970" t="s">
        <v>1229</v>
      </c>
      <c r="I3970" t="s">
        <v>1230</v>
      </c>
      <c r="J3970" t="s">
        <v>1231</v>
      </c>
      <c r="K3970" t="s">
        <v>1232</v>
      </c>
      <c r="L3970" t="s">
        <v>269</v>
      </c>
      <c r="M3970" t="s">
        <v>243</v>
      </c>
    </row>
    <row r="3971" spans="1:13" ht="29.1">
      <c r="A3971" s="25" t="s">
        <v>194</v>
      </c>
      <c r="B3971">
        <v>5954</v>
      </c>
      <c r="C3971" t="s">
        <v>189</v>
      </c>
      <c r="D3971">
        <v>10433</v>
      </c>
      <c r="E3971" s="1">
        <v>4.7999999999999996E-3</v>
      </c>
      <c r="F3971" s="1">
        <v>2.0000000000000001E-4</v>
      </c>
      <c r="G3971" s="1">
        <v>4.0000000000000001E-3</v>
      </c>
      <c r="H3971" s="1">
        <v>1.1000000000000001E-3</v>
      </c>
      <c r="I3971" s="1">
        <v>0.94879999999999998</v>
      </c>
      <c r="J3971" s="1">
        <v>3.9199999999999999E-2</v>
      </c>
      <c r="K3971" s="1">
        <v>5.0000000000000001E-4</v>
      </c>
      <c r="L3971" s="1">
        <v>1.5E-3</v>
      </c>
    </row>
    <row r="3972" spans="1:13" ht="29.1">
      <c r="A3972" s="25" t="s">
        <v>195</v>
      </c>
      <c r="B3972">
        <v>2703</v>
      </c>
      <c r="C3972" t="s">
        <v>189</v>
      </c>
      <c r="D3972">
        <v>10433</v>
      </c>
      <c r="E3972" s="1">
        <v>2.8999999999999998E-3</v>
      </c>
      <c r="F3972" s="1">
        <v>0</v>
      </c>
      <c r="G3972" s="1">
        <v>9.2999999999999992E-3</v>
      </c>
      <c r="H3972" s="1">
        <v>3.7000000000000002E-3</v>
      </c>
      <c r="I3972" s="1">
        <v>0.9395</v>
      </c>
      <c r="J3972" s="1">
        <v>4.2000000000000003E-2</v>
      </c>
      <c r="L3972" s="1">
        <v>2.7000000000000001E-3</v>
      </c>
    </row>
    <row r="3973" spans="1:13" ht="29.1">
      <c r="A3973" s="25" t="s">
        <v>196</v>
      </c>
      <c r="B3973">
        <v>1719</v>
      </c>
      <c r="C3973" t="s">
        <v>189</v>
      </c>
      <c r="D3973">
        <v>10433</v>
      </c>
      <c r="E3973" s="1">
        <v>5.1000000000000004E-3</v>
      </c>
      <c r="F3973" s="1">
        <v>1.6999999999999999E-3</v>
      </c>
      <c r="G3973" s="1">
        <v>2.3900000000000001E-2</v>
      </c>
      <c r="H3973" s="1">
        <v>4.8999999999999998E-3</v>
      </c>
      <c r="I3973" s="1">
        <v>0.92420000000000002</v>
      </c>
      <c r="J3973" s="1">
        <v>0.04</v>
      </c>
      <c r="L3973" s="1">
        <v>2.0000000000000001E-4</v>
      </c>
      <c r="M3973" s="1">
        <v>0</v>
      </c>
    </row>
    <row r="3974" spans="1:13">
      <c r="A3974" s="25" t="s">
        <v>192</v>
      </c>
      <c r="B3974">
        <v>10433</v>
      </c>
      <c r="C3974" t="s">
        <v>192</v>
      </c>
      <c r="D3974">
        <v>10433</v>
      </c>
      <c r="E3974" s="1">
        <v>4.4999999999999997E-3</v>
      </c>
      <c r="F3974" s="1">
        <v>2.9999999999999997E-4</v>
      </c>
      <c r="G3974" s="1">
        <v>6.8999999999999999E-3</v>
      </c>
      <c r="H3974" s="1">
        <v>1.9E-3</v>
      </c>
      <c r="I3974" s="1">
        <v>0.9446</v>
      </c>
      <c r="J3974" s="1">
        <v>3.9899999999999998E-2</v>
      </c>
      <c r="K3974" s="1">
        <v>4.0000000000000002E-4</v>
      </c>
      <c r="L3974" s="1">
        <v>1.6000000000000001E-3</v>
      </c>
      <c r="M3974" s="1">
        <v>0</v>
      </c>
    </row>
    <row r="3976" spans="1:13" ht="43.5">
      <c r="A3976" s="25" t="s">
        <v>1234</v>
      </c>
    </row>
    <row r="3977" spans="1:13">
      <c r="A3977" s="25" t="s">
        <v>182</v>
      </c>
      <c r="B3977" t="s">
        <v>219</v>
      </c>
      <c r="C3977" t="s">
        <v>181</v>
      </c>
      <c r="D3977" t="s">
        <v>188</v>
      </c>
      <c r="E3977" t="s">
        <v>1227</v>
      </c>
      <c r="F3977" t="s">
        <v>241</v>
      </c>
      <c r="G3977" t="s">
        <v>1228</v>
      </c>
      <c r="H3977" t="s">
        <v>1229</v>
      </c>
      <c r="I3977" t="s">
        <v>1230</v>
      </c>
      <c r="J3977" t="s">
        <v>1231</v>
      </c>
      <c r="K3977" t="s">
        <v>1232</v>
      </c>
      <c r="L3977" t="s">
        <v>269</v>
      </c>
      <c r="M3977" t="s">
        <v>243</v>
      </c>
    </row>
    <row r="3978" spans="1:13">
      <c r="A3978" s="25" t="s">
        <v>198</v>
      </c>
      <c r="B3978">
        <v>2263</v>
      </c>
      <c r="C3978" t="s">
        <v>189</v>
      </c>
      <c r="D3978">
        <v>10433</v>
      </c>
      <c r="E3978" s="1">
        <v>8.9999999999999993E-3</v>
      </c>
      <c r="F3978" s="1">
        <v>1E-4</v>
      </c>
      <c r="G3978" s="1">
        <v>8.8999999999999999E-3</v>
      </c>
      <c r="H3978" s="1">
        <v>1.1999999999999999E-3</v>
      </c>
      <c r="I3978" s="1">
        <v>0.94769999999999999</v>
      </c>
      <c r="J3978" s="1">
        <v>3.0800000000000001E-2</v>
      </c>
      <c r="K3978" s="1">
        <v>8.0000000000000004E-4</v>
      </c>
      <c r="L3978" s="1">
        <v>1.6000000000000001E-3</v>
      </c>
      <c r="M3978" s="1">
        <v>0</v>
      </c>
    </row>
    <row r="3979" spans="1:13">
      <c r="A3979" s="25" t="s">
        <v>199</v>
      </c>
      <c r="B3979">
        <v>8170</v>
      </c>
      <c r="C3979" t="s">
        <v>189</v>
      </c>
      <c r="D3979">
        <v>10433</v>
      </c>
      <c r="E3979" s="1">
        <v>3.3999999999999998E-3</v>
      </c>
      <c r="F3979" s="1">
        <v>2.9999999999999997E-4</v>
      </c>
      <c r="G3979" s="1">
        <v>6.4000000000000003E-3</v>
      </c>
      <c r="H3979" s="1">
        <v>2.0999999999999999E-3</v>
      </c>
      <c r="I3979" s="1">
        <v>0.94389999999999996</v>
      </c>
      <c r="J3979" s="1">
        <v>4.19E-2</v>
      </c>
      <c r="K3979" s="1">
        <v>2.9999999999999997E-4</v>
      </c>
      <c r="L3979" s="1">
        <v>1.6000000000000001E-3</v>
      </c>
    </row>
    <row r="3980" spans="1:13">
      <c r="A3980" s="25" t="s">
        <v>192</v>
      </c>
      <c r="B3980">
        <v>10433</v>
      </c>
      <c r="C3980" t="s">
        <v>192</v>
      </c>
      <c r="D3980">
        <v>10433</v>
      </c>
      <c r="E3980" s="1">
        <v>4.4999999999999997E-3</v>
      </c>
      <c r="F3980" s="1">
        <v>2.9999999999999997E-4</v>
      </c>
      <c r="G3980" s="1">
        <v>6.8999999999999999E-3</v>
      </c>
      <c r="H3980" s="1">
        <v>1.9E-3</v>
      </c>
      <c r="I3980" s="1">
        <v>0.9446</v>
      </c>
      <c r="J3980" s="1">
        <v>3.9899999999999998E-2</v>
      </c>
      <c r="K3980" s="1">
        <v>4.0000000000000002E-4</v>
      </c>
      <c r="L3980" s="1">
        <v>1.6000000000000001E-3</v>
      </c>
      <c r="M3980" s="1">
        <v>0</v>
      </c>
    </row>
    <row r="3982" spans="1:13" ht="43.5">
      <c r="A3982" s="25" t="s">
        <v>1235</v>
      </c>
    </row>
    <row r="3983" spans="1:13">
      <c r="A3983" s="25" t="s">
        <v>182</v>
      </c>
      <c r="B3983" t="s">
        <v>219</v>
      </c>
      <c r="C3983" t="s">
        <v>181</v>
      </c>
      <c r="D3983" t="s">
        <v>188</v>
      </c>
      <c r="E3983" t="s">
        <v>1227</v>
      </c>
      <c r="F3983" t="s">
        <v>241</v>
      </c>
      <c r="G3983" t="s">
        <v>1228</v>
      </c>
      <c r="H3983" t="s">
        <v>1229</v>
      </c>
      <c r="I3983" t="s">
        <v>1230</v>
      </c>
      <c r="J3983" t="s">
        <v>1231</v>
      </c>
      <c r="K3983" t="s">
        <v>1232</v>
      </c>
      <c r="L3983" t="s">
        <v>269</v>
      </c>
      <c r="M3983" t="s">
        <v>243</v>
      </c>
    </row>
    <row r="3984" spans="1:13">
      <c r="A3984" s="25" t="s">
        <v>201</v>
      </c>
      <c r="B3984">
        <v>767</v>
      </c>
      <c r="C3984" t="s">
        <v>189</v>
      </c>
      <c r="D3984">
        <v>10433</v>
      </c>
      <c r="E3984" s="1">
        <v>6.0600000000000001E-2</v>
      </c>
      <c r="G3984" s="1">
        <v>4.9799999999999997E-2</v>
      </c>
      <c r="I3984" s="1">
        <v>0.82709999999999995</v>
      </c>
      <c r="J3984" s="1">
        <v>5.7599999999999998E-2</v>
      </c>
      <c r="L3984" s="1">
        <v>4.8999999999999998E-3</v>
      </c>
    </row>
    <row r="3985" spans="1:13">
      <c r="A3985" s="25" t="s">
        <v>202</v>
      </c>
      <c r="B3985">
        <v>110</v>
      </c>
      <c r="C3985" t="s">
        <v>189</v>
      </c>
      <c r="D3985">
        <v>10433</v>
      </c>
      <c r="E3985" s="1">
        <v>8.9999999999999993E-3</v>
      </c>
      <c r="F3985" s="1">
        <v>2.5999999999999999E-3</v>
      </c>
      <c r="G3985" s="1">
        <v>8.0399999999999999E-2</v>
      </c>
      <c r="I3985" s="1">
        <v>0.83189999999999997</v>
      </c>
      <c r="J3985" s="1">
        <v>7.6100000000000001E-2</v>
      </c>
    </row>
    <row r="3986" spans="1:13">
      <c r="A3986" s="25" t="s">
        <v>203</v>
      </c>
      <c r="B3986">
        <v>8041</v>
      </c>
      <c r="C3986" t="s">
        <v>189</v>
      </c>
      <c r="D3986">
        <v>10433</v>
      </c>
      <c r="E3986" s="1">
        <v>2.0000000000000001E-4</v>
      </c>
      <c r="F3986" s="1">
        <v>2.0000000000000001E-4</v>
      </c>
      <c r="G3986" s="1">
        <v>3.0999999999999999E-3</v>
      </c>
      <c r="H3986" s="1">
        <v>1.6999999999999999E-3</v>
      </c>
      <c r="I3986" s="1">
        <v>0.95860000000000001</v>
      </c>
      <c r="J3986" s="1">
        <v>3.4700000000000002E-2</v>
      </c>
      <c r="K3986" s="1">
        <v>1E-4</v>
      </c>
      <c r="L3986" s="1">
        <v>1.4E-3</v>
      </c>
      <c r="M3986" s="1">
        <v>0</v>
      </c>
    </row>
    <row r="3987" spans="1:13">
      <c r="A3987" s="25" t="s">
        <v>204</v>
      </c>
      <c r="B3987">
        <v>31</v>
      </c>
      <c r="C3987" t="s">
        <v>189</v>
      </c>
      <c r="D3987">
        <v>10433</v>
      </c>
      <c r="F3987" s="1">
        <v>1.9E-3</v>
      </c>
      <c r="I3987" s="1">
        <v>0.93400000000000005</v>
      </c>
      <c r="J3987" s="1">
        <v>6.4100000000000004E-2</v>
      </c>
    </row>
    <row r="3988" spans="1:13">
      <c r="A3988" s="25" t="s">
        <v>205</v>
      </c>
      <c r="B3988">
        <v>1484</v>
      </c>
      <c r="C3988" t="s">
        <v>189</v>
      </c>
      <c r="D3988">
        <v>10433</v>
      </c>
      <c r="E3988" s="1">
        <v>2.0000000000000001E-4</v>
      </c>
      <c r="F3988" s="1">
        <v>1E-3</v>
      </c>
      <c r="G3988" s="1">
        <v>4.1000000000000003E-3</v>
      </c>
      <c r="H3988" s="1">
        <v>4.4999999999999997E-3</v>
      </c>
      <c r="I3988" s="1">
        <v>0.92889999999999995</v>
      </c>
      <c r="J3988" s="1">
        <v>5.8599999999999999E-2</v>
      </c>
      <c r="K3988" s="1">
        <v>2E-3</v>
      </c>
      <c r="L3988" s="1">
        <v>8.0000000000000004E-4</v>
      </c>
    </row>
    <row r="3989" spans="1:13">
      <c r="A3989" s="25" t="s">
        <v>192</v>
      </c>
      <c r="B3989">
        <v>10433</v>
      </c>
      <c r="C3989" t="s">
        <v>192</v>
      </c>
      <c r="D3989">
        <v>10433</v>
      </c>
      <c r="E3989" s="1">
        <v>4.4999999999999997E-3</v>
      </c>
      <c r="F3989" s="1">
        <v>2.9999999999999997E-4</v>
      </c>
      <c r="G3989" s="1">
        <v>6.8999999999999999E-3</v>
      </c>
      <c r="H3989" s="1">
        <v>1.9E-3</v>
      </c>
      <c r="I3989" s="1">
        <v>0.9446</v>
      </c>
      <c r="J3989" s="1">
        <v>3.9899999999999998E-2</v>
      </c>
      <c r="K3989" s="1">
        <v>4.0000000000000002E-4</v>
      </c>
      <c r="L3989" s="1">
        <v>1.6000000000000001E-3</v>
      </c>
      <c r="M3989" s="1">
        <v>0</v>
      </c>
    </row>
    <row r="3991" spans="1:13" ht="29.1">
      <c r="A3991" s="25" t="s">
        <v>1236</v>
      </c>
    </row>
    <row r="3992" spans="1:13">
      <c r="A3992" s="25" t="s">
        <v>182</v>
      </c>
      <c r="B3992" t="s">
        <v>219</v>
      </c>
      <c r="C3992" t="s">
        <v>181</v>
      </c>
      <c r="D3992" t="s">
        <v>188</v>
      </c>
      <c r="E3992" t="s">
        <v>1227</v>
      </c>
      <c r="F3992" t="s">
        <v>241</v>
      </c>
      <c r="G3992" t="s">
        <v>1228</v>
      </c>
      <c r="H3992" t="s">
        <v>1229</v>
      </c>
      <c r="I3992" t="s">
        <v>1230</v>
      </c>
      <c r="J3992" t="s">
        <v>1231</v>
      </c>
      <c r="K3992" t="s">
        <v>1232</v>
      </c>
      <c r="L3992" t="s">
        <v>269</v>
      </c>
      <c r="M3992" t="s">
        <v>243</v>
      </c>
    </row>
    <row r="3993" spans="1:13">
      <c r="A3993" s="25" t="s">
        <v>207</v>
      </c>
      <c r="B3993">
        <v>7253</v>
      </c>
      <c r="C3993" t="s">
        <v>189</v>
      </c>
      <c r="D3993">
        <v>10433</v>
      </c>
      <c r="E3993" s="1">
        <v>3.8E-3</v>
      </c>
      <c r="F3993" s="1">
        <v>2.0000000000000001E-4</v>
      </c>
      <c r="G3993" s="1">
        <v>5.4000000000000003E-3</v>
      </c>
      <c r="H3993" s="1">
        <v>1.8E-3</v>
      </c>
      <c r="I3993" s="1">
        <v>0.96140000000000003</v>
      </c>
      <c r="J3993" s="1">
        <v>2.6599999999999999E-2</v>
      </c>
      <c r="K3993" s="1">
        <v>1E-4</v>
      </c>
      <c r="L3993" s="1">
        <v>5.9999999999999995E-4</v>
      </c>
    </row>
    <row r="3994" spans="1:13">
      <c r="A3994" s="25" t="s">
        <v>208</v>
      </c>
      <c r="B3994">
        <v>2245</v>
      </c>
      <c r="C3994" t="s">
        <v>189</v>
      </c>
      <c r="D3994">
        <v>10433</v>
      </c>
      <c r="E3994" s="1">
        <v>6.4999999999999997E-3</v>
      </c>
      <c r="F3994" s="1">
        <v>5.9999999999999995E-4</v>
      </c>
      <c r="G3994" s="1">
        <v>1.24E-2</v>
      </c>
      <c r="H3994" s="1">
        <v>2.5000000000000001E-3</v>
      </c>
      <c r="I3994" s="1">
        <v>0.88239999999999996</v>
      </c>
      <c r="J3994" s="1">
        <v>8.9700000000000002E-2</v>
      </c>
      <c r="K3994" s="1">
        <v>8.0000000000000004E-4</v>
      </c>
      <c r="L3994" s="1">
        <v>5.1000000000000004E-3</v>
      </c>
    </row>
    <row r="3995" spans="1:13">
      <c r="A3995" s="25" t="s">
        <v>209</v>
      </c>
      <c r="B3995">
        <v>935</v>
      </c>
      <c r="C3995" t="s">
        <v>189</v>
      </c>
      <c r="D3995">
        <v>10433</v>
      </c>
      <c r="E3995" s="1">
        <v>4.1000000000000003E-3</v>
      </c>
      <c r="F3995" s="1">
        <v>0</v>
      </c>
      <c r="G3995" s="1">
        <v>4.0000000000000001E-3</v>
      </c>
      <c r="H3995" s="1">
        <v>1.2999999999999999E-3</v>
      </c>
      <c r="I3995" s="1">
        <v>0.97340000000000004</v>
      </c>
      <c r="J3995" s="1">
        <v>1.5299999999999999E-2</v>
      </c>
      <c r="K3995" s="1">
        <v>1.8E-3</v>
      </c>
      <c r="M3995" s="1">
        <v>0</v>
      </c>
    </row>
    <row r="3996" spans="1:13">
      <c r="A3996" s="25" t="s">
        <v>192</v>
      </c>
      <c r="B3996">
        <v>10433</v>
      </c>
      <c r="C3996" t="s">
        <v>192</v>
      </c>
      <c r="D3996">
        <v>10433</v>
      </c>
      <c r="E3996" s="1">
        <v>4.4999999999999997E-3</v>
      </c>
      <c r="F3996" s="1">
        <v>2.9999999999999997E-4</v>
      </c>
      <c r="G3996" s="1">
        <v>6.8999999999999999E-3</v>
      </c>
      <c r="H3996" s="1">
        <v>1.9E-3</v>
      </c>
      <c r="I3996" s="1">
        <v>0.9446</v>
      </c>
      <c r="J3996" s="1">
        <v>3.9899999999999998E-2</v>
      </c>
      <c r="K3996" s="1">
        <v>4.0000000000000002E-4</v>
      </c>
      <c r="L3996" s="1">
        <v>1.6000000000000001E-3</v>
      </c>
      <c r="M3996" s="1">
        <v>0</v>
      </c>
    </row>
    <row r="3998" spans="1:13" ht="43.5">
      <c r="A3998" s="25" t="s">
        <v>1237</v>
      </c>
    </row>
    <row r="3999" spans="1:13">
      <c r="A3999" s="25" t="s">
        <v>182</v>
      </c>
      <c r="B3999" t="s">
        <v>219</v>
      </c>
      <c r="C3999" t="s">
        <v>181</v>
      </c>
      <c r="D3999" t="s">
        <v>188</v>
      </c>
      <c r="E3999" t="s">
        <v>1227</v>
      </c>
      <c r="F3999" t="s">
        <v>241</v>
      </c>
      <c r="G3999" t="s">
        <v>1228</v>
      </c>
      <c r="H3999" t="s">
        <v>1229</v>
      </c>
      <c r="I3999" t="s">
        <v>1230</v>
      </c>
      <c r="J3999" t="s">
        <v>1231</v>
      </c>
      <c r="K3999" t="s">
        <v>1232</v>
      </c>
      <c r="L3999" t="s">
        <v>269</v>
      </c>
      <c r="M3999" t="s">
        <v>243</v>
      </c>
    </row>
    <row r="4000" spans="1:13">
      <c r="A4000" s="25" t="s">
        <v>211</v>
      </c>
      <c r="B4000">
        <v>4972</v>
      </c>
      <c r="C4000" t="s">
        <v>189</v>
      </c>
      <c r="D4000">
        <v>10433</v>
      </c>
      <c r="E4000" s="1">
        <v>1.6000000000000001E-3</v>
      </c>
      <c r="F4000" s="1">
        <v>2.0000000000000001E-4</v>
      </c>
      <c r="G4000" s="1">
        <v>3.7000000000000002E-3</v>
      </c>
      <c r="H4000" s="1">
        <v>1.8E-3</v>
      </c>
      <c r="I4000" s="1">
        <v>0.97160000000000002</v>
      </c>
      <c r="J4000" s="1">
        <v>2.07E-2</v>
      </c>
      <c r="K4000" s="1">
        <v>4.0000000000000002E-4</v>
      </c>
      <c r="M4000" s="1">
        <v>0</v>
      </c>
    </row>
    <row r="4001" spans="1:13">
      <c r="A4001" s="25" t="s">
        <v>212</v>
      </c>
      <c r="B4001">
        <v>3375</v>
      </c>
      <c r="C4001" t="s">
        <v>189</v>
      </c>
      <c r="D4001">
        <v>10433</v>
      </c>
      <c r="E4001" s="1">
        <v>9.4999999999999998E-3</v>
      </c>
      <c r="F4001" s="1">
        <v>1E-4</v>
      </c>
      <c r="G4001" s="1">
        <v>8.6E-3</v>
      </c>
      <c r="H4001" s="1">
        <v>2.7000000000000001E-3</v>
      </c>
      <c r="I4001" s="1">
        <v>0.92049999999999998</v>
      </c>
      <c r="J4001" s="1">
        <v>5.5500000000000001E-2</v>
      </c>
      <c r="K4001" s="1">
        <v>4.0000000000000002E-4</v>
      </c>
      <c r="L4001" s="1">
        <v>2.5999999999999999E-3</v>
      </c>
    </row>
    <row r="4002" spans="1:13">
      <c r="A4002" s="25" t="s">
        <v>213</v>
      </c>
      <c r="B4002">
        <v>2086</v>
      </c>
      <c r="C4002" t="s">
        <v>189</v>
      </c>
      <c r="D4002">
        <v>10433</v>
      </c>
      <c r="E4002" s="1">
        <v>3.5000000000000001E-3</v>
      </c>
      <c r="F4002" s="1">
        <v>6.9999999999999999E-4</v>
      </c>
      <c r="G4002" s="1">
        <v>1.1299999999999999E-2</v>
      </c>
      <c r="H4002" s="1">
        <v>1.1999999999999999E-3</v>
      </c>
      <c r="I4002" s="1">
        <v>0.92100000000000004</v>
      </c>
      <c r="J4002" s="1">
        <v>5.8799999999999998E-2</v>
      </c>
      <c r="K4002" s="1">
        <v>2.0000000000000001E-4</v>
      </c>
      <c r="L4002" s="1">
        <v>3.3999999999999998E-3</v>
      </c>
    </row>
    <row r="4003" spans="1:13">
      <c r="A4003" s="25" t="s">
        <v>192</v>
      </c>
      <c r="B4003">
        <v>10433</v>
      </c>
      <c r="C4003" t="s">
        <v>192</v>
      </c>
      <c r="D4003">
        <v>10433</v>
      </c>
      <c r="E4003" s="1">
        <v>4.4999999999999997E-3</v>
      </c>
      <c r="F4003" s="1">
        <v>2.9999999999999997E-4</v>
      </c>
      <c r="G4003" s="1">
        <v>6.8999999999999999E-3</v>
      </c>
      <c r="H4003" s="1">
        <v>1.9E-3</v>
      </c>
      <c r="I4003" s="1">
        <v>0.9446</v>
      </c>
      <c r="J4003" s="1">
        <v>3.9899999999999998E-2</v>
      </c>
      <c r="K4003" s="1">
        <v>4.0000000000000002E-4</v>
      </c>
      <c r="L4003" s="1">
        <v>1.6000000000000001E-3</v>
      </c>
      <c r="M4003" s="1">
        <v>0</v>
      </c>
    </row>
    <row r="4005" spans="1:13" ht="29.1">
      <c r="A4005" s="25" t="s">
        <v>1238</v>
      </c>
    </row>
    <row r="4006" spans="1:13">
      <c r="A4006" s="25" t="s">
        <v>182</v>
      </c>
      <c r="B4006" t="s">
        <v>219</v>
      </c>
      <c r="C4006" t="s">
        <v>181</v>
      </c>
      <c r="D4006" t="s">
        <v>188</v>
      </c>
      <c r="E4006" t="s">
        <v>241</v>
      </c>
      <c r="F4006" t="s">
        <v>1239</v>
      </c>
      <c r="G4006" t="s">
        <v>269</v>
      </c>
      <c r="H4006" t="s">
        <v>243</v>
      </c>
      <c r="I4006" t="s">
        <v>1240</v>
      </c>
      <c r="J4006" t="s">
        <v>1241</v>
      </c>
      <c r="K4006" t="s">
        <v>1242</v>
      </c>
      <c r="L4006" t="s">
        <v>1243</v>
      </c>
    </row>
    <row r="4007" spans="1:13">
      <c r="A4007" s="25" t="s">
        <v>190</v>
      </c>
      <c r="B4007">
        <v>4887</v>
      </c>
      <c r="C4007" t="s">
        <v>189</v>
      </c>
      <c r="D4007">
        <v>10393</v>
      </c>
      <c r="E4007" s="1">
        <v>2.0000000000000001E-4</v>
      </c>
      <c r="F4007" s="1">
        <v>1E-4</v>
      </c>
      <c r="H4007" s="1">
        <v>4.0000000000000002E-4</v>
      </c>
      <c r="I4007" s="1">
        <v>7.4899999999999994E-2</v>
      </c>
      <c r="J4007" s="1">
        <v>0.91710000000000003</v>
      </c>
      <c r="K4007" s="1">
        <v>4.0000000000000002E-4</v>
      </c>
      <c r="L4007" s="1">
        <v>6.8999999999999999E-3</v>
      </c>
    </row>
    <row r="4008" spans="1:13">
      <c r="A4008" s="25" t="s">
        <v>191</v>
      </c>
      <c r="B4008">
        <v>5449</v>
      </c>
      <c r="C4008" t="s">
        <v>189</v>
      </c>
      <c r="D4008">
        <v>10393</v>
      </c>
      <c r="E4008" s="1">
        <v>1E-4</v>
      </c>
      <c r="F4008" s="1">
        <v>1.8E-3</v>
      </c>
      <c r="G4008" s="1">
        <v>2.9999999999999997E-4</v>
      </c>
      <c r="H4008" s="1">
        <v>2.0000000000000001E-4</v>
      </c>
      <c r="I4008" s="1">
        <v>0.63619999999999999</v>
      </c>
      <c r="J4008" s="1">
        <v>0.3599</v>
      </c>
      <c r="K4008" s="1">
        <v>2.0000000000000001E-4</v>
      </c>
      <c r="L4008" s="1">
        <v>1.1999999999999999E-3</v>
      </c>
    </row>
    <row r="4009" spans="1:13">
      <c r="A4009" s="25" t="s">
        <v>192</v>
      </c>
      <c r="B4009">
        <v>10393</v>
      </c>
      <c r="C4009" t="s">
        <v>192</v>
      </c>
      <c r="D4009">
        <v>10393</v>
      </c>
      <c r="E4009" s="1">
        <v>2.0000000000000001E-4</v>
      </c>
      <c r="F4009" s="1">
        <v>1.1000000000000001E-3</v>
      </c>
      <c r="G4009" s="1">
        <v>2.0000000000000001E-4</v>
      </c>
      <c r="H4009" s="1">
        <v>2.9999999999999997E-4</v>
      </c>
      <c r="I4009" s="1">
        <v>0.42170000000000002</v>
      </c>
      <c r="J4009" s="1">
        <v>0.57289999999999996</v>
      </c>
      <c r="K4009" s="1">
        <v>2.9999999999999997E-4</v>
      </c>
      <c r="L4009" s="1">
        <v>3.3999999999999998E-3</v>
      </c>
    </row>
    <row r="4011" spans="1:13" ht="43.5">
      <c r="A4011" s="25" t="s">
        <v>1244</v>
      </c>
    </row>
    <row r="4012" spans="1:13">
      <c r="A4012" s="25" t="s">
        <v>182</v>
      </c>
      <c r="B4012" t="s">
        <v>219</v>
      </c>
      <c r="C4012" t="s">
        <v>181</v>
      </c>
      <c r="D4012" t="s">
        <v>188</v>
      </c>
      <c r="E4012" t="s">
        <v>241</v>
      </c>
      <c r="F4012" t="s">
        <v>1239</v>
      </c>
      <c r="G4012" t="s">
        <v>269</v>
      </c>
      <c r="H4012" t="s">
        <v>243</v>
      </c>
      <c r="I4012" t="s">
        <v>1240</v>
      </c>
      <c r="J4012" t="s">
        <v>1241</v>
      </c>
      <c r="K4012" t="s">
        <v>1242</v>
      </c>
      <c r="L4012" t="s">
        <v>1243</v>
      </c>
    </row>
    <row r="4013" spans="1:13" ht="29.1">
      <c r="A4013" s="25" t="s">
        <v>194</v>
      </c>
      <c r="B4013">
        <v>5930</v>
      </c>
      <c r="C4013" t="s">
        <v>189</v>
      </c>
      <c r="D4013">
        <v>10393</v>
      </c>
      <c r="E4013" s="1">
        <v>2.0000000000000001E-4</v>
      </c>
      <c r="F4013" s="1">
        <v>1.5E-3</v>
      </c>
      <c r="G4013" s="1">
        <v>1E-4</v>
      </c>
      <c r="H4013" s="1">
        <v>1E-4</v>
      </c>
      <c r="I4013" s="1">
        <v>0.39739999999999998</v>
      </c>
      <c r="J4013" s="1">
        <v>0.59750000000000003</v>
      </c>
      <c r="K4013" s="1">
        <v>2.0000000000000001E-4</v>
      </c>
      <c r="L4013" s="1">
        <v>3.0999999999999999E-3</v>
      </c>
    </row>
    <row r="4014" spans="1:13" ht="29.1">
      <c r="A4014" s="25" t="s">
        <v>195</v>
      </c>
      <c r="B4014">
        <v>2698</v>
      </c>
      <c r="C4014" t="s">
        <v>189</v>
      </c>
      <c r="D4014">
        <v>10393</v>
      </c>
      <c r="F4014" s="1">
        <v>2.9999999999999997E-4</v>
      </c>
      <c r="H4014" s="1">
        <v>1E-3</v>
      </c>
      <c r="I4014" s="1">
        <v>0.43919999999999998</v>
      </c>
      <c r="J4014" s="1">
        <v>0.55659999999999998</v>
      </c>
      <c r="L4014" s="1">
        <v>2.8999999999999998E-3</v>
      </c>
    </row>
    <row r="4015" spans="1:13" ht="29.1">
      <c r="A4015" s="25" t="s">
        <v>196</v>
      </c>
      <c r="B4015">
        <v>1708</v>
      </c>
      <c r="C4015" t="s">
        <v>189</v>
      </c>
      <c r="D4015">
        <v>10393</v>
      </c>
      <c r="E4015" s="1">
        <v>2.0000000000000001E-4</v>
      </c>
      <c r="G4015" s="1">
        <v>1.4E-3</v>
      </c>
      <c r="H4015" s="1">
        <v>5.9999999999999995E-4</v>
      </c>
      <c r="I4015" s="1">
        <v>0.57240000000000002</v>
      </c>
      <c r="J4015" s="1">
        <v>0.41770000000000002</v>
      </c>
      <c r="K4015" s="1">
        <v>1.4E-3</v>
      </c>
      <c r="L4015" s="1">
        <v>6.4000000000000003E-3</v>
      </c>
    </row>
    <row r="4016" spans="1:13">
      <c r="A4016" s="25" t="s">
        <v>192</v>
      </c>
      <c r="B4016">
        <v>10393</v>
      </c>
      <c r="C4016" t="s">
        <v>192</v>
      </c>
      <c r="D4016">
        <v>10393</v>
      </c>
      <c r="E4016" s="1">
        <v>2.0000000000000001E-4</v>
      </c>
      <c r="F4016" s="1">
        <v>1.1000000000000001E-3</v>
      </c>
      <c r="G4016" s="1">
        <v>2.0000000000000001E-4</v>
      </c>
      <c r="H4016" s="1">
        <v>2.9999999999999997E-4</v>
      </c>
      <c r="I4016" s="1">
        <v>0.42170000000000002</v>
      </c>
      <c r="J4016" s="1">
        <v>0.57289999999999996</v>
      </c>
      <c r="K4016" s="1">
        <v>2.9999999999999997E-4</v>
      </c>
      <c r="L4016" s="1">
        <v>3.3999999999999998E-3</v>
      </c>
    </row>
    <row r="4018" spans="1:12" ht="43.5">
      <c r="A4018" s="25" t="s">
        <v>1245</v>
      </c>
    </row>
    <row r="4019" spans="1:12">
      <c r="A4019" s="25" t="s">
        <v>182</v>
      </c>
      <c r="B4019" t="s">
        <v>219</v>
      </c>
      <c r="C4019" t="s">
        <v>181</v>
      </c>
      <c r="D4019" t="s">
        <v>188</v>
      </c>
      <c r="E4019" t="s">
        <v>241</v>
      </c>
      <c r="F4019" t="s">
        <v>1239</v>
      </c>
      <c r="G4019" t="s">
        <v>269</v>
      </c>
      <c r="H4019" t="s">
        <v>243</v>
      </c>
      <c r="I4019" t="s">
        <v>1240</v>
      </c>
      <c r="J4019" t="s">
        <v>1241</v>
      </c>
      <c r="K4019" t="s">
        <v>1242</v>
      </c>
      <c r="L4019" t="s">
        <v>1243</v>
      </c>
    </row>
    <row r="4020" spans="1:12">
      <c r="A4020" s="25" t="s">
        <v>198</v>
      </c>
      <c r="B4020">
        <v>2251</v>
      </c>
      <c r="C4020" t="s">
        <v>189</v>
      </c>
      <c r="D4020">
        <v>10393</v>
      </c>
      <c r="F4020" s="1">
        <v>6.9999999999999999E-4</v>
      </c>
      <c r="H4020" s="1">
        <v>2.9999999999999997E-4</v>
      </c>
      <c r="I4020" s="1">
        <v>0.34050000000000002</v>
      </c>
      <c r="J4020" s="1">
        <v>0.64970000000000006</v>
      </c>
      <c r="K4020" s="1">
        <v>1.5E-3</v>
      </c>
      <c r="L4020" s="1">
        <v>7.4000000000000003E-3</v>
      </c>
    </row>
    <row r="4021" spans="1:12">
      <c r="A4021" s="25" t="s">
        <v>199</v>
      </c>
      <c r="B4021">
        <v>8142</v>
      </c>
      <c r="C4021" t="s">
        <v>189</v>
      </c>
      <c r="D4021">
        <v>10393</v>
      </c>
      <c r="E4021" s="1">
        <v>2.0000000000000001E-4</v>
      </c>
      <c r="F4021" s="1">
        <v>1.1999999999999999E-3</v>
      </c>
      <c r="G4021" s="1">
        <v>2.0000000000000001E-4</v>
      </c>
      <c r="H4021" s="1">
        <v>2.9999999999999997E-4</v>
      </c>
      <c r="I4021" s="1">
        <v>0.43980000000000002</v>
      </c>
      <c r="J4021" s="1">
        <v>0.55579999999999996</v>
      </c>
      <c r="L4021" s="1">
        <v>2.5000000000000001E-3</v>
      </c>
    </row>
    <row r="4022" spans="1:12">
      <c r="A4022" s="25" t="s">
        <v>192</v>
      </c>
      <c r="B4022">
        <v>10393</v>
      </c>
      <c r="C4022" t="s">
        <v>192</v>
      </c>
      <c r="D4022">
        <v>10393</v>
      </c>
      <c r="E4022" s="1">
        <v>2.0000000000000001E-4</v>
      </c>
      <c r="F4022" s="1">
        <v>1.1000000000000001E-3</v>
      </c>
      <c r="G4022" s="1">
        <v>2.0000000000000001E-4</v>
      </c>
      <c r="H4022" s="1">
        <v>2.9999999999999997E-4</v>
      </c>
      <c r="I4022" s="1">
        <v>0.42170000000000002</v>
      </c>
      <c r="J4022" s="1">
        <v>0.57289999999999996</v>
      </c>
      <c r="K4022" s="1">
        <v>2.9999999999999997E-4</v>
      </c>
      <c r="L4022" s="1">
        <v>3.3999999999999998E-3</v>
      </c>
    </row>
    <row r="4024" spans="1:12" ht="43.5">
      <c r="A4024" s="25" t="s">
        <v>1246</v>
      </c>
    </row>
    <row r="4025" spans="1:12">
      <c r="A4025" s="25" t="s">
        <v>182</v>
      </c>
      <c r="B4025" t="s">
        <v>219</v>
      </c>
      <c r="C4025" t="s">
        <v>181</v>
      </c>
      <c r="D4025" t="s">
        <v>188</v>
      </c>
      <c r="E4025" t="s">
        <v>241</v>
      </c>
      <c r="F4025" t="s">
        <v>1239</v>
      </c>
      <c r="G4025" t="s">
        <v>269</v>
      </c>
      <c r="H4025" t="s">
        <v>243</v>
      </c>
      <c r="I4025" t="s">
        <v>1240</v>
      </c>
      <c r="J4025" t="s">
        <v>1241</v>
      </c>
      <c r="K4025" t="s">
        <v>1242</v>
      </c>
      <c r="L4025" t="s">
        <v>1243</v>
      </c>
    </row>
    <row r="4026" spans="1:12">
      <c r="A4026" s="25" t="s">
        <v>201</v>
      </c>
      <c r="B4026">
        <v>739</v>
      </c>
      <c r="C4026" t="s">
        <v>189</v>
      </c>
      <c r="D4026">
        <v>10393</v>
      </c>
      <c r="F4026" s="1">
        <v>1.5E-3</v>
      </c>
      <c r="G4026" s="1">
        <v>1.9E-3</v>
      </c>
      <c r="H4026" s="1">
        <v>2.9999999999999997E-4</v>
      </c>
      <c r="I4026" s="1">
        <v>0.63439999999999996</v>
      </c>
      <c r="J4026" s="1">
        <v>0.35680000000000001</v>
      </c>
      <c r="L4026" s="1">
        <v>5.0000000000000001E-3</v>
      </c>
    </row>
    <row r="4027" spans="1:12">
      <c r="A4027" s="25" t="s">
        <v>202</v>
      </c>
      <c r="B4027">
        <v>108</v>
      </c>
      <c r="C4027" t="s">
        <v>189</v>
      </c>
      <c r="D4027">
        <v>10393</v>
      </c>
      <c r="I4027" s="1">
        <v>0.42159999999999997</v>
      </c>
      <c r="J4027" s="1">
        <v>0.56540000000000001</v>
      </c>
      <c r="L4027" s="1">
        <v>1.2999999999999999E-2</v>
      </c>
    </row>
    <row r="4028" spans="1:12">
      <c r="A4028" s="25" t="s">
        <v>203</v>
      </c>
      <c r="B4028">
        <v>8036</v>
      </c>
      <c r="C4028" t="s">
        <v>189</v>
      </c>
      <c r="D4028">
        <v>10393</v>
      </c>
      <c r="E4028" s="1">
        <v>2.0000000000000001E-4</v>
      </c>
      <c r="F4028" s="1">
        <v>1.1000000000000001E-3</v>
      </c>
      <c r="G4028" s="1">
        <v>0</v>
      </c>
      <c r="H4028" s="1">
        <v>2.0000000000000001E-4</v>
      </c>
      <c r="I4028" s="1">
        <v>0.36399999999999999</v>
      </c>
      <c r="J4028" s="1">
        <v>0.63129999999999997</v>
      </c>
      <c r="K4028" s="1">
        <v>2.0000000000000001E-4</v>
      </c>
      <c r="L4028" s="1">
        <v>3.0999999999999999E-3</v>
      </c>
    </row>
    <row r="4029" spans="1:12">
      <c r="A4029" s="25" t="s">
        <v>204</v>
      </c>
      <c r="B4029">
        <v>30</v>
      </c>
      <c r="C4029" t="s">
        <v>189</v>
      </c>
      <c r="D4029">
        <v>10393</v>
      </c>
      <c r="H4029" s="1">
        <v>4.8000000000000001E-2</v>
      </c>
      <c r="I4029" s="1">
        <v>0.2195</v>
      </c>
      <c r="J4029" s="1">
        <v>0.73240000000000005</v>
      </c>
    </row>
    <row r="4030" spans="1:12">
      <c r="A4030" s="25" t="s">
        <v>205</v>
      </c>
      <c r="B4030">
        <v>1480</v>
      </c>
      <c r="C4030" t="s">
        <v>189</v>
      </c>
      <c r="D4030">
        <v>10393</v>
      </c>
      <c r="E4030" s="1">
        <v>1E-4</v>
      </c>
      <c r="F4030" s="1">
        <v>1.2999999999999999E-3</v>
      </c>
      <c r="H4030" s="1">
        <v>2.0000000000000001E-4</v>
      </c>
      <c r="I4030" s="1">
        <v>0.65280000000000005</v>
      </c>
      <c r="J4030" s="1">
        <v>0.34029999999999999</v>
      </c>
      <c r="K4030" s="1">
        <v>1E-3</v>
      </c>
      <c r="L4030" s="1">
        <v>4.3E-3</v>
      </c>
    </row>
    <row r="4031" spans="1:12">
      <c r="A4031" s="25" t="s">
        <v>192</v>
      </c>
      <c r="B4031">
        <v>10393</v>
      </c>
      <c r="C4031" t="s">
        <v>192</v>
      </c>
      <c r="D4031">
        <v>10393</v>
      </c>
      <c r="E4031" s="1">
        <v>2.0000000000000001E-4</v>
      </c>
      <c r="F4031" s="1">
        <v>1.1000000000000001E-3</v>
      </c>
      <c r="G4031" s="1">
        <v>2.0000000000000001E-4</v>
      </c>
      <c r="H4031" s="1">
        <v>2.9999999999999997E-4</v>
      </c>
      <c r="I4031" s="1">
        <v>0.42170000000000002</v>
      </c>
      <c r="J4031" s="1">
        <v>0.57289999999999996</v>
      </c>
      <c r="K4031" s="1">
        <v>2.9999999999999997E-4</v>
      </c>
      <c r="L4031" s="1">
        <v>3.3999999999999998E-3</v>
      </c>
    </row>
    <row r="4033" spans="1:12" ht="43.5">
      <c r="A4033" s="25" t="s">
        <v>1247</v>
      </c>
    </row>
    <row r="4034" spans="1:12">
      <c r="A4034" s="25" t="s">
        <v>182</v>
      </c>
      <c r="B4034" t="s">
        <v>219</v>
      </c>
      <c r="C4034" t="s">
        <v>181</v>
      </c>
      <c r="D4034" t="s">
        <v>188</v>
      </c>
      <c r="E4034" t="s">
        <v>241</v>
      </c>
      <c r="F4034" t="s">
        <v>1239</v>
      </c>
      <c r="G4034" t="s">
        <v>269</v>
      </c>
      <c r="H4034" t="s">
        <v>243</v>
      </c>
      <c r="I4034" t="s">
        <v>1240</v>
      </c>
      <c r="J4034" t="s">
        <v>1241</v>
      </c>
      <c r="K4034" t="s">
        <v>1242</v>
      </c>
      <c r="L4034" t="s">
        <v>1243</v>
      </c>
    </row>
    <row r="4035" spans="1:12">
      <c r="A4035" s="25" t="s">
        <v>207</v>
      </c>
      <c r="B4035">
        <v>7231</v>
      </c>
      <c r="C4035" t="s">
        <v>189</v>
      </c>
      <c r="D4035">
        <v>10393</v>
      </c>
      <c r="E4035" s="1">
        <v>2.0000000000000001E-4</v>
      </c>
      <c r="F4035" s="1">
        <v>2.0000000000000001E-4</v>
      </c>
      <c r="G4035" s="1">
        <v>2.0000000000000001E-4</v>
      </c>
      <c r="H4035" s="1">
        <v>1E-4</v>
      </c>
      <c r="I4035" s="1">
        <v>0.4335</v>
      </c>
      <c r="J4035" s="1">
        <v>0.56310000000000004</v>
      </c>
      <c r="K4035" s="1">
        <v>2.0000000000000001E-4</v>
      </c>
      <c r="L4035" s="1">
        <v>2.3999999999999998E-3</v>
      </c>
    </row>
    <row r="4036" spans="1:12">
      <c r="A4036" s="25" t="s">
        <v>208</v>
      </c>
      <c r="B4036">
        <v>2231</v>
      </c>
      <c r="C4036" t="s">
        <v>189</v>
      </c>
      <c r="D4036">
        <v>10393</v>
      </c>
      <c r="E4036" s="1">
        <v>1E-4</v>
      </c>
      <c r="F4036" s="1">
        <v>4.3E-3</v>
      </c>
      <c r="H4036" s="1">
        <v>1E-3</v>
      </c>
      <c r="I4036" s="1">
        <v>0.46350000000000002</v>
      </c>
      <c r="J4036" s="1">
        <v>0.52639999999999998</v>
      </c>
      <c r="L4036" s="1">
        <v>4.7999999999999996E-3</v>
      </c>
    </row>
    <row r="4037" spans="1:12">
      <c r="A4037" s="25" t="s">
        <v>209</v>
      </c>
      <c r="B4037">
        <v>931</v>
      </c>
      <c r="C4037" t="s">
        <v>189</v>
      </c>
      <c r="D4037">
        <v>10393</v>
      </c>
      <c r="I4037" s="1">
        <v>0.19719999999999999</v>
      </c>
      <c r="J4037" s="1">
        <v>0.79249999999999998</v>
      </c>
      <c r="K4037" s="1">
        <v>1.8E-3</v>
      </c>
      <c r="L4037" s="1">
        <v>8.6E-3</v>
      </c>
    </row>
    <row r="4038" spans="1:12">
      <c r="A4038" s="25" t="s">
        <v>192</v>
      </c>
      <c r="B4038">
        <v>10393</v>
      </c>
      <c r="C4038" t="s">
        <v>192</v>
      </c>
      <c r="D4038">
        <v>10393</v>
      </c>
      <c r="E4038" s="1">
        <v>2.0000000000000001E-4</v>
      </c>
      <c r="F4038" s="1">
        <v>1.1000000000000001E-3</v>
      </c>
      <c r="G4038" s="1">
        <v>2.0000000000000001E-4</v>
      </c>
      <c r="H4038" s="1">
        <v>2.9999999999999997E-4</v>
      </c>
      <c r="I4038" s="1">
        <v>0.42170000000000002</v>
      </c>
      <c r="J4038" s="1">
        <v>0.57289999999999996</v>
      </c>
      <c r="K4038" s="1">
        <v>2.9999999999999997E-4</v>
      </c>
      <c r="L4038" s="1">
        <v>3.3999999999999998E-3</v>
      </c>
    </row>
    <row r="4040" spans="1:12" ht="43.5">
      <c r="A4040" s="25" t="s">
        <v>1248</v>
      </c>
    </row>
    <row r="4041" spans="1:12">
      <c r="A4041" s="25" t="s">
        <v>182</v>
      </c>
      <c r="B4041" t="s">
        <v>219</v>
      </c>
      <c r="C4041" t="s">
        <v>181</v>
      </c>
      <c r="D4041" t="s">
        <v>188</v>
      </c>
      <c r="E4041" t="s">
        <v>241</v>
      </c>
      <c r="F4041" t="s">
        <v>1239</v>
      </c>
      <c r="G4041" t="s">
        <v>269</v>
      </c>
      <c r="H4041" t="s">
        <v>243</v>
      </c>
      <c r="I4041" t="s">
        <v>1240</v>
      </c>
      <c r="J4041" t="s">
        <v>1241</v>
      </c>
      <c r="K4041" t="s">
        <v>1242</v>
      </c>
      <c r="L4041" t="s">
        <v>1243</v>
      </c>
    </row>
    <row r="4042" spans="1:12">
      <c r="A4042" s="25" t="s">
        <v>211</v>
      </c>
      <c r="B4042">
        <v>4960</v>
      </c>
      <c r="C4042" t="s">
        <v>189</v>
      </c>
      <c r="D4042">
        <v>10393</v>
      </c>
      <c r="E4042" s="1">
        <v>2.0000000000000001E-4</v>
      </c>
      <c r="F4042" s="1">
        <v>1E-4</v>
      </c>
      <c r="H4042" s="1">
        <v>0</v>
      </c>
      <c r="I4042" s="1">
        <v>0.41760000000000003</v>
      </c>
      <c r="J4042" s="1">
        <v>0.57869999999999999</v>
      </c>
      <c r="K4042" s="1">
        <v>2.9999999999999997E-4</v>
      </c>
      <c r="L4042" s="1">
        <v>3.0999999999999999E-3</v>
      </c>
    </row>
    <row r="4043" spans="1:12">
      <c r="A4043" s="25" t="s">
        <v>212</v>
      </c>
      <c r="B4043">
        <v>3356</v>
      </c>
      <c r="C4043" t="s">
        <v>189</v>
      </c>
      <c r="D4043">
        <v>10393</v>
      </c>
      <c r="E4043" s="1">
        <v>0</v>
      </c>
      <c r="F4043" s="1">
        <v>1.2999999999999999E-3</v>
      </c>
      <c r="G4043" s="1">
        <v>5.0000000000000001E-4</v>
      </c>
      <c r="H4043" s="1">
        <v>1E-4</v>
      </c>
      <c r="I4043" s="1">
        <v>0.43209999999999998</v>
      </c>
      <c r="J4043" s="1">
        <v>0.56259999999999999</v>
      </c>
      <c r="K4043" s="1">
        <v>4.0000000000000002E-4</v>
      </c>
      <c r="L4043" s="1">
        <v>2.8999999999999998E-3</v>
      </c>
    </row>
    <row r="4044" spans="1:12">
      <c r="A4044" s="25" t="s">
        <v>213</v>
      </c>
      <c r="B4044">
        <v>2077</v>
      </c>
      <c r="C4044" t="s">
        <v>189</v>
      </c>
      <c r="D4044">
        <v>10393</v>
      </c>
      <c r="E4044" s="1">
        <v>2.9999999999999997E-4</v>
      </c>
      <c r="F4044" s="1">
        <v>3.2000000000000002E-3</v>
      </c>
      <c r="H4044" s="1">
        <v>1.1000000000000001E-3</v>
      </c>
      <c r="I4044" s="1">
        <v>0.41560000000000002</v>
      </c>
      <c r="J4044" s="1">
        <v>0.57499999999999996</v>
      </c>
      <c r="L4044" s="1">
        <v>4.7999999999999996E-3</v>
      </c>
    </row>
    <row r="4045" spans="1:12">
      <c r="A4045" s="25" t="s">
        <v>192</v>
      </c>
      <c r="B4045">
        <v>10393</v>
      </c>
      <c r="C4045" t="s">
        <v>192</v>
      </c>
      <c r="D4045">
        <v>10393</v>
      </c>
      <c r="E4045" s="1">
        <v>2.0000000000000001E-4</v>
      </c>
      <c r="F4045" s="1">
        <v>1.1000000000000001E-3</v>
      </c>
      <c r="G4045" s="1">
        <v>2.0000000000000001E-4</v>
      </c>
      <c r="H4045" s="1">
        <v>2.9999999999999997E-4</v>
      </c>
      <c r="I4045" s="1">
        <v>0.42170000000000002</v>
      </c>
      <c r="J4045" s="1">
        <v>0.57289999999999996</v>
      </c>
      <c r="K4045" s="1">
        <v>2.9999999999999997E-4</v>
      </c>
      <c r="L4045" s="1">
        <v>3.3999999999999998E-3</v>
      </c>
    </row>
    <row r="4047" spans="1:12" ht="43.5">
      <c r="A4047" s="25" t="s">
        <v>1249</v>
      </c>
    </row>
    <row r="4048" spans="1:12">
      <c r="A4048" s="25" t="s">
        <v>181</v>
      </c>
      <c r="B4048" t="s">
        <v>182</v>
      </c>
      <c r="C4048" t="s">
        <v>183</v>
      </c>
      <c r="D4048" t="s">
        <v>184</v>
      </c>
      <c r="E4048" t="s">
        <v>185</v>
      </c>
      <c r="F4048" t="s">
        <v>186</v>
      </c>
      <c r="G4048" t="s">
        <v>187</v>
      </c>
      <c r="H4048" t="s">
        <v>188</v>
      </c>
    </row>
    <row r="4049" spans="1:8">
      <c r="A4049" s="25" t="s">
        <v>189</v>
      </c>
      <c r="B4049" t="s">
        <v>190</v>
      </c>
      <c r="C4049">
        <v>76.655740128637206</v>
      </c>
      <c r="D4049">
        <v>70</v>
      </c>
      <c r="E4049">
        <v>12</v>
      </c>
      <c r="F4049">
        <v>800</v>
      </c>
      <c r="G4049">
        <v>4008</v>
      </c>
      <c r="H4049">
        <v>8750</v>
      </c>
    </row>
    <row r="4050" spans="1:8">
      <c r="A4050" s="25" t="s">
        <v>189</v>
      </c>
      <c r="B4050" t="s">
        <v>191</v>
      </c>
      <c r="C4050">
        <v>60.431726229343923</v>
      </c>
      <c r="D4050">
        <v>55</v>
      </c>
      <c r="E4050">
        <v>12</v>
      </c>
      <c r="F4050">
        <v>330</v>
      </c>
      <c r="G4050">
        <v>4699</v>
      </c>
      <c r="H4050">
        <v>8750</v>
      </c>
    </row>
    <row r="4051" spans="1:8">
      <c r="A4051" s="25" t="s">
        <v>192</v>
      </c>
      <c r="B4051" t="s">
        <v>192</v>
      </c>
      <c r="C4051">
        <v>66.596518314245714</v>
      </c>
      <c r="D4051">
        <v>60</v>
      </c>
      <c r="E4051">
        <v>12</v>
      </c>
      <c r="F4051">
        <v>800</v>
      </c>
      <c r="G4051">
        <v>8750</v>
      </c>
      <c r="H4051">
        <v>8750</v>
      </c>
    </row>
    <row r="4053" spans="1:8" ht="43.5">
      <c r="A4053" s="25" t="s">
        <v>1250</v>
      </c>
    </row>
    <row r="4054" spans="1:8">
      <c r="A4054" s="25" t="s">
        <v>181</v>
      </c>
      <c r="B4054" t="s">
        <v>182</v>
      </c>
      <c r="C4054" t="s">
        <v>183</v>
      </c>
      <c r="D4054" t="s">
        <v>184</v>
      </c>
      <c r="E4054" t="s">
        <v>185</v>
      </c>
      <c r="F4054" t="s">
        <v>186</v>
      </c>
      <c r="G4054" t="s">
        <v>187</v>
      </c>
      <c r="H4054" t="s">
        <v>188</v>
      </c>
    </row>
    <row r="4055" spans="1:8">
      <c r="A4055" s="25" t="s">
        <v>189</v>
      </c>
      <c r="B4055" t="s">
        <v>194</v>
      </c>
      <c r="C4055">
        <v>69.611910082108096</v>
      </c>
      <c r="D4055">
        <v>62</v>
      </c>
      <c r="E4055">
        <v>12</v>
      </c>
      <c r="F4055">
        <v>800</v>
      </c>
      <c r="G4055">
        <v>5057</v>
      </c>
      <c r="H4055">
        <v>8750</v>
      </c>
    </row>
    <row r="4056" spans="1:8">
      <c r="A4056" s="25" t="s">
        <v>189</v>
      </c>
      <c r="B4056" t="s">
        <v>195</v>
      </c>
      <c r="C4056">
        <v>59.92559809807053</v>
      </c>
      <c r="D4056">
        <v>55</v>
      </c>
      <c r="E4056">
        <v>12</v>
      </c>
      <c r="F4056">
        <v>554</v>
      </c>
      <c r="G4056">
        <v>2253</v>
      </c>
      <c r="H4056">
        <v>8750</v>
      </c>
    </row>
    <row r="4057" spans="1:8">
      <c r="A4057" s="25" t="s">
        <v>189</v>
      </c>
      <c r="B4057" t="s">
        <v>196</v>
      </c>
      <c r="C4057">
        <v>56.890372378595927</v>
      </c>
      <c r="D4057">
        <v>53</v>
      </c>
      <c r="E4057">
        <v>12</v>
      </c>
      <c r="F4057">
        <v>300</v>
      </c>
      <c r="G4057">
        <v>1397</v>
      </c>
      <c r="H4057">
        <v>8750</v>
      </c>
    </row>
    <row r="4058" spans="1:8">
      <c r="A4058" s="25" t="s">
        <v>192</v>
      </c>
      <c r="B4058" t="s">
        <v>192</v>
      </c>
      <c r="C4058">
        <v>66.596518314245714</v>
      </c>
      <c r="D4058">
        <v>60</v>
      </c>
      <c r="E4058">
        <v>12</v>
      </c>
      <c r="F4058">
        <v>800</v>
      </c>
      <c r="G4058">
        <v>8750</v>
      </c>
      <c r="H4058">
        <v>8750</v>
      </c>
    </row>
    <row r="4060" spans="1:8" ht="43.5">
      <c r="A4060" s="25" t="s">
        <v>1251</v>
      </c>
    </row>
    <row r="4061" spans="1:8">
      <c r="A4061" s="25" t="s">
        <v>181</v>
      </c>
      <c r="B4061" t="s">
        <v>182</v>
      </c>
      <c r="C4061" t="s">
        <v>183</v>
      </c>
      <c r="D4061" t="s">
        <v>184</v>
      </c>
      <c r="E4061" t="s">
        <v>185</v>
      </c>
      <c r="F4061" t="s">
        <v>186</v>
      </c>
      <c r="G4061" t="s">
        <v>187</v>
      </c>
      <c r="H4061" t="s">
        <v>188</v>
      </c>
    </row>
    <row r="4062" spans="1:8">
      <c r="A4062" s="25" t="s">
        <v>189</v>
      </c>
      <c r="B4062" t="s">
        <v>198</v>
      </c>
      <c r="C4062">
        <v>65.449608018014899</v>
      </c>
      <c r="D4062">
        <v>60</v>
      </c>
      <c r="E4062">
        <v>12</v>
      </c>
      <c r="F4062">
        <v>270</v>
      </c>
      <c r="G4062">
        <v>1924</v>
      </c>
      <c r="H4062">
        <v>8750</v>
      </c>
    </row>
    <row r="4063" spans="1:8">
      <c r="A4063" s="25" t="s">
        <v>189</v>
      </c>
      <c r="B4063" t="s">
        <v>199</v>
      </c>
      <c r="C4063">
        <v>66.858927364022577</v>
      </c>
      <c r="D4063">
        <v>60</v>
      </c>
      <c r="E4063">
        <v>12</v>
      </c>
      <c r="F4063">
        <v>800</v>
      </c>
      <c r="G4063">
        <v>6826</v>
      </c>
      <c r="H4063">
        <v>8750</v>
      </c>
    </row>
    <row r="4064" spans="1:8">
      <c r="A4064" s="25" t="s">
        <v>192</v>
      </c>
      <c r="B4064" t="s">
        <v>192</v>
      </c>
      <c r="C4064">
        <v>66.596518314245714</v>
      </c>
      <c r="D4064">
        <v>60</v>
      </c>
      <c r="E4064">
        <v>12</v>
      </c>
      <c r="F4064">
        <v>800</v>
      </c>
      <c r="G4064">
        <v>8750</v>
      </c>
      <c r="H4064">
        <v>8750</v>
      </c>
    </row>
    <row r="4066" spans="1:8" ht="43.5">
      <c r="A4066" s="25" t="s">
        <v>1252</v>
      </c>
    </row>
    <row r="4067" spans="1:8">
      <c r="A4067" s="25" t="s">
        <v>181</v>
      </c>
      <c r="B4067" t="s">
        <v>182</v>
      </c>
      <c r="C4067" t="s">
        <v>183</v>
      </c>
      <c r="D4067" t="s">
        <v>184</v>
      </c>
      <c r="E4067" t="s">
        <v>185</v>
      </c>
      <c r="F4067" t="s">
        <v>186</v>
      </c>
      <c r="G4067" t="s">
        <v>187</v>
      </c>
      <c r="H4067" t="s">
        <v>188</v>
      </c>
    </row>
    <row r="4068" spans="1:8">
      <c r="A4068" s="25" t="s">
        <v>189</v>
      </c>
      <c r="B4068" t="s">
        <v>201</v>
      </c>
      <c r="C4068">
        <v>50.591409341274129</v>
      </c>
      <c r="D4068">
        <v>49</v>
      </c>
      <c r="E4068">
        <v>15</v>
      </c>
      <c r="F4068">
        <v>156</v>
      </c>
      <c r="G4068">
        <v>527</v>
      </c>
      <c r="H4068">
        <v>8750</v>
      </c>
    </row>
    <row r="4069" spans="1:8">
      <c r="A4069" s="25" t="s">
        <v>189</v>
      </c>
      <c r="B4069" t="s">
        <v>202</v>
      </c>
      <c r="C4069">
        <v>58.044743059132713</v>
      </c>
      <c r="D4069">
        <v>60</v>
      </c>
      <c r="E4069">
        <v>15</v>
      </c>
      <c r="F4069">
        <v>150</v>
      </c>
      <c r="G4069">
        <v>84</v>
      </c>
      <c r="H4069">
        <v>8750</v>
      </c>
    </row>
    <row r="4070" spans="1:8">
      <c r="A4070" s="25" t="s">
        <v>189</v>
      </c>
      <c r="B4070" t="s">
        <v>203</v>
      </c>
      <c r="C4070">
        <v>67.319330950401167</v>
      </c>
      <c r="D4070">
        <v>60</v>
      </c>
      <c r="E4070">
        <v>12</v>
      </c>
      <c r="F4070">
        <v>800</v>
      </c>
      <c r="G4070">
        <v>6852</v>
      </c>
      <c r="H4070">
        <v>8750</v>
      </c>
    </row>
    <row r="4071" spans="1:8">
      <c r="A4071" s="25" t="s">
        <v>189</v>
      </c>
      <c r="B4071" t="s">
        <v>204</v>
      </c>
      <c r="C4071">
        <v>73.963012055459629</v>
      </c>
      <c r="D4071">
        <v>65</v>
      </c>
      <c r="E4071">
        <v>27</v>
      </c>
      <c r="F4071">
        <v>165</v>
      </c>
      <c r="G4071">
        <v>22</v>
      </c>
      <c r="H4071">
        <v>8750</v>
      </c>
    </row>
    <row r="4072" spans="1:8">
      <c r="A4072" s="25" t="s">
        <v>189</v>
      </c>
      <c r="B4072" t="s">
        <v>205</v>
      </c>
      <c r="C4072">
        <v>69.222976867896762</v>
      </c>
      <c r="D4072">
        <v>60</v>
      </c>
      <c r="E4072">
        <v>15</v>
      </c>
      <c r="F4072">
        <v>600</v>
      </c>
      <c r="G4072">
        <v>1265</v>
      </c>
      <c r="H4072">
        <v>8750</v>
      </c>
    </row>
    <row r="4073" spans="1:8">
      <c r="A4073" s="25" t="s">
        <v>192</v>
      </c>
      <c r="B4073" t="s">
        <v>192</v>
      </c>
      <c r="C4073">
        <v>66.596518314245714</v>
      </c>
      <c r="D4073">
        <v>60</v>
      </c>
      <c r="E4073">
        <v>12</v>
      </c>
      <c r="F4073">
        <v>800</v>
      </c>
      <c r="G4073">
        <v>8750</v>
      </c>
      <c r="H4073">
        <v>8750</v>
      </c>
    </row>
    <row r="4075" spans="1:8" ht="43.5">
      <c r="A4075" s="25" t="s">
        <v>1253</v>
      </c>
    </row>
    <row r="4076" spans="1:8">
      <c r="A4076" s="25" t="s">
        <v>181</v>
      </c>
      <c r="B4076" t="s">
        <v>182</v>
      </c>
      <c r="C4076" t="s">
        <v>183</v>
      </c>
      <c r="D4076" t="s">
        <v>184</v>
      </c>
      <c r="E4076" t="s">
        <v>185</v>
      </c>
      <c r="F4076" t="s">
        <v>186</v>
      </c>
      <c r="G4076" t="s">
        <v>187</v>
      </c>
      <c r="H4076" t="s">
        <v>188</v>
      </c>
    </row>
    <row r="4077" spans="1:8">
      <c r="A4077" s="25" t="s">
        <v>189</v>
      </c>
      <c r="B4077" t="s">
        <v>207</v>
      </c>
      <c r="C4077">
        <v>68.251935761884113</v>
      </c>
      <c r="D4077">
        <v>60</v>
      </c>
      <c r="E4077">
        <v>12</v>
      </c>
      <c r="F4077">
        <v>800</v>
      </c>
      <c r="G4077">
        <v>6118</v>
      </c>
      <c r="H4077">
        <v>8750</v>
      </c>
    </row>
    <row r="4078" spans="1:8">
      <c r="A4078" s="25" t="s">
        <v>189</v>
      </c>
      <c r="B4078" t="s">
        <v>208</v>
      </c>
      <c r="C4078">
        <v>54.448406826206792</v>
      </c>
      <c r="D4078">
        <v>50</v>
      </c>
      <c r="E4078">
        <v>12</v>
      </c>
      <c r="F4078">
        <v>600</v>
      </c>
      <c r="G4078">
        <v>1871</v>
      </c>
      <c r="H4078">
        <v>8750</v>
      </c>
    </row>
    <row r="4079" spans="1:8">
      <c r="A4079" s="25" t="s">
        <v>189</v>
      </c>
      <c r="B4079" t="s">
        <v>209</v>
      </c>
      <c r="C4079">
        <v>86.020739221959388</v>
      </c>
      <c r="D4079">
        <v>80</v>
      </c>
      <c r="E4079">
        <v>15</v>
      </c>
      <c r="F4079">
        <v>330</v>
      </c>
      <c r="G4079">
        <v>761</v>
      </c>
      <c r="H4079">
        <v>8750</v>
      </c>
    </row>
    <row r="4080" spans="1:8">
      <c r="A4080" s="25" t="s">
        <v>192</v>
      </c>
      <c r="B4080" t="s">
        <v>192</v>
      </c>
      <c r="C4080">
        <v>66.596518314245714</v>
      </c>
      <c r="D4080">
        <v>60</v>
      </c>
      <c r="E4080">
        <v>12</v>
      </c>
      <c r="F4080">
        <v>800</v>
      </c>
      <c r="G4080">
        <v>8750</v>
      </c>
      <c r="H4080">
        <v>8750</v>
      </c>
    </row>
    <row r="4082" spans="1:8" ht="43.5">
      <c r="A4082" s="25" t="s">
        <v>1254</v>
      </c>
    </row>
    <row r="4083" spans="1:8">
      <c r="A4083" s="25" t="s">
        <v>181</v>
      </c>
      <c r="B4083" t="s">
        <v>182</v>
      </c>
      <c r="C4083" t="s">
        <v>183</v>
      </c>
      <c r="D4083" t="s">
        <v>184</v>
      </c>
      <c r="E4083" t="s">
        <v>185</v>
      </c>
      <c r="F4083" t="s">
        <v>186</v>
      </c>
      <c r="G4083" t="s">
        <v>187</v>
      </c>
      <c r="H4083" t="s">
        <v>188</v>
      </c>
    </row>
    <row r="4084" spans="1:8">
      <c r="A4084" s="25" t="s">
        <v>189</v>
      </c>
      <c r="B4084" t="s">
        <v>211</v>
      </c>
      <c r="C4084">
        <v>71.135375318382515</v>
      </c>
      <c r="D4084">
        <v>63</v>
      </c>
      <c r="E4084">
        <v>15</v>
      </c>
      <c r="F4084">
        <v>800</v>
      </c>
      <c r="G4084">
        <v>4178</v>
      </c>
      <c r="H4084">
        <v>8750</v>
      </c>
    </row>
    <row r="4085" spans="1:8">
      <c r="A4085" s="25" t="s">
        <v>189</v>
      </c>
      <c r="B4085" t="s">
        <v>212</v>
      </c>
      <c r="C4085">
        <v>59.054415856092326</v>
      </c>
      <c r="D4085">
        <v>54</v>
      </c>
      <c r="E4085">
        <v>12</v>
      </c>
      <c r="F4085">
        <v>250</v>
      </c>
      <c r="G4085">
        <v>2806</v>
      </c>
      <c r="H4085">
        <v>8750</v>
      </c>
    </row>
    <row r="4086" spans="1:8">
      <c r="A4086" s="25" t="s">
        <v>189</v>
      </c>
      <c r="B4086" t="s">
        <v>213</v>
      </c>
      <c r="C4086">
        <v>67.39192128700833</v>
      </c>
      <c r="D4086">
        <v>60</v>
      </c>
      <c r="E4086">
        <v>13</v>
      </c>
      <c r="F4086">
        <v>600</v>
      </c>
      <c r="G4086">
        <v>1766</v>
      </c>
      <c r="H4086">
        <v>8750</v>
      </c>
    </row>
    <row r="4087" spans="1:8">
      <c r="A4087" s="25" t="s">
        <v>192</v>
      </c>
      <c r="B4087" t="s">
        <v>192</v>
      </c>
      <c r="C4087">
        <v>66.596518314245714</v>
      </c>
      <c r="D4087">
        <v>60</v>
      </c>
      <c r="E4087">
        <v>12</v>
      </c>
      <c r="F4087">
        <v>800</v>
      </c>
      <c r="G4087">
        <v>8750</v>
      </c>
      <c r="H4087">
        <v>8750</v>
      </c>
    </row>
    <row r="4089" spans="1:8" ht="43.5">
      <c r="A4089" s="25" t="s">
        <v>1255</v>
      </c>
    </row>
    <row r="4090" spans="1:8">
      <c r="A4090" s="25" t="s">
        <v>181</v>
      </c>
      <c r="B4090" t="s">
        <v>182</v>
      </c>
      <c r="C4090" t="s">
        <v>183</v>
      </c>
      <c r="D4090" t="s">
        <v>184</v>
      </c>
      <c r="E4090" t="s">
        <v>185</v>
      </c>
      <c r="F4090" t="s">
        <v>186</v>
      </c>
      <c r="G4090" t="s">
        <v>187</v>
      </c>
      <c r="H4090" t="s">
        <v>188</v>
      </c>
    </row>
    <row r="4091" spans="1:8">
      <c r="A4091" s="25" t="s">
        <v>189</v>
      </c>
      <c r="B4091" t="s">
        <v>190</v>
      </c>
      <c r="C4091">
        <v>2.7065262841795321</v>
      </c>
      <c r="D4091">
        <v>2</v>
      </c>
      <c r="E4091">
        <v>1</v>
      </c>
      <c r="F4091">
        <v>17</v>
      </c>
      <c r="G4091">
        <v>4879</v>
      </c>
      <c r="H4091">
        <v>10370</v>
      </c>
    </row>
    <row r="4092" spans="1:8">
      <c r="A4092" s="25" t="s">
        <v>189</v>
      </c>
      <c r="B4092" t="s">
        <v>191</v>
      </c>
      <c r="C4092">
        <v>2.4934922444939049</v>
      </c>
      <c r="D4092">
        <v>2</v>
      </c>
      <c r="E4092">
        <v>1</v>
      </c>
      <c r="F4092">
        <v>16</v>
      </c>
      <c r="G4092">
        <v>5435</v>
      </c>
      <c r="H4092">
        <v>10370</v>
      </c>
    </row>
    <row r="4093" spans="1:8">
      <c r="A4093" s="25" t="s">
        <v>192</v>
      </c>
      <c r="B4093" t="s">
        <v>192</v>
      </c>
      <c r="C4093">
        <v>2.5754237714503718</v>
      </c>
      <c r="D4093">
        <v>2</v>
      </c>
      <c r="E4093">
        <v>1</v>
      </c>
      <c r="F4093">
        <v>17</v>
      </c>
      <c r="G4093">
        <v>10370</v>
      </c>
      <c r="H4093">
        <v>10370</v>
      </c>
    </row>
    <row r="4095" spans="1:8" ht="43.5">
      <c r="A4095" s="25" t="s">
        <v>1256</v>
      </c>
    </row>
    <row r="4096" spans="1:8">
      <c r="A4096" s="25" t="s">
        <v>181</v>
      </c>
      <c r="B4096" t="s">
        <v>182</v>
      </c>
      <c r="C4096" t="s">
        <v>183</v>
      </c>
      <c r="D4096" t="s">
        <v>184</v>
      </c>
      <c r="E4096" t="s">
        <v>185</v>
      </c>
      <c r="F4096" t="s">
        <v>186</v>
      </c>
      <c r="G4096" t="s">
        <v>187</v>
      </c>
      <c r="H4096" t="s">
        <v>188</v>
      </c>
    </row>
    <row r="4097" spans="1:8">
      <c r="A4097" s="25" t="s">
        <v>189</v>
      </c>
      <c r="B4097" t="s">
        <v>194</v>
      </c>
      <c r="C4097">
        <v>2.600178702063352</v>
      </c>
      <c r="D4097">
        <v>2</v>
      </c>
      <c r="E4097">
        <v>1</v>
      </c>
      <c r="F4097">
        <v>16</v>
      </c>
      <c r="G4097">
        <v>5917</v>
      </c>
      <c r="H4097">
        <v>10370</v>
      </c>
    </row>
    <row r="4098" spans="1:8">
      <c r="A4098" s="25" t="s">
        <v>189</v>
      </c>
      <c r="B4098" t="s">
        <v>195</v>
      </c>
      <c r="C4098">
        <v>2.4975642983874242</v>
      </c>
      <c r="D4098">
        <v>2</v>
      </c>
      <c r="E4098">
        <v>1</v>
      </c>
      <c r="F4098">
        <v>17</v>
      </c>
      <c r="G4098">
        <v>2694</v>
      </c>
      <c r="H4098">
        <v>10370</v>
      </c>
    </row>
    <row r="4099" spans="1:8">
      <c r="A4099" s="25" t="s">
        <v>189</v>
      </c>
      <c r="B4099" t="s">
        <v>196</v>
      </c>
      <c r="C4099">
        <v>2.5410806144369968</v>
      </c>
      <c r="D4099">
        <v>2</v>
      </c>
      <c r="E4099">
        <v>1</v>
      </c>
      <c r="F4099">
        <v>15</v>
      </c>
      <c r="G4099">
        <v>1703</v>
      </c>
      <c r="H4099">
        <v>10370</v>
      </c>
    </row>
    <row r="4100" spans="1:8">
      <c r="A4100" s="25" t="s">
        <v>192</v>
      </c>
      <c r="B4100" t="s">
        <v>192</v>
      </c>
      <c r="C4100">
        <v>2.5754237714503718</v>
      </c>
      <c r="D4100">
        <v>2</v>
      </c>
      <c r="E4100">
        <v>1</v>
      </c>
      <c r="F4100">
        <v>17</v>
      </c>
      <c r="G4100">
        <v>10370</v>
      </c>
      <c r="H4100">
        <v>10370</v>
      </c>
    </row>
    <row r="4102" spans="1:8" ht="43.5">
      <c r="A4102" s="25" t="s">
        <v>1257</v>
      </c>
    </row>
    <row r="4103" spans="1:8">
      <c r="A4103" s="25" t="s">
        <v>181</v>
      </c>
      <c r="B4103" t="s">
        <v>182</v>
      </c>
      <c r="C4103" t="s">
        <v>183</v>
      </c>
      <c r="D4103" t="s">
        <v>184</v>
      </c>
      <c r="E4103" t="s">
        <v>185</v>
      </c>
      <c r="F4103" t="s">
        <v>186</v>
      </c>
      <c r="G4103" t="s">
        <v>187</v>
      </c>
      <c r="H4103" t="s">
        <v>188</v>
      </c>
    </row>
    <row r="4104" spans="1:8">
      <c r="A4104" s="25" t="s">
        <v>189</v>
      </c>
      <c r="B4104" t="s">
        <v>198</v>
      </c>
      <c r="C4104">
        <v>2.425452439573792</v>
      </c>
      <c r="D4104">
        <v>2</v>
      </c>
      <c r="E4104">
        <v>1</v>
      </c>
      <c r="F4104">
        <v>15</v>
      </c>
      <c r="G4104">
        <v>2243</v>
      </c>
      <c r="H4104">
        <v>10370</v>
      </c>
    </row>
    <row r="4105" spans="1:8">
      <c r="A4105" s="25" t="s">
        <v>189</v>
      </c>
      <c r="B4105" t="s">
        <v>199</v>
      </c>
      <c r="C4105">
        <v>2.608881291560126</v>
      </c>
      <c r="D4105">
        <v>2</v>
      </c>
      <c r="E4105">
        <v>1</v>
      </c>
      <c r="F4105">
        <v>17</v>
      </c>
      <c r="G4105">
        <v>8127</v>
      </c>
      <c r="H4105">
        <v>10370</v>
      </c>
    </row>
    <row r="4106" spans="1:8">
      <c r="A4106" s="25" t="s">
        <v>192</v>
      </c>
      <c r="B4106" t="s">
        <v>192</v>
      </c>
      <c r="C4106">
        <v>2.5754237714503718</v>
      </c>
      <c r="D4106">
        <v>2</v>
      </c>
      <c r="E4106">
        <v>1</v>
      </c>
      <c r="F4106">
        <v>17</v>
      </c>
      <c r="G4106">
        <v>10370</v>
      </c>
      <c r="H4106">
        <v>10370</v>
      </c>
    </row>
    <row r="4108" spans="1:8" ht="43.5">
      <c r="A4108" s="25" t="s">
        <v>1258</v>
      </c>
    </row>
    <row r="4109" spans="1:8">
      <c r="A4109" s="25" t="s">
        <v>181</v>
      </c>
      <c r="B4109" t="s">
        <v>182</v>
      </c>
      <c r="C4109" t="s">
        <v>183</v>
      </c>
      <c r="D4109" t="s">
        <v>184</v>
      </c>
      <c r="E4109" t="s">
        <v>185</v>
      </c>
      <c r="F4109" t="s">
        <v>186</v>
      </c>
      <c r="G4109" t="s">
        <v>187</v>
      </c>
      <c r="H4109" t="s">
        <v>188</v>
      </c>
    </row>
    <row r="4110" spans="1:8">
      <c r="A4110" s="25" t="s">
        <v>189</v>
      </c>
      <c r="B4110" t="s">
        <v>201</v>
      </c>
      <c r="C4110">
        <v>2.9193777814633339</v>
      </c>
      <c r="D4110">
        <v>3</v>
      </c>
      <c r="E4110">
        <v>1</v>
      </c>
      <c r="F4110">
        <v>10</v>
      </c>
      <c r="G4110">
        <v>736</v>
      </c>
      <c r="H4110">
        <v>10370</v>
      </c>
    </row>
    <row r="4111" spans="1:8">
      <c r="A4111" s="25" t="s">
        <v>189</v>
      </c>
      <c r="B4111" t="s">
        <v>202</v>
      </c>
      <c r="C4111">
        <v>2.8961967454555322</v>
      </c>
      <c r="D4111">
        <v>3</v>
      </c>
      <c r="E4111">
        <v>1</v>
      </c>
      <c r="F4111">
        <v>10</v>
      </c>
      <c r="G4111">
        <v>108</v>
      </c>
      <c r="H4111">
        <v>10370</v>
      </c>
    </row>
    <row r="4112" spans="1:8">
      <c r="A4112" s="25" t="s">
        <v>189</v>
      </c>
      <c r="B4112" t="s">
        <v>203</v>
      </c>
      <c r="C4112">
        <v>2.492477575213834</v>
      </c>
      <c r="D4112">
        <v>2</v>
      </c>
      <c r="E4112">
        <v>1</v>
      </c>
      <c r="F4112">
        <v>17</v>
      </c>
      <c r="G4112">
        <v>8020</v>
      </c>
      <c r="H4112">
        <v>10370</v>
      </c>
    </row>
    <row r="4113" spans="1:8">
      <c r="A4113" s="25" t="s">
        <v>189</v>
      </c>
      <c r="B4113" t="s">
        <v>204</v>
      </c>
      <c r="C4113">
        <v>2.2480347160955398</v>
      </c>
      <c r="D4113">
        <v>2</v>
      </c>
      <c r="E4113">
        <v>1</v>
      </c>
      <c r="F4113">
        <v>6</v>
      </c>
      <c r="G4113">
        <v>28</v>
      </c>
      <c r="H4113">
        <v>10370</v>
      </c>
    </row>
    <row r="4114" spans="1:8">
      <c r="A4114" s="25" t="s">
        <v>189</v>
      </c>
      <c r="B4114" t="s">
        <v>205</v>
      </c>
      <c r="C4114">
        <v>2.8758369026934729</v>
      </c>
      <c r="D4114">
        <v>3</v>
      </c>
      <c r="E4114">
        <v>1</v>
      </c>
      <c r="F4114">
        <v>12</v>
      </c>
      <c r="G4114">
        <v>1478</v>
      </c>
      <c r="H4114">
        <v>10370</v>
      </c>
    </row>
    <row r="4115" spans="1:8">
      <c r="A4115" s="25" t="s">
        <v>192</v>
      </c>
      <c r="B4115" t="s">
        <v>192</v>
      </c>
      <c r="C4115">
        <v>2.5754237714503718</v>
      </c>
      <c r="D4115">
        <v>2</v>
      </c>
      <c r="E4115">
        <v>1</v>
      </c>
      <c r="F4115">
        <v>17</v>
      </c>
      <c r="G4115">
        <v>10370</v>
      </c>
      <c r="H4115">
        <v>10370</v>
      </c>
    </row>
    <row r="4117" spans="1:8" ht="43.5">
      <c r="A4117" s="25" t="s">
        <v>1259</v>
      </c>
    </row>
    <row r="4118" spans="1:8">
      <c r="A4118" s="25" t="s">
        <v>181</v>
      </c>
      <c r="B4118" t="s">
        <v>182</v>
      </c>
      <c r="C4118" t="s">
        <v>183</v>
      </c>
      <c r="D4118" t="s">
        <v>184</v>
      </c>
      <c r="E4118" t="s">
        <v>185</v>
      </c>
      <c r="F4118" t="s">
        <v>186</v>
      </c>
      <c r="G4118" t="s">
        <v>187</v>
      </c>
      <c r="H4118" t="s">
        <v>188</v>
      </c>
    </row>
    <row r="4119" spans="1:8">
      <c r="A4119" s="25" t="s">
        <v>189</v>
      </c>
      <c r="B4119" t="s">
        <v>207</v>
      </c>
      <c r="C4119">
        <v>2.6667177574539318</v>
      </c>
      <c r="D4119">
        <v>2</v>
      </c>
      <c r="E4119">
        <v>1</v>
      </c>
      <c r="F4119">
        <v>16</v>
      </c>
      <c r="G4119">
        <v>7219</v>
      </c>
      <c r="H4119">
        <v>10370</v>
      </c>
    </row>
    <row r="4120" spans="1:8">
      <c r="A4120" s="25" t="s">
        <v>189</v>
      </c>
      <c r="B4120" t="s">
        <v>208</v>
      </c>
      <c r="C4120">
        <v>1.25787964767698</v>
      </c>
      <c r="D4120">
        <v>1</v>
      </c>
      <c r="E4120">
        <v>1</v>
      </c>
      <c r="F4120">
        <v>15</v>
      </c>
      <c r="G4120">
        <v>2221</v>
      </c>
      <c r="H4120">
        <v>10370</v>
      </c>
    </row>
    <row r="4121" spans="1:8">
      <c r="A4121" s="25" t="s">
        <v>189</v>
      </c>
      <c r="B4121" t="s">
        <v>209</v>
      </c>
      <c r="C4121">
        <v>5.5149681851776906</v>
      </c>
      <c r="D4121">
        <v>5</v>
      </c>
      <c r="E4121">
        <v>1</v>
      </c>
      <c r="F4121">
        <v>17</v>
      </c>
      <c r="G4121">
        <v>930</v>
      </c>
      <c r="H4121">
        <v>10370</v>
      </c>
    </row>
    <row r="4122" spans="1:8">
      <c r="A4122" s="25" t="s">
        <v>192</v>
      </c>
      <c r="B4122" t="s">
        <v>192</v>
      </c>
      <c r="C4122">
        <v>2.5754237714503718</v>
      </c>
      <c r="D4122">
        <v>2</v>
      </c>
      <c r="E4122">
        <v>1</v>
      </c>
      <c r="F4122">
        <v>17</v>
      </c>
      <c r="G4122">
        <v>10370</v>
      </c>
      <c r="H4122">
        <v>10370</v>
      </c>
    </row>
    <row r="4124" spans="1:8" ht="43.5">
      <c r="A4124" s="25" t="s">
        <v>1260</v>
      </c>
    </row>
    <row r="4125" spans="1:8">
      <c r="A4125" s="25" t="s">
        <v>181</v>
      </c>
      <c r="B4125" t="s">
        <v>182</v>
      </c>
      <c r="C4125" t="s">
        <v>183</v>
      </c>
      <c r="D4125" t="s">
        <v>184</v>
      </c>
      <c r="E4125" t="s">
        <v>185</v>
      </c>
      <c r="F4125" t="s">
        <v>186</v>
      </c>
      <c r="G4125" t="s">
        <v>187</v>
      </c>
      <c r="H4125" t="s">
        <v>188</v>
      </c>
    </row>
    <row r="4126" spans="1:8">
      <c r="A4126" s="25" t="s">
        <v>189</v>
      </c>
      <c r="B4126" t="s">
        <v>211</v>
      </c>
      <c r="C4126">
        <v>2.983115254916465</v>
      </c>
      <c r="D4126">
        <v>3</v>
      </c>
      <c r="E4126">
        <v>1</v>
      </c>
      <c r="F4126">
        <v>17</v>
      </c>
      <c r="G4126">
        <v>4957</v>
      </c>
      <c r="H4126">
        <v>10370</v>
      </c>
    </row>
    <row r="4127" spans="1:8">
      <c r="A4127" s="25" t="s">
        <v>189</v>
      </c>
      <c r="B4127" t="s">
        <v>212</v>
      </c>
      <c r="C4127">
        <v>2.0516560654968461</v>
      </c>
      <c r="D4127">
        <v>2</v>
      </c>
      <c r="E4127">
        <v>1</v>
      </c>
      <c r="F4127">
        <v>16</v>
      </c>
      <c r="G4127">
        <v>3346</v>
      </c>
      <c r="H4127">
        <v>10370</v>
      </c>
    </row>
    <row r="4128" spans="1:8">
      <c r="A4128" s="25" t="s">
        <v>189</v>
      </c>
      <c r="B4128" t="s">
        <v>213</v>
      </c>
      <c r="C4128">
        <v>2.436121801530601</v>
      </c>
      <c r="D4128">
        <v>2</v>
      </c>
      <c r="E4128">
        <v>1</v>
      </c>
      <c r="F4128">
        <v>12</v>
      </c>
      <c r="G4128">
        <v>2067</v>
      </c>
      <c r="H4128">
        <v>10370</v>
      </c>
    </row>
    <row r="4129" spans="1:8">
      <c r="A4129" s="25" t="s">
        <v>192</v>
      </c>
      <c r="B4129" t="s">
        <v>192</v>
      </c>
      <c r="C4129">
        <v>2.5754237714503718</v>
      </c>
      <c r="D4129">
        <v>2</v>
      </c>
      <c r="E4129">
        <v>1</v>
      </c>
      <c r="F4129">
        <v>17</v>
      </c>
      <c r="G4129">
        <v>10370</v>
      </c>
      <c r="H4129">
        <v>10370</v>
      </c>
    </row>
    <row r="4131" spans="1:8" ht="29.1">
      <c r="A4131" s="25" t="s">
        <v>1261</v>
      </c>
    </row>
    <row r="4132" spans="1:8">
      <c r="A4132" s="25" t="s">
        <v>181</v>
      </c>
      <c r="B4132" t="s">
        <v>182</v>
      </c>
      <c r="C4132" t="s">
        <v>183</v>
      </c>
      <c r="D4132" t="s">
        <v>184</v>
      </c>
      <c r="E4132" t="s">
        <v>185</v>
      </c>
      <c r="F4132" t="s">
        <v>186</v>
      </c>
      <c r="G4132" t="s">
        <v>187</v>
      </c>
      <c r="H4132" t="s">
        <v>188</v>
      </c>
    </row>
    <row r="4133" spans="1:8">
      <c r="A4133" s="25" t="s">
        <v>189</v>
      </c>
      <c r="B4133" t="s">
        <v>190</v>
      </c>
      <c r="C4133">
        <v>36.304437524519081</v>
      </c>
      <c r="D4133">
        <v>30</v>
      </c>
      <c r="E4133">
        <v>2.2727272727272698</v>
      </c>
      <c r="F4133">
        <v>600</v>
      </c>
      <c r="G4133">
        <v>4005</v>
      </c>
      <c r="H4133">
        <v>8745</v>
      </c>
    </row>
    <row r="4134" spans="1:8">
      <c r="A4134" s="25" t="s">
        <v>189</v>
      </c>
      <c r="B4134" t="s">
        <v>191</v>
      </c>
      <c r="C4134">
        <v>29.614118737834609</v>
      </c>
      <c r="D4134">
        <v>24.5</v>
      </c>
      <c r="E4134">
        <v>0.9375</v>
      </c>
      <c r="F4134">
        <v>248</v>
      </c>
      <c r="G4134">
        <v>4698</v>
      </c>
      <c r="H4134">
        <v>8745</v>
      </c>
    </row>
    <row r="4135" spans="1:8">
      <c r="A4135" s="25" t="s">
        <v>192</v>
      </c>
      <c r="B4135" t="s">
        <v>192</v>
      </c>
      <c r="C4135">
        <v>32.150740092785227</v>
      </c>
      <c r="D4135">
        <v>26.5</v>
      </c>
      <c r="E4135">
        <v>0.9375</v>
      </c>
      <c r="F4135">
        <v>600</v>
      </c>
      <c r="G4135">
        <v>8745</v>
      </c>
      <c r="H4135">
        <v>8745</v>
      </c>
    </row>
    <row r="4137" spans="1:8" ht="29.1">
      <c r="A4137" s="25" t="s">
        <v>1262</v>
      </c>
    </row>
    <row r="4138" spans="1:8">
      <c r="A4138" s="25" t="s">
        <v>181</v>
      </c>
      <c r="B4138" t="s">
        <v>182</v>
      </c>
      <c r="C4138" t="s">
        <v>183</v>
      </c>
      <c r="D4138" t="s">
        <v>184</v>
      </c>
      <c r="E4138" t="s">
        <v>185</v>
      </c>
      <c r="F4138" t="s">
        <v>186</v>
      </c>
      <c r="G4138" t="s">
        <v>187</v>
      </c>
      <c r="H4138" t="s">
        <v>188</v>
      </c>
    </row>
    <row r="4139" spans="1:8">
      <c r="A4139" s="25" t="s">
        <v>189</v>
      </c>
      <c r="B4139" t="s">
        <v>194</v>
      </c>
      <c r="C4139">
        <v>33.339103296150668</v>
      </c>
      <c r="D4139">
        <v>27.5</v>
      </c>
      <c r="E4139">
        <v>2</v>
      </c>
      <c r="F4139">
        <v>600</v>
      </c>
      <c r="G4139">
        <v>5055</v>
      </c>
      <c r="H4139">
        <v>8745</v>
      </c>
    </row>
    <row r="4140" spans="1:8">
      <c r="A4140" s="25" t="s">
        <v>189</v>
      </c>
      <c r="B4140" t="s">
        <v>195</v>
      </c>
      <c r="C4140">
        <v>29.89925470911205</v>
      </c>
      <c r="D4140">
        <v>25</v>
      </c>
      <c r="E4140">
        <v>0.9375</v>
      </c>
      <c r="F4140">
        <v>184.666666666667</v>
      </c>
      <c r="G4140">
        <v>2253</v>
      </c>
      <c r="H4140">
        <v>8745</v>
      </c>
    </row>
    <row r="4141" spans="1:8">
      <c r="A4141" s="25" t="s">
        <v>189</v>
      </c>
      <c r="B4141" t="s">
        <v>196</v>
      </c>
      <c r="C4141">
        <v>27.62582343442763</v>
      </c>
      <c r="D4141">
        <v>22.5</v>
      </c>
      <c r="E4141">
        <v>2.1428571428571401</v>
      </c>
      <c r="F4141">
        <v>248</v>
      </c>
      <c r="G4141">
        <v>1395</v>
      </c>
      <c r="H4141">
        <v>8745</v>
      </c>
    </row>
    <row r="4142" spans="1:8">
      <c r="A4142" s="25" t="s">
        <v>192</v>
      </c>
      <c r="B4142" t="s">
        <v>192</v>
      </c>
      <c r="C4142">
        <v>32.150740092785227</v>
      </c>
      <c r="D4142">
        <v>26.5</v>
      </c>
      <c r="E4142">
        <v>0.9375</v>
      </c>
      <c r="F4142">
        <v>600</v>
      </c>
      <c r="G4142">
        <v>8745</v>
      </c>
      <c r="H4142">
        <v>8745</v>
      </c>
    </row>
    <row r="4144" spans="1:8" ht="29.1">
      <c r="A4144" s="25" t="s">
        <v>1263</v>
      </c>
    </row>
    <row r="4145" spans="1:8">
      <c r="A4145" s="25" t="s">
        <v>181</v>
      </c>
      <c r="B4145" t="s">
        <v>182</v>
      </c>
      <c r="C4145" t="s">
        <v>183</v>
      </c>
      <c r="D4145" t="s">
        <v>184</v>
      </c>
      <c r="E4145" t="s">
        <v>185</v>
      </c>
      <c r="F4145" t="s">
        <v>186</v>
      </c>
      <c r="G4145" t="s">
        <v>187</v>
      </c>
      <c r="H4145" t="s">
        <v>188</v>
      </c>
    </row>
    <row r="4146" spans="1:8">
      <c r="A4146" s="25" t="s">
        <v>189</v>
      </c>
      <c r="B4146" t="s">
        <v>198</v>
      </c>
      <c r="C4146">
        <v>33.756966223869391</v>
      </c>
      <c r="D4146">
        <v>28.5</v>
      </c>
      <c r="E4146">
        <v>2.3333333333333299</v>
      </c>
      <c r="F4146">
        <v>248</v>
      </c>
      <c r="G4146">
        <v>1922</v>
      </c>
      <c r="H4146">
        <v>8745</v>
      </c>
    </row>
    <row r="4147" spans="1:8">
      <c r="A4147" s="25" t="s">
        <v>189</v>
      </c>
      <c r="B4147" t="s">
        <v>199</v>
      </c>
      <c r="C4147">
        <v>31.783205190697672</v>
      </c>
      <c r="D4147">
        <v>25.5</v>
      </c>
      <c r="E4147">
        <v>0.9375</v>
      </c>
      <c r="F4147">
        <v>600</v>
      </c>
      <c r="G4147">
        <v>6823</v>
      </c>
      <c r="H4147">
        <v>8745</v>
      </c>
    </row>
    <row r="4148" spans="1:8">
      <c r="A4148" s="25" t="s">
        <v>192</v>
      </c>
      <c r="B4148" t="s">
        <v>192</v>
      </c>
      <c r="C4148">
        <v>32.150740092785227</v>
      </c>
      <c r="D4148">
        <v>26.5</v>
      </c>
      <c r="E4148">
        <v>0.9375</v>
      </c>
      <c r="F4148">
        <v>600</v>
      </c>
      <c r="G4148">
        <v>8745</v>
      </c>
      <c r="H4148">
        <v>8745</v>
      </c>
    </row>
    <row r="4150" spans="1:8" ht="29.1">
      <c r="A4150" s="25" t="s">
        <v>1264</v>
      </c>
    </row>
    <row r="4151" spans="1:8">
      <c r="A4151" s="25" t="s">
        <v>181</v>
      </c>
      <c r="B4151" t="s">
        <v>182</v>
      </c>
      <c r="C4151" t="s">
        <v>183</v>
      </c>
      <c r="D4151" t="s">
        <v>184</v>
      </c>
      <c r="E4151" t="s">
        <v>185</v>
      </c>
      <c r="F4151" t="s">
        <v>186</v>
      </c>
      <c r="G4151" t="s">
        <v>187</v>
      </c>
      <c r="H4151" t="s">
        <v>188</v>
      </c>
    </row>
    <row r="4152" spans="1:8">
      <c r="A4152" s="25" t="s">
        <v>189</v>
      </c>
      <c r="B4152" t="s">
        <v>201</v>
      </c>
      <c r="C4152">
        <v>20.22914757041011</v>
      </c>
      <c r="D4152">
        <v>17.5</v>
      </c>
      <c r="E4152">
        <v>2.1428571428571401</v>
      </c>
      <c r="F4152">
        <v>156</v>
      </c>
      <c r="G4152">
        <v>526</v>
      </c>
      <c r="H4152">
        <v>8745</v>
      </c>
    </row>
    <row r="4153" spans="1:8">
      <c r="A4153" s="25" t="s">
        <v>189</v>
      </c>
      <c r="B4153" t="s">
        <v>202</v>
      </c>
      <c r="C4153">
        <v>23.761370707791869</v>
      </c>
      <c r="D4153">
        <v>20</v>
      </c>
      <c r="E4153">
        <v>4.5</v>
      </c>
      <c r="F4153">
        <v>150</v>
      </c>
      <c r="G4153">
        <v>84</v>
      </c>
      <c r="H4153">
        <v>8745</v>
      </c>
    </row>
    <row r="4154" spans="1:8">
      <c r="A4154" s="25" t="s">
        <v>189</v>
      </c>
      <c r="B4154" t="s">
        <v>203</v>
      </c>
      <c r="C4154">
        <v>33.545106027466488</v>
      </c>
      <c r="D4154">
        <v>28.3333333333333</v>
      </c>
      <c r="E4154">
        <v>0.9375</v>
      </c>
      <c r="F4154">
        <v>400</v>
      </c>
      <c r="G4154">
        <v>6850</v>
      </c>
      <c r="H4154">
        <v>8745</v>
      </c>
    </row>
    <row r="4155" spans="1:8">
      <c r="A4155" s="25" t="s">
        <v>189</v>
      </c>
      <c r="B4155" t="s">
        <v>204</v>
      </c>
      <c r="C4155">
        <v>36.110862627501</v>
      </c>
      <c r="D4155">
        <v>30</v>
      </c>
      <c r="E4155">
        <v>15.6666666666667</v>
      </c>
      <c r="F4155">
        <v>81</v>
      </c>
      <c r="G4155">
        <v>21</v>
      </c>
      <c r="H4155">
        <v>8745</v>
      </c>
    </row>
    <row r="4156" spans="1:8">
      <c r="A4156" s="25" t="s">
        <v>189</v>
      </c>
      <c r="B4156" t="s">
        <v>205</v>
      </c>
      <c r="C4156">
        <v>29.250987764782501</v>
      </c>
      <c r="D4156">
        <v>22.5</v>
      </c>
      <c r="E4156">
        <v>3</v>
      </c>
      <c r="F4156">
        <v>600</v>
      </c>
      <c r="G4156">
        <v>1264</v>
      </c>
      <c r="H4156">
        <v>8745</v>
      </c>
    </row>
    <row r="4157" spans="1:8">
      <c r="A4157" s="25" t="s">
        <v>192</v>
      </c>
      <c r="B4157" t="s">
        <v>192</v>
      </c>
      <c r="C4157">
        <v>32.150740092785227</v>
      </c>
      <c r="D4157">
        <v>26.5</v>
      </c>
      <c r="E4157">
        <v>0.9375</v>
      </c>
      <c r="F4157">
        <v>600</v>
      </c>
      <c r="G4157">
        <v>8745</v>
      </c>
      <c r="H4157">
        <v>8745</v>
      </c>
    </row>
    <row r="4159" spans="1:8" ht="29.1">
      <c r="A4159" s="25" t="s">
        <v>1265</v>
      </c>
    </row>
    <row r="4160" spans="1:8">
      <c r="A4160" s="25" t="s">
        <v>181</v>
      </c>
      <c r="B4160" t="s">
        <v>182</v>
      </c>
      <c r="C4160" t="s">
        <v>183</v>
      </c>
      <c r="D4160" t="s">
        <v>184</v>
      </c>
      <c r="E4160" t="s">
        <v>185</v>
      </c>
      <c r="F4160" t="s">
        <v>186</v>
      </c>
      <c r="G4160" t="s">
        <v>187</v>
      </c>
      <c r="H4160" t="s">
        <v>188</v>
      </c>
    </row>
    <row r="4161" spans="1:10">
      <c r="A4161" s="25" t="s">
        <v>189</v>
      </c>
      <c r="B4161" t="s">
        <v>207</v>
      </c>
      <c r="C4161">
        <v>27.507382364674179</v>
      </c>
      <c r="D4161">
        <v>24.3333333333333</v>
      </c>
      <c r="E4161">
        <v>0.9375</v>
      </c>
      <c r="F4161">
        <v>400</v>
      </c>
      <c r="G4161">
        <v>6114</v>
      </c>
      <c r="H4161">
        <v>8745</v>
      </c>
    </row>
    <row r="4162" spans="1:10">
      <c r="A4162" s="25" t="s">
        <v>189</v>
      </c>
      <c r="B4162" t="s">
        <v>208</v>
      </c>
      <c r="C4162">
        <v>52.61510392640195</v>
      </c>
      <c r="D4162">
        <v>50</v>
      </c>
      <c r="E4162">
        <v>2</v>
      </c>
      <c r="F4162">
        <v>600</v>
      </c>
      <c r="G4162">
        <v>1871</v>
      </c>
      <c r="H4162">
        <v>8745</v>
      </c>
    </row>
    <row r="4163" spans="1:10">
      <c r="A4163" s="25" t="s">
        <v>189</v>
      </c>
      <c r="B4163" t="s">
        <v>209</v>
      </c>
      <c r="C4163">
        <v>16.249078905225051</v>
      </c>
      <c r="D4163">
        <v>14.4</v>
      </c>
      <c r="E4163">
        <v>2.1428571428571401</v>
      </c>
      <c r="F4163">
        <v>93</v>
      </c>
      <c r="G4163">
        <v>760</v>
      </c>
      <c r="H4163">
        <v>8745</v>
      </c>
    </row>
    <row r="4164" spans="1:10">
      <c r="A4164" s="25" t="s">
        <v>192</v>
      </c>
      <c r="B4164" t="s">
        <v>192</v>
      </c>
      <c r="C4164">
        <v>32.150740092785227</v>
      </c>
      <c r="D4164">
        <v>26.5</v>
      </c>
      <c r="E4164">
        <v>0.9375</v>
      </c>
      <c r="F4164">
        <v>600</v>
      </c>
      <c r="G4164">
        <v>8745</v>
      </c>
      <c r="H4164">
        <v>8745</v>
      </c>
    </row>
    <row r="4166" spans="1:10" ht="29.1">
      <c r="A4166" s="25" t="s">
        <v>1266</v>
      </c>
    </row>
    <row r="4167" spans="1:10">
      <c r="A4167" s="25" t="s">
        <v>181</v>
      </c>
      <c r="B4167" t="s">
        <v>182</v>
      </c>
      <c r="C4167" t="s">
        <v>183</v>
      </c>
      <c r="D4167" t="s">
        <v>184</v>
      </c>
      <c r="E4167" t="s">
        <v>185</v>
      </c>
      <c r="F4167" t="s">
        <v>186</v>
      </c>
      <c r="G4167" t="s">
        <v>187</v>
      </c>
      <c r="H4167" t="s">
        <v>188</v>
      </c>
    </row>
    <row r="4168" spans="1:10">
      <c r="A4168" s="25" t="s">
        <v>189</v>
      </c>
      <c r="B4168" t="s">
        <v>211</v>
      </c>
      <c r="C4168">
        <v>26.573527426925121</v>
      </c>
      <c r="D4168">
        <v>23.3333333333333</v>
      </c>
      <c r="E4168">
        <v>3.6</v>
      </c>
      <c r="F4168">
        <v>400</v>
      </c>
      <c r="G4168">
        <v>4175</v>
      </c>
      <c r="H4168">
        <v>8745</v>
      </c>
    </row>
    <row r="4169" spans="1:10">
      <c r="A4169" s="25" t="s">
        <v>189</v>
      </c>
      <c r="B4169" t="s">
        <v>212</v>
      </c>
      <c r="C4169">
        <v>38.721577810638372</v>
      </c>
      <c r="D4169">
        <v>33.5</v>
      </c>
      <c r="E4169">
        <v>0.9375</v>
      </c>
      <c r="F4169">
        <v>248</v>
      </c>
      <c r="G4169">
        <v>2805</v>
      </c>
      <c r="H4169">
        <v>8745</v>
      </c>
    </row>
    <row r="4170" spans="1:10">
      <c r="A4170" s="25" t="s">
        <v>189</v>
      </c>
      <c r="B4170" t="s">
        <v>213</v>
      </c>
      <c r="C4170">
        <v>34.919917672300777</v>
      </c>
      <c r="D4170">
        <v>30</v>
      </c>
      <c r="E4170">
        <v>2</v>
      </c>
      <c r="F4170">
        <v>600</v>
      </c>
      <c r="G4170">
        <v>1765</v>
      </c>
      <c r="H4170">
        <v>8745</v>
      </c>
    </row>
    <row r="4171" spans="1:10">
      <c r="A4171" s="25" t="s">
        <v>192</v>
      </c>
      <c r="B4171" t="s">
        <v>192</v>
      </c>
      <c r="C4171">
        <v>32.150740092785227</v>
      </c>
      <c r="D4171">
        <v>26.5</v>
      </c>
      <c r="E4171">
        <v>0.9375</v>
      </c>
      <c r="F4171">
        <v>600</v>
      </c>
      <c r="G4171">
        <v>8745</v>
      </c>
      <c r="H4171">
        <v>8745</v>
      </c>
    </row>
    <row r="4173" spans="1:10" ht="43.5">
      <c r="A4173" s="25" t="s">
        <v>1267</v>
      </c>
    </row>
    <row r="4174" spans="1:10">
      <c r="A4174" s="25" t="s">
        <v>182</v>
      </c>
      <c r="B4174" t="s">
        <v>219</v>
      </c>
      <c r="C4174" t="s">
        <v>181</v>
      </c>
      <c r="D4174" t="s">
        <v>188</v>
      </c>
      <c r="E4174" t="s">
        <v>241</v>
      </c>
      <c r="F4174" t="s">
        <v>1268</v>
      </c>
      <c r="G4174" t="s">
        <v>1269</v>
      </c>
      <c r="H4174" t="s">
        <v>1270</v>
      </c>
      <c r="I4174" t="s">
        <v>243</v>
      </c>
      <c r="J4174" t="s">
        <v>1271</v>
      </c>
    </row>
    <row r="4175" spans="1:10">
      <c r="A4175" s="25" t="s">
        <v>190</v>
      </c>
      <c r="B4175">
        <v>4888</v>
      </c>
      <c r="C4175" t="s">
        <v>189</v>
      </c>
      <c r="D4175">
        <v>10394</v>
      </c>
      <c r="E4175" s="1">
        <v>1E-4</v>
      </c>
      <c r="F4175" s="1">
        <v>2.7799999999999998E-2</v>
      </c>
      <c r="G4175" s="1">
        <v>3.0999999999999999E-3</v>
      </c>
      <c r="H4175" s="1">
        <v>0.94430000000000003</v>
      </c>
      <c r="I4175" s="1">
        <v>2.9999999999999997E-4</v>
      </c>
      <c r="J4175" s="1">
        <v>2.4299999999999999E-2</v>
      </c>
    </row>
    <row r="4176" spans="1:10">
      <c r="A4176" s="25" t="s">
        <v>191</v>
      </c>
      <c r="B4176">
        <v>5449</v>
      </c>
      <c r="C4176" t="s">
        <v>189</v>
      </c>
      <c r="D4176">
        <v>10394</v>
      </c>
      <c r="E4176" s="1">
        <v>1.2999999999999999E-3</v>
      </c>
      <c r="F4176" s="1">
        <v>2.7E-2</v>
      </c>
      <c r="G4176" s="1">
        <v>5.9999999999999995E-4</v>
      </c>
      <c r="H4176" s="1">
        <v>0.80169999999999997</v>
      </c>
      <c r="I4176" s="1">
        <v>5.0000000000000001E-4</v>
      </c>
      <c r="J4176" s="1">
        <v>0.16900000000000001</v>
      </c>
    </row>
    <row r="4177" spans="1:10">
      <c r="A4177" s="25" t="s">
        <v>192</v>
      </c>
      <c r="B4177">
        <v>10394</v>
      </c>
      <c r="C4177" t="s">
        <v>192</v>
      </c>
      <c r="D4177">
        <v>10394</v>
      </c>
      <c r="E4177" s="1">
        <v>8.0000000000000004E-4</v>
      </c>
      <c r="F4177" s="1">
        <v>2.7400000000000001E-2</v>
      </c>
      <c r="G4177" s="1">
        <v>1.5E-3</v>
      </c>
      <c r="H4177" s="1">
        <v>0.85609999999999997</v>
      </c>
      <c r="I4177" s="1">
        <v>4.0000000000000002E-4</v>
      </c>
      <c r="J4177" s="1">
        <v>0.1138</v>
      </c>
    </row>
    <row r="4179" spans="1:10" ht="43.5">
      <c r="A4179" s="25" t="s">
        <v>1272</v>
      </c>
    </row>
    <row r="4180" spans="1:10">
      <c r="A4180" s="25" t="s">
        <v>182</v>
      </c>
      <c r="B4180" t="s">
        <v>219</v>
      </c>
      <c r="C4180" t="s">
        <v>181</v>
      </c>
      <c r="D4180" t="s">
        <v>188</v>
      </c>
      <c r="E4180" t="s">
        <v>241</v>
      </c>
      <c r="F4180" t="s">
        <v>1268</v>
      </c>
      <c r="G4180" t="s">
        <v>1269</v>
      </c>
      <c r="H4180" t="s">
        <v>1270</v>
      </c>
      <c r="I4180" t="s">
        <v>243</v>
      </c>
      <c r="J4180" t="s">
        <v>1271</v>
      </c>
    </row>
    <row r="4181" spans="1:10" ht="29.1">
      <c r="A4181" s="25" t="s">
        <v>194</v>
      </c>
      <c r="B4181">
        <v>5930</v>
      </c>
      <c r="C4181" t="s">
        <v>189</v>
      </c>
      <c r="D4181">
        <v>10394</v>
      </c>
      <c r="E4181" s="1">
        <v>5.0000000000000001E-4</v>
      </c>
      <c r="F4181" s="1">
        <v>2.3900000000000001E-2</v>
      </c>
      <c r="G4181" s="1">
        <v>1.4E-3</v>
      </c>
      <c r="H4181" s="1">
        <v>0.87250000000000005</v>
      </c>
      <c r="I4181" s="1">
        <v>4.0000000000000002E-4</v>
      </c>
      <c r="J4181" s="1">
        <v>0.1013</v>
      </c>
    </row>
    <row r="4182" spans="1:10" ht="29.1">
      <c r="A4182" s="25" t="s">
        <v>195</v>
      </c>
      <c r="B4182">
        <v>2699</v>
      </c>
      <c r="C4182" t="s">
        <v>189</v>
      </c>
      <c r="D4182">
        <v>10394</v>
      </c>
      <c r="E4182" s="1">
        <v>1.8E-3</v>
      </c>
      <c r="F4182" s="1">
        <v>2.6499999999999999E-2</v>
      </c>
      <c r="G4182" s="1">
        <v>2E-3</v>
      </c>
      <c r="H4182" s="1">
        <v>0.83120000000000005</v>
      </c>
      <c r="J4182" s="1">
        <v>0.13850000000000001</v>
      </c>
    </row>
    <row r="4183" spans="1:10" ht="29.1">
      <c r="A4183" s="25" t="s">
        <v>196</v>
      </c>
      <c r="B4183">
        <v>1708</v>
      </c>
      <c r="C4183" t="s">
        <v>189</v>
      </c>
      <c r="D4183">
        <v>10394</v>
      </c>
      <c r="E4183" s="1">
        <v>1.6999999999999999E-3</v>
      </c>
      <c r="F4183" s="1">
        <v>5.4800000000000001E-2</v>
      </c>
      <c r="G4183" s="1">
        <v>1.5E-3</v>
      </c>
      <c r="H4183" s="1">
        <v>0.78390000000000004</v>
      </c>
      <c r="I4183" s="1">
        <v>8.9999999999999998E-4</v>
      </c>
      <c r="J4183" s="1">
        <v>0.15720000000000001</v>
      </c>
    </row>
    <row r="4184" spans="1:10">
      <c r="A4184" s="25" t="s">
        <v>192</v>
      </c>
      <c r="B4184">
        <v>10394</v>
      </c>
      <c r="C4184" t="s">
        <v>192</v>
      </c>
      <c r="D4184">
        <v>10394</v>
      </c>
      <c r="E4184" s="1">
        <v>8.0000000000000004E-4</v>
      </c>
      <c r="F4184" s="1">
        <v>2.7400000000000001E-2</v>
      </c>
      <c r="G4184" s="1">
        <v>1.5E-3</v>
      </c>
      <c r="H4184" s="1">
        <v>0.85609999999999997</v>
      </c>
      <c r="I4184" s="1">
        <v>4.0000000000000002E-4</v>
      </c>
      <c r="J4184" s="1">
        <v>0.1138</v>
      </c>
    </row>
    <row r="4186" spans="1:10" ht="43.5">
      <c r="A4186" s="25" t="s">
        <v>1273</v>
      </c>
    </row>
    <row r="4187" spans="1:10">
      <c r="A4187" s="25" t="s">
        <v>182</v>
      </c>
      <c r="B4187" t="s">
        <v>219</v>
      </c>
      <c r="C4187" t="s">
        <v>181</v>
      </c>
      <c r="D4187" t="s">
        <v>188</v>
      </c>
      <c r="E4187" t="s">
        <v>241</v>
      </c>
      <c r="F4187" t="s">
        <v>1268</v>
      </c>
      <c r="G4187" t="s">
        <v>1269</v>
      </c>
      <c r="H4187" t="s">
        <v>1270</v>
      </c>
      <c r="I4187" t="s">
        <v>243</v>
      </c>
      <c r="J4187" t="s">
        <v>1271</v>
      </c>
    </row>
    <row r="4188" spans="1:10">
      <c r="A4188" s="25" t="s">
        <v>198</v>
      </c>
      <c r="B4188">
        <v>2251</v>
      </c>
      <c r="C4188" t="s">
        <v>189</v>
      </c>
      <c r="D4188">
        <v>10394</v>
      </c>
      <c r="E4188" s="1">
        <v>1.1000000000000001E-3</v>
      </c>
      <c r="F4188" s="1">
        <v>3.04E-2</v>
      </c>
      <c r="G4188" s="1">
        <v>2E-3</v>
      </c>
      <c r="H4188" s="1">
        <v>0.90590000000000004</v>
      </c>
      <c r="I4188" s="1">
        <v>1E-4</v>
      </c>
      <c r="J4188" s="1">
        <v>6.0499999999999998E-2</v>
      </c>
    </row>
    <row r="4189" spans="1:10">
      <c r="A4189" s="25" t="s">
        <v>199</v>
      </c>
      <c r="B4189">
        <v>8143</v>
      </c>
      <c r="C4189" t="s">
        <v>189</v>
      </c>
      <c r="D4189">
        <v>10394</v>
      </c>
      <c r="E4189" s="1">
        <v>8.0000000000000004E-4</v>
      </c>
      <c r="F4189" s="1">
        <v>2.6700000000000002E-2</v>
      </c>
      <c r="G4189" s="1">
        <v>1.4E-3</v>
      </c>
      <c r="H4189" s="1">
        <v>0.84489999999999998</v>
      </c>
      <c r="I4189" s="1">
        <v>5.0000000000000001E-4</v>
      </c>
      <c r="J4189" s="1">
        <v>0.12570000000000001</v>
      </c>
    </row>
    <row r="4190" spans="1:10">
      <c r="A4190" s="25" t="s">
        <v>192</v>
      </c>
      <c r="B4190">
        <v>10394</v>
      </c>
      <c r="C4190" t="s">
        <v>192</v>
      </c>
      <c r="D4190">
        <v>10394</v>
      </c>
      <c r="E4190" s="1">
        <v>8.0000000000000004E-4</v>
      </c>
      <c r="F4190" s="1">
        <v>2.7400000000000001E-2</v>
      </c>
      <c r="G4190" s="1">
        <v>1.5E-3</v>
      </c>
      <c r="H4190" s="1">
        <v>0.85609999999999997</v>
      </c>
      <c r="I4190" s="1">
        <v>4.0000000000000002E-4</v>
      </c>
      <c r="J4190" s="1">
        <v>0.1138</v>
      </c>
    </row>
    <row r="4192" spans="1:10" ht="43.5">
      <c r="A4192" s="25" t="s">
        <v>1274</v>
      </c>
    </row>
    <row r="4193" spans="1:10">
      <c r="A4193" s="25" t="s">
        <v>182</v>
      </c>
      <c r="B4193" t="s">
        <v>219</v>
      </c>
      <c r="C4193" t="s">
        <v>181</v>
      </c>
      <c r="D4193" t="s">
        <v>188</v>
      </c>
      <c r="E4193" t="s">
        <v>241</v>
      </c>
      <c r="F4193" t="s">
        <v>1268</v>
      </c>
      <c r="G4193" t="s">
        <v>1269</v>
      </c>
      <c r="H4193" t="s">
        <v>1270</v>
      </c>
      <c r="I4193" t="s">
        <v>243</v>
      </c>
      <c r="J4193" t="s">
        <v>1271</v>
      </c>
    </row>
    <row r="4194" spans="1:10">
      <c r="A4194" s="25" t="s">
        <v>201</v>
      </c>
      <c r="B4194">
        <v>739</v>
      </c>
      <c r="C4194" t="s">
        <v>189</v>
      </c>
      <c r="D4194">
        <v>10394</v>
      </c>
      <c r="E4194" s="1">
        <v>2.0000000000000001E-4</v>
      </c>
      <c r="F4194" s="1">
        <v>0.18459999999999999</v>
      </c>
      <c r="G4194" s="1">
        <v>1.5E-3</v>
      </c>
      <c r="H4194" s="1">
        <v>0.1396</v>
      </c>
      <c r="I4194" s="1">
        <v>5.9999999999999995E-4</v>
      </c>
      <c r="J4194" s="1">
        <v>0.67349999999999999</v>
      </c>
    </row>
    <row r="4195" spans="1:10">
      <c r="A4195" s="25" t="s">
        <v>202</v>
      </c>
      <c r="B4195">
        <v>108</v>
      </c>
      <c r="C4195" t="s">
        <v>189</v>
      </c>
      <c r="D4195">
        <v>10394</v>
      </c>
      <c r="F4195" s="1">
        <v>0.14099999999999999</v>
      </c>
      <c r="H4195" s="1">
        <v>0.57950000000000002</v>
      </c>
      <c r="J4195" s="1">
        <v>0.27950000000000003</v>
      </c>
    </row>
    <row r="4196" spans="1:10">
      <c r="A4196" s="25" t="s">
        <v>203</v>
      </c>
      <c r="B4196">
        <v>8036</v>
      </c>
      <c r="C4196" t="s">
        <v>189</v>
      </c>
      <c r="D4196">
        <v>10394</v>
      </c>
      <c r="E4196" s="1">
        <v>8.9999999999999998E-4</v>
      </c>
      <c r="F4196" s="1">
        <v>1.38E-2</v>
      </c>
      <c r="G4196" s="1">
        <v>1.6999999999999999E-3</v>
      </c>
      <c r="H4196" s="1">
        <v>0.92400000000000004</v>
      </c>
      <c r="I4196" s="1">
        <v>4.0000000000000002E-4</v>
      </c>
      <c r="J4196" s="1">
        <v>5.91E-2</v>
      </c>
    </row>
    <row r="4197" spans="1:10">
      <c r="A4197" s="25" t="s">
        <v>204</v>
      </c>
      <c r="B4197">
        <v>30</v>
      </c>
      <c r="C4197" t="s">
        <v>189</v>
      </c>
      <c r="D4197">
        <v>10394</v>
      </c>
      <c r="F4197" s="1">
        <v>1.17E-2</v>
      </c>
      <c r="G4197" s="1">
        <v>1.23E-2</v>
      </c>
      <c r="H4197" s="1">
        <v>0.95020000000000004</v>
      </c>
      <c r="J4197" s="1">
        <v>2.58E-2</v>
      </c>
    </row>
    <row r="4198" spans="1:10">
      <c r="A4198" s="25" t="s">
        <v>205</v>
      </c>
      <c r="B4198">
        <v>1481</v>
      </c>
      <c r="C4198" t="s">
        <v>189</v>
      </c>
      <c r="D4198">
        <v>10394</v>
      </c>
      <c r="E4198" s="1">
        <v>1.1000000000000001E-3</v>
      </c>
      <c r="F4198" s="1">
        <v>2.5399999999999999E-2</v>
      </c>
      <c r="G4198" s="1">
        <v>2.0000000000000001E-4</v>
      </c>
      <c r="H4198" s="1">
        <v>0.81840000000000002</v>
      </c>
      <c r="I4198" s="1">
        <v>1E-4</v>
      </c>
      <c r="J4198" s="1">
        <v>0.15479999999999999</v>
      </c>
    </row>
    <row r="4199" spans="1:10">
      <c r="A4199" s="25" t="s">
        <v>192</v>
      </c>
      <c r="B4199">
        <v>10394</v>
      </c>
      <c r="C4199" t="s">
        <v>192</v>
      </c>
      <c r="D4199">
        <v>10394</v>
      </c>
      <c r="E4199" s="1">
        <v>8.0000000000000004E-4</v>
      </c>
      <c r="F4199" s="1">
        <v>2.7400000000000001E-2</v>
      </c>
      <c r="G4199" s="1">
        <v>1.5E-3</v>
      </c>
      <c r="H4199" s="1">
        <v>0.85609999999999997</v>
      </c>
      <c r="I4199" s="1">
        <v>4.0000000000000002E-4</v>
      </c>
      <c r="J4199" s="1">
        <v>0.1138</v>
      </c>
    </row>
    <row r="4201" spans="1:10" ht="43.5">
      <c r="A4201" s="25" t="s">
        <v>1275</v>
      </c>
    </row>
    <row r="4202" spans="1:10">
      <c r="A4202" s="25" t="s">
        <v>182</v>
      </c>
      <c r="B4202" t="s">
        <v>219</v>
      </c>
      <c r="C4202" t="s">
        <v>181</v>
      </c>
      <c r="D4202" t="s">
        <v>188</v>
      </c>
      <c r="E4202" t="s">
        <v>241</v>
      </c>
      <c r="F4202" t="s">
        <v>1268</v>
      </c>
      <c r="G4202" t="s">
        <v>1269</v>
      </c>
      <c r="H4202" t="s">
        <v>1270</v>
      </c>
      <c r="I4202" t="s">
        <v>243</v>
      </c>
      <c r="J4202" t="s">
        <v>1271</v>
      </c>
    </row>
    <row r="4203" spans="1:10">
      <c r="A4203" s="25" t="s">
        <v>207</v>
      </c>
      <c r="B4203">
        <v>7232</v>
      </c>
      <c r="C4203" t="s">
        <v>189</v>
      </c>
      <c r="D4203">
        <v>10394</v>
      </c>
      <c r="E4203" s="1">
        <v>5.9999999999999995E-4</v>
      </c>
      <c r="F4203" s="1">
        <v>2.01E-2</v>
      </c>
      <c r="G4203" s="1">
        <v>1.2999999999999999E-3</v>
      </c>
      <c r="H4203" s="1">
        <v>0.86009999999999998</v>
      </c>
      <c r="I4203" s="1">
        <v>5.0000000000000001E-4</v>
      </c>
      <c r="J4203" s="1">
        <v>0.1174</v>
      </c>
    </row>
    <row r="4204" spans="1:10">
      <c r="A4204" s="25" t="s">
        <v>208</v>
      </c>
      <c r="B4204">
        <v>2231</v>
      </c>
      <c r="C4204" t="s">
        <v>189</v>
      </c>
      <c r="D4204">
        <v>10394</v>
      </c>
      <c r="E4204" s="1">
        <v>1.5E-3</v>
      </c>
      <c r="F4204" s="1">
        <v>4.9000000000000002E-2</v>
      </c>
      <c r="G4204" s="1">
        <v>1.6999999999999999E-3</v>
      </c>
      <c r="H4204" s="1">
        <v>0.82489999999999997</v>
      </c>
      <c r="I4204" s="1">
        <v>1E-4</v>
      </c>
      <c r="J4204" s="1">
        <v>0.1229</v>
      </c>
    </row>
    <row r="4205" spans="1:10">
      <c r="A4205" s="25" t="s">
        <v>209</v>
      </c>
      <c r="B4205">
        <v>931</v>
      </c>
      <c r="C4205" t="s">
        <v>189</v>
      </c>
      <c r="D4205">
        <v>10394</v>
      </c>
      <c r="E4205" s="1">
        <v>1.6999999999999999E-3</v>
      </c>
      <c r="F4205" s="1">
        <v>2.98E-2</v>
      </c>
      <c r="G4205" s="1">
        <v>3.5000000000000001E-3</v>
      </c>
      <c r="H4205" s="1">
        <v>0.90920000000000001</v>
      </c>
      <c r="J4205" s="1">
        <v>5.5800000000000002E-2</v>
      </c>
    </row>
    <row r="4206" spans="1:10">
      <c r="A4206" s="25" t="s">
        <v>192</v>
      </c>
      <c r="B4206">
        <v>10394</v>
      </c>
      <c r="C4206" t="s">
        <v>192</v>
      </c>
      <c r="D4206">
        <v>10394</v>
      </c>
      <c r="E4206" s="1">
        <v>8.0000000000000004E-4</v>
      </c>
      <c r="F4206" s="1">
        <v>2.7400000000000001E-2</v>
      </c>
      <c r="G4206" s="1">
        <v>1.5E-3</v>
      </c>
      <c r="H4206" s="1">
        <v>0.85609999999999997</v>
      </c>
      <c r="I4206" s="1">
        <v>4.0000000000000002E-4</v>
      </c>
      <c r="J4206" s="1">
        <v>0.1138</v>
      </c>
    </row>
    <row r="4208" spans="1:10" ht="43.5">
      <c r="A4208" s="25" t="s">
        <v>1276</v>
      </c>
    </row>
    <row r="4209" spans="1:10">
      <c r="A4209" s="25" t="s">
        <v>182</v>
      </c>
      <c r="B4209" t="s">
        <v>219</v>
      </c>
      <c r="C4209" t="s">
        <v>181</v>
      </c>
      <c r="D4209" t="s">
        <v>188</v>
      </c>
      <c r="E4209" t="s">
        <v>241</v>
      </c>
      <c r="F4209" t="s">
        <v>1268</v>
      </c>
      <c r="G4209" t="s">
        <v>1269</v>
      </c>
      <c r="H4209" t="s">
        <v>1270</v>
      </c>
      <c r="I4209" t="s">
        <v>243</v>
      </c>
      <c r="J4209" t="s">
        <v>1271</v>
      </c>
    </row>
    <row r="4210" spans="1:10">
      <c r="A4210" s="25" t="s">
        <v>211</v>
      </c>
      <c r="B4210">
        <v>4961</v>
      </c>
      <c r="C4210" t="s">
        <v>189</v>
      </c>
      <c r="D4210">
        <v>10394</v>
      </c>
      <c r="E4210" s="1">
        <v>4.0000000000000002E-4</v>
      </c>
      <c r="F4210" s="1">
        <v>1.8599999999999998E-2</v>
      </c>
      <c r="G4210" s="1">
        <v>5.0000000000000001E-4</v>
      </c>
      <c r="H4210" s="1">
        <v>0.878</v>
      </c>
      <c r="I4210" s="1">
        <v>5.0000000000000001E-4</v>
      </c>
      <c r="J4210" s="1">
        <v>0.1021</v>
      </c>
    </row>
    <row r="4211" spans="1:10">
      <c r="A4211" s="25" t="s">
        <v>212</v>
      </c>
      <c r="B4211">
        <v>3356</v>
      </c>
      <c r="C4211" t="s">
        <v>189</v>
      </c>
      <c r="D4211">
        <v>10394</v>
      </c>
      <c r="E4211" s="1">
        <v>1.5E-3</v>
      </c>
      <c r="F4211" s="1">
        <v>3.4099999999999998E-2</v>
      </c>
      <c r="G4211" s="1">
        <v>3.5000000000000001E-3</v>
      </c>
      <c r="H4211" s="1">
        <v>0.84489999999999998</v>
      </c>
      <c r="I4211" s="1">
        <v>2.0000000000000001E-4</v>
      </c>
      <c r="J4211" s="1">
        <v>0.1158</v>
      </c>
    </row>
    <row r="4212" spans="1:10">
      <c r="A4212" s="25" t="s">
        <v>213</v>
      </c>
      <c r="B4212">
        <v>2077</v>
      </c>
      <c r="C4212" t="s">
        <v>189</v>
      </c>
      <c r="D4212">
        <v>10394</v>
      </c>
      <c r="E4212" s="1">
        <v>8.9999999999999998E-4</v>
      </c>
      <c r="F4212" s="1">
        <v>3.6799999999999999E-2</v>
      </c>
      <c r="G4212" s="1">
        <v>1E-3</v>
      </c>
      <c r="H4212" s="1">
        <v>0.8246</v>
      </c>
      <c r="I4212" s="1">
        <v>5.0000000000000001E-4</v>
      </c>
      <c r="J4212" s="1">
        <v>0.13619999999999999</v>
      </c>
    </row>
    <row r="4213" spans="1:10">
      <c r="A4213" s="25" t="s">
        <v>192</v>
      </c>
      <c r="B4213">
        <v>10394</v>
      </c>
      <c r="C4213" t="s">
        <v>192</v>
      </c>
      <c r="D4213">
        <v>10394</v>
      </c>
      <c r="E4213" s="1">
        <v>8.0000000000000004E-4</v>
      </c>
      <c r="F4213" s="1">
        <v>2.7400000000000001E-2</v>
      </c>
      <c r="G4213" s="1">
        <v>1.5E-3</v>
      </c>
      <c r="H4213" s="1">
        <v>0.85609999999999997</v>
      </c>
      <c r="I4213" s="1">
        <v>4.0000000000000002E-4</v>
      </c>
      <c r="J4213" s="1">
        <v>0.1138</v>
      </c>
    </row>
    <row r="4215" spans="1:10" ht="43.5">
      <c r="A4215" s="25" t="s">
        <v>1277</v>
      </c>
    </row>
    <row r="4216" spans="1:10">
      <c r="A4216" s="25" t="s">
        <v>182</v>
      </c>
      <c r="B4216" t="s">
        <v>219</v>
      </c>
      <c r="C4216" t="s">
        <v>181</v>
      </c>
      <c r="D4216" t="s">
        <v>188</v>
      </c>
      <c r="E4216" t="s">
        <v>241</v>
      </c>
      <c r="F4216" t="s">
        <v>220</v>
      </c>
      <c r="G4216" t="s">
        <v>243</v>
      </c>
      <c r="H4216" t="s">
        <v>221</v>
      </c>
    </row>
    <row r="4217" spans="1:10">
      <c r="A4217" s="25" t="s">
        <v>190</v>
      </c>
      <c r="B4217">
        <v>4900</v>
      </c>
      <c r="C4217" t="s">
        <v>189</v>
      </c>
      <c r="D4217">
        <v>10425</v>
      </c>
      <c r="E4217" s="1">
        <v>4.6899999999999997E-2</v>
      </c>
      <c r="F4217" s="1">
        <v>0.93469999999999998</v>
      </c>
      <c r="G4217" s="1">
        <v>1E-4</v>
      </c>
      <c r="H4217" s="1">
        <v>1.83E-2</v>
      </c>
    </row>
    <row r="4218" spans="1:10">
      <c r="A4218" s="25" t="s">
        <v>191</v>
      </c>
      <c r="B4218">
        <v>5468</v>
      </c>
      <c r="C4218" t="s">
        <v>189</v>
      </c>
      <c r="D4218">
        <v>10425</v>
      </c>
      <c r="E4218" s="1">
        <v>9.6299999999999997E-2</v>
      </c>
      <c r="F4218" s="1">
        <v>0.86580000000000001</v>
      </c>
      <c r="G4218" s="1">
        <v>1.9E-3</v>
      </c>
      <c r="H4218" s="1">
        <v>3.61E-2</v>
      </c>
    </row>
    <row r="4219" spans="1:10">
      <c r="A4219" s="25" t="s">
        <v>192</v>
      </c>
      <c r="B4219">
        <v>10425</v>
      </c>
      <c r="C4219" t="s">
        <v>192</v>
      </c>
      <c r="D4219">
        <v>10425</v>
      </c>
      <c r="E4219" s="1">
        <v>7.7799999999999994E-2</v>
      </c>
      <c r="F4219" s="1">
        <v>0.89159999999999995</v>
      </c>
      <c r="G4219" s="1">
        <v>1.1999999999999999E-3</v>
      </c>
      <c r="H4219" s="1">
        <v>2.9399999999999999E-2</v>
      </c>
    </row>
    <row r="4221" spans="1:10" ht="43.5">
      <c r="A4221" s="25" t="s">
        <v>1278</v>
      </c>
    </row>
    <row r="4222" spans="1:10">
      <c r="A4222" s="25" t="s">
        <v>182</v>
      </c>
      <c r="B4222" t="s">
        <v>219</v>
      </c>
      <c r="C4222" t="s">
        <v>181</v>
      </c>
      <c r="D4222" t="s">
        <v>188</v>
      </c>
      <c r="E4222" t="s">
        <v>241</v>
      </c>
      <c r="F4222" t="s">
        <v>220</v>
      </c>
      <c r="G4222" t="s">
        <v>243</v>
      </c>
      <c r="H4222" t="s">
        <v>221</v>
      </c>
    </row>
    <row r="4223" spans="1:10" ht="29.1">
      <c r="A4223" s="25" t="s">
        <v>194</v>
      </c>
      <c r="B4223">
        <v>5952</v>
      </c>
      <c r="C4223" t="s">
        <v>189</v>
      </c>
      <c r="D4223">
        <v>10425</v>
      </c>
      <c r="E4223" s="1">
        <v>5.0900000000000001E-2</v>
      </c>
      <c r="F4223" s="1">
        <v>0.93089999999999995</v>
      </c>
      <c r="G4223" s="1">
        <v>1.1000000000000001E-3</v>
      </c>
      <c r="H4223" s="1">
        <v>1.7100000000000001E-2</v>
      </c>
    </row>
    <row r="4224" spans="1:10" ht="29.1">
      <c r="A4224" s="25" t="s">
        <v>195</v>
      </c>
      <c r="B4224">
        <v>2702</v>
      </c>
      <c r="C4224" t="s">
        <v>189</v>
      </c>
      <c r="D4224">
        <v>10425</v>
      </c>
      <c r="E4224" s="1">
        <v>9.6500000000000002E-2</v>
      </c>
      <c r="F4224" s="1">
        <v>0.87139999999999995</v>
      </c>
      <c r="G4224" s="1">
        <v>1.6000000000000001E-3</v>
      </c>
      <c r="H4224" s="1">
        <v>3.04E-2</v>
      </c>
    </row>
    <row r="4225" spans="1:8" ht="29.1">
      <c r="A4225" s="25" t="s">
        <v>196</v>
      </c>
      <c r="B4225">
        <v>1714</v>
      </c>
      <c r="C4225" t="s">
        <v>189</v>
      </c>
      <c r="D4225">
        <v>10425</v>
      </c>
      <c r="E4225" s="1">
        <v>0.24049999999999999</v>
      </c>
      <c r="F4225" s="1">
        <v>0.63880000000000003</v>
      </c>
      <c r="G4225" s="1">
        <v>8.0000000000000004E-4</v>
      </c>
      <c r="H4225" s="1">
        <v>0.11990000000000001</v>
      </c>
    </row>
    <row r="4226" spans="1:8">
      <c r="A4226" s="25" t="s">
        <v>192</v>
      </c>
      <c r="B4226">
        <v>10425</v>
      </c>
      <c r="C4226" t="s">
        <v>192</v>
      </c>
      <c r="D4226">
        <v>10425</v>
      </c>
      <c r="E4226" s="1">
        <v>7.7799999999999994E-2</v>
      </c>
      <c r="F4226" s="1">
        <v>0.89159999999999995</v>
      </c>
      <c r="G4226" s="1">
        <v>1.1999999999999999E-3</v>
      </c>
      <c r="H4226" s="1">
        <v>2.9399999999999999E-2</v>
      </c>
    </row>
    <row r="4228" spans="1:8" ht="43.5">
      <c r="A4228" s="25" t="s">
        <v>1279</v>
      </c>
    </row>
    <row r="4229" spans="1:8">
      <c r="A4229" s="25" t="s">
        <v>182</v>
      </c>
      <c r="B4229" t="s">
        <v>219</v>
      </c>
      <c r="C4229" t="s">
        <v>181</v>
      </c>
      <c r="D4229" t="s">
        <v>188</v>
      </c>
      <c r="E4229" t="s">
        <v>241</v>
      </c>
      <c r="F4229" t="s">
        <v>220</v>
      </c>
      <c r="G4229" t="s">
        <v>243</v>
      </c>
      <c r="H4229" t="s">
        <v>221</v>
      </c>
    </row>
    <row r="4230" spans="1:8">
      <c r="A4230" s="25" t="s">
        <v>198</v>
      </c>
      <c r="B4230">
        <v>2262</v>
      </c>
      <c r="C4230" t="s">
        <v>189</v>
      </c>
      <c r="D4230">
        <v>10425</v>
      </c>
      <c r="E4230" s="1">
        <v>9.0700000000000003E-2</v>
      </c>
      <c r="F4230" s="1">
        <v>0.87509999999999999</v>
      </c>
      <c r="G4230" s="1">
        <v>4.1000000000000003E-3</v>
      </c>
      <c r="H4230" s="1">
        <v>3.0099999999999998E-2</v>
      </c>
    </row>
    <row r="4231" spans="1:8">
      <c r="A4231" s="25" t="s">
        <v>199</v>
      </c>
      <c r="B4231">
        <v>8163</v>
      </c>
      <c r="C4231" t="s">
        <v>189</v>
      </c>
      <c r="D4231">
        <v>10425</v>
      </c>
      <c r="E4231" s="1">
        <v>7.4899999999999994E-2</v>
      </c>
      <c r="F4231" s="1">
        <v>0.89529999999999998</v>
      </c>
      <c r="G4231" s="1">
        <v>5.0000000000000001E-4</v>
      </c>
      <c r="H4231" s="1">
        <v>2.92E-2</v>
      </c>
    </row>
    <row r="4232" spans="1:8">
      <c r="A4232" s="25" t="s">
        <v>192</v>
      </c>
      <c r="B4232">
        <v>10425</v>
      </c>
      <c r="C4232" t="s">
        <v>192</v>
      </c>
      <c r="D4232">
        <v>10425</v>
      </c>
      <c r="E4232" s="1">
        <v>7.7799999999999994E-2</v>
      </c>
      <c r="F4232" s="1">
        <v>0.89159999999999995</v>
      </c>
      <c r="G4232" s="1">
        <v>1.1999999999999999E-3</v>
      </c>
      <c r="H4232" s="1">
        <v>2.9399999999999999E-2</v>
      </c>
    </row>
    <row r="4234" spans="1:8" ht="43.5">
      <c r="A4234" s="25" t="s">
        <v>1280</v>
      </c>
    </row>
    <row r="4235" spans="1:8">
      <c r="A4235" s="25" t="s">
        <v>182</v>
      </c>
      <c r="B4235" t="s">
        <v>219</v>
      </c>
      <c r="C4235" t="s">
        <v>181</v>
      </c>
      <c r="D4235" t="s">
        <v>188</v>
      </c>
      <c r="E4235" t="s">
        <v>241</v>
      </c>
      <c r="F4235" t="s">
        <v>220</v>
      </c>
      <c r="G4235" t="s">
        <v>243</v>
      </c>
      <c r="H4235" t="s">
        <v>221</v>
      </c>
    </row>
    <row r="4236" spans="1:8">
      <c r="A4236" s="25" t="s">
        <v>201</v>
      </c>
      <c r="B4236">
        <v>767</v>
      </c>
      <c r="C4236" t="s">
        <v>189</v>
      </c>
      <c r="D4236">
        <v>10425</v>
      </c>
      <c r="E4236" s="1">
        <v>0.3392</v>
      </c>
      <c r="F4236" s="1">
        <v>0.55840000000000001</v>
      </c>
      <c r="G4236" s="1">
        <v>0.01</v>
      </c>
      <c r="H4236" s="1">
        <v>9.2299999999999993E-2</v>
      </c>
    </row>
    <row r="4237" spans="1:8">
      <c r="A4237" s="25" t="s">
        <v>202</v>
      </c>
      <c r="B4237">
        <v>109</v>
      </c>
      <c r="C4237" t="s">
        <v>189</v>
      </c>
      <c r="D4237">
        <v>10425</v>
      </c>
      <c r="E4237" s="1">
        <v>0.27039999999999997</v>
      </c>
      <c r="F4237" s="1">
        <v>0.63470000000000004</v>
      </c>
      <c r="H4237" s="1">
        <v>9.4899999999999998E-2</v>
      </c>
    </row>
    <row r="4238" spans="1:8">
      <c r="A4238" s="25" t="s">
        <v>203</v>
      </c>
      <c r="B4238">
        <v>8037</v>
      </c>
      <c r="C4238" t="s">
        <v>189</v>
      </c>
      <c r="D4238">
        <v>10425</v>
      </c>
      <c r="E4238" s="1">
        <v>4.99E-2</v>
      </c>
      <c r="F4238" s="1">
        <v>0.93230000000000002</v>
      </c>
      <c r="G4238" s="1">
        <v>2.0000000000000001E-4</v>
      </c>
      <c r="H4238" s="1">
        <v>1.7600000000000001E-2</v>
      </c>
    </row>
    <row r="4239" spans="1:8">
      <c r="A4239" s="25" t="s">
        <v>204</v>
      </c>
      <c r="B4239">
        <v>30</v>
      </c>
      <c r="C4239" t="s">
        <v>189</v>
      </c>
      <c r="D4239">
        <v>10425</v>
      </c>
      <c r="E4239" s="1">
        <v>4.0399999999999998E-2</v>
      </c>
      <c r="F4239" s="1">
        <v>0.92879999999999996</v>
      </c>
      <c r="G4239" s="1">
        <v>1.0800000000000001E-2</v>
      </c>
      <c r="H4239" s="1">
        <v>0.02</v>
      </c>
    </row>
    <row r="4240" spans="1:8">
      <c r="A4240" s="25" t="s">
        <v>205</v>
      </c>
      <c r="B4240">
        <v>1482</v>
      </c>
      <c r="C4240" t="s">
        <v>189</v>
      </c>
      <c r="D4240">
        <v>10425</v>
      </c>
      <c r="E4240" s="1">
        <v>9.7600000000000006E-2</v>
      </c>
      <c r="F4240" s="1">
        <v>0.83779999999999999</v>
      </c>
      <c r="G4240" s="1">
        <v>2.3E-3</v>
      </c>
      <c r="H4240" s="1">
        <v>6.2399999999999997E-2</v>
      </c>
    </row>
    <row r="4241" spans="1:8">
      <c r="A4241" s="25" t="s">
        <v>192</v>
      </c>
      <c r="B4241">
        <v>10425</v>
      </c>
      <c r="C4241" t="s">
        <v>192</v>
      </c>
      <c r="D4241">
        <v>10425</v>
      </c>
      <c r="E4241" s="1">
        <v>7.7799999999999994E-2</v>
      </c>
      <c r="F4241" s="1">
        <v>0.89159999999999995</v>
      </c>
      <c r="G4241" s="1">
        <v>1.1999999999999999E-3</v>
      </c>
      <c r="H4241" s="1">
        <v>2.9399999999999999E-2</v>
      </c>
    </row>
    <row r="4243" spans="1:8" ht="43.5">
      <c r="A4243" s="25" t="s">
        <v>1281</v>
      </c>
    </row>
    <row r="4244" spans="1:8">
      <c r="A4244" s="25" t="s">
        <v>182</v>
      </c>
      <c r="B4244" t="s">
        <v>219</v>
      </c>
      <c r="C4244" t="s">
        <v>181</v>
      </c>
      <c r="D4244" t="s">
        <v>188</v>
      </c>
      <c r="E4244" t="s">
        <v>241</v>
      </c>
      <c r="F4244" t="s">
        <v>220</v>
      </c>
      <c r="G4244" t="s">
        <v>243</v>
      </c>
      <c r="H4244" t="s">
        <v>221</v>
      </c>
    </row>
    <row r="4245" spans="1:8">
      <c r="A4245" s="25" t="s">
        <v>207</v>
      </c>
      <c r="B4245">
        <v>7250</v>
      </c>
      <c r="C4245" t="s">
        <v>189</v>
      </c>
      <c r="D4245">
        <v>10425</v>
      </c>
      <c r="E4245" s="1">
        <v>7.8100000000000003E-2</v>
      </c>
      <c r="F4245" s="1">
        <v>0.89200000000000002</v>
      </c>
      <c r="G4245" s="1">
        <v>1.2999999999999999E-3</v>
      </c>
      <c r="H4245" s="1">
        <v>2.87E-2</v>
      </c>
    </row>
    <row r="4246" spans="1:8">
      <c r="A4246" s="25" t="s">
        <v>208</v>
      </c>
      <c r="B4246">
        <v>2242</v>
      </c>
      <c r="C4246" t="s">
        <v>189</v>
      </c>
      <c r="D4246">
        <v>10425</v>
      </c>
      <c r="E4246" s="1">
        <v>7.5800000000000006E-2</v>
      </c>
      <c r="F4246" s="1">
        <v>0.8901</v>
      </c>
      <c r="G4246" s="1">
        <v>2.0000000000000001E-4</v>
      </c>
      <c r="H4246" s="1">
        <v>3.4000000000000002E-2</v>
      </c>
    </row>
    <row r="4247" spans="1:8">
      <c r="A4247" s="25" t="s">
        <v>209</v>
      </c>
      <c r="B4247">
        <v>933</v>
      </c>
      <c r="C4247" t="s">
        <v>189</v>
      </c>
      <c r="D4247">
        <v>10425</v>
      </c>
      <c r="E4247" s="1">
        <v>8.1199999999999994E-2</v>
      </c>
      <c r="F4247" s="1">
        <v>0.8931</v>
      </c>
      <c r="G4247" s="1">
        <v>3.5000000000000001E-3</v>
      </c>
      <c r="H4247" s="1">
        <v>2.2200000000000001E-2</v>
      </c>
    </row>
    <row r="4248" spans="1:8">
      <c r="A4248" s="25" t="s">
        <v>192</v>
      </c>
      <c r="B4248">
        <v>10425</v>
      </c>
      <c r="C4248" t="s">
        <v>192</v>
      </c>
      <c r="D4248">
        <v>10425</v>
      </c>
      <c r="E4248" s="1">
        <v>7.7799999999999994E-2</v>
      </c>
      <c r="F4248" s="1">
        <v>0.89159999999999995</v>
      </c>
      <c r="G4248" s="1">
        <v>1.1999999999999999E-3</v>
      </c>
      <c r="H4248" s="1">
        <v>2.9399999999999999E-2</v>
      </c>
    </row>
    <row r="4250" spans="1:8" ht="43.5">
      <c r="A4250" s="25" t="s">
        <v>1282</v>
      </c>
    </row>
    <row r="4251" spans="1:8">
      <c r="A4251" s="25" t="s">
        <v>182</v>
      </c>
      <c r="B4251" t="s">
        <v>219</v>
      </c>
      <c r="C4251" t="s">
        <v>181</v>
      </c>
      <c r="D4251" t="s">
        <v>188</v>
      </c>
      <c r="E4251" t="s">
        <v>241</v>
      </c>
      <c r="F4251" t="s">
        <v>220</v>
      </c>
      <c r="G4251" t="s">
        <v>243</v>
      </c>
      <c r="H4251" t="s">
        <v>221</v>
      </c>
    </row>
    <row r="4252" spans="1:8">
      <c r="A4252" s="25" t="s">
        <v>211</v>
      </c>
      <c r="B4252">
        <v>4969</v>
      </c>
      <c r="C4252" t="s">
        <v>189</v>
      </c>
      <c r="D4252">
        <v>10425</v>
      </c>
      <c r="E4252" s="1">
        <v>6.7299999999999999E-2</v>
      </c>
      <c r="F4252" s="1">
        <v>0.90200000000000002</v>
      </c>
      <c r="G4252" s="1">
        <v>1.8E-3</v>
      </c>
      <c r="H4252" s="1">
        <v>2.8899999999999999E-2</v>
      </c>
    </row>
    <row r="4253" spans="1:8">
      <c r="A4253" s="25" t="s">
        <v>212</v>
      </c>
      <c r="B4253">
        <v>3374</v>
      </c>
      <c r="C4253" t="s">
        <v>189</v>
      </c>
      <c r="D4253">
        <v>10425</v>
      </c>
      <c r="E4253" s="1">
        <v>8.3199999999999996E-2</v>
      </c>
      <c r="F4253" s="1">
        <v>0.88770000000000004</v>
      </c>
      <c r="G4253" s="1">
        <v>2.0000000000000001E-4</v>
      </c>
      <c r="H4253" s="1">
        <v>2.8799999999999999E-2</v>
      </c>
    </row>
    <row r="4254" spans="1:8">
      <c r="A4254" s="25" t="s">
        <v>213</v>
      </c>
      <c r="B4254">
        <v>2082</v>
      </c>
      <c r="C4254" t="s">
        <v>189</v>
      </c>
      <c r="D4254">
        <v>10425</v>
      </c>
      <c r="E4254" s="1">
        <v>9.2799999999999994E-2</v>
      </c>
      <c r="F4254" s="1">
        <v>0.87480000000000002</v>
      </c>
      <c r="G4254" s="1">
        <v>1.2999999999999999E-3</v>
      </c>
      <c r="H4254" s="1">
        <v>3.1099999999999999E-2</v>
      </c>
    </row>
    <row r="4255" spans="1:8">
      <c r="A4255" s="25" t="s">
        <v>192</v>
      </c>
      <c r="B4255">
        <v>10425</v>
      </c>
      <c r="C4255" t="s">
        <v>192</v>
      </c>
      <c r="D4255">
        <v>10425</v>
      </c>
      <c r="E4255" s="1">
        <v>7.7799999999999994E-2</v>
      </c>
      <c r="F4255" s="1">
        <v>0.89159999999999995</v>
      </c>
      <c r="G4255" s="1">
        <v>1.1999999999999999E-3</v>
      </c>
      <c r="H4255" s="1">
        <v>2.9399999999999999E-2</v>
      </c>
    </row>
    <row r="4257" spans="1:17" ht="43.5">
      <c r="A4257" s="25" t="s">
        <v>1283</v>
      </c>
    </row>
    <row r="4258" spans="1:17">
      <c r="A4258" s="25" t="s">
        <v>182</v>
      </c>
      <c r="B4258" t="s">
        <v>219</v>
      </c>
      <c r="C4258" t="s">
        <v>181</v>
      </c>
      <c r="D4258" t="s">
        <v>188</v>
      </c>
      <c r="E4258" t="s">
        <v>241</v>
      </c>
      <c r="F4258" t="s">
        <v>1284</v>
      </c>
      <c r="G4258" t="s">
        <v>1285</v>
      </c>
      <c r="H4258" t="s">
        <v>1286</v>
      </c>
      <c r="I4258" t="s">
        <v>1287</v>
      </c>
      <c r="J4258" t="s">
        <v>1288</v>
      </c>
      <c r="K4258" t="s">
        <v>1289</v>
      </c>
      <c r="L4258" t="s">
        <v>1290</v>
      </c>
      <c r="M4258" t="s">
        <v>324</v>
      </c>
      <c r="N4258" t="s">
        <v>269</v>
      </c>
      <c r="O4258" t="s">
        <v>243</v>
      </c>
      <c r="P4258" t="s">
        <v>1291</v>
      </c>
      <c r="Q4258" t="s">
        <v>1292</v>
      </c>
    </row>
    <row r="4259" spans="1:17">
      <c r="A4259" s="25" t="s">
        <v>190</v>
      </c>
      <c r="B4259">
        <v>4889</v>
      </c>
      <c r="C4259" t="s">
        <v>189</v>
      </c>
      <c r="D4259">
        <v>10384</v>
      </c>
      <c r="E4259" s="1">
        <v>2.7000000000000001E-3</v>
      </c>
      <c r="F4259" s="1">
        <v>4.3099999999999999E-2</v>
      </c>
      <c r="G4259" s="1">
        <v>7.4999999999999997E-3</v>
      </c>
      <c r="H4259" s="1">
        <v>2.0799999999999999E-2</v>
      </c>
      <c r="I4259" s="1">
        <v>8.0999999999999996E-3</v>
      </c>
      <c r="J4259" s="1">
        <v>2.41E-2</v>
      </c>
      <c r="K4259" s="1">
        <v>7.0099999999999996E-2</v>
      </c>
      <c r="L4259" s="1">
        <v>1.83E-2</v>
      </c>
      <c r="M4259" s="1">
        <v>0.84079999999999999</v>
      </c>
      <c r="N4259" s="1">
        <v>1.6299999999999999E-2</v>
      </c>
      <c r="O4259" s="1">
        <v>3.3E-3</v>
      </c>
      <c r="P4259" s="1">
        <v>8.2000000000000007E-3</v>
      </c>
      <c r="Q4259" s="1">
        <v>3.5999999999999999E-3</v>
      </c>
    </row>
    <row r="4260" spans="1:17">
      <c r="A4260" s="25" t="s">
        <v>191</v>
      </c>
      <c r="B4260">
        <v>5440</v>
      </c>
      <c r="C4260" t="s">
        <v>189</v>
      </c>
      <c r="D4260">
        <v>10384</v>
      </c>
      <c r="E4260" s="1">
        <v>8.0000000000000004E-4</v>
      </c>
      <c r="F4260" s="1">
        <v>6.5500000000000003E-2</v>
      </c>
      <c r="G4260" s="1">
        <v>7.7000000000000002E-3</v>
      </c>
      <c r="H4260" s="1">
        <v>1.43E-2</v>
      </c>
      <c r="I4260" s="1">
        <v>1.8800000000000001E-2</v>
      </c>
      <c r="J4260" s="1">
        <v>3.8199999999999998E-2</v>
      </c>
      <c r="K4260" s="1">
        <v>3.6700000000000003E-2</v>
      </c>
      <c r="L4260" s="1">
        <v>3.1399999999999997E-2</v>
      </c>
      <c r="M4260" s="1">
        <v>0.84809999999999997</v>
      </c>
      <c r="N4260" s="1">
        <v>1.44E-2</v>
      </c>
      <c r="O4260" s="1">
        <v>5.9999999999999995E-4</v>
      </c>
      <c r="P4260" s="1">
        <v>7.0000000000000001E-3</v>
      </c>
      <c r="Q4260" s="1">
        <v>1.6999999999999999E-3</v>
      </c>
    </row>
    <row r="4261" spans="1:17">
      <c r="A4261" s="25" t="s">
        <v>192</v>
      </c>
      <c r="B4261">
        <v>10384</v>
      </c>
      <c r="C4261" t="s">
        <v>192</v>
      </c>
      <c r="D4261">
        <v>10384</v>
      </c>
      <c r="E4261" s="1">
        <v>1.5E-3</v>
      </c>
      <c r="F4261" s="1">
        <v>5.6899999999999999E-2</v>
      </c>
      <c r="G4261" s="1">
        <v>7.6E-3</v>
      </c>
      <c r="H4261" s="1">
        <v>1.6799999999999999E-2</v>
      </c>
      <c r="I4261" s="1">
        <v>1.47E-2</v>
      </c>
      <c r="J4261" s="1">
        <v>3.2800000000000003E-2</v>
      </c>
      <c r="K4261" s="1">
        <v>4.9399999999999999E-2</v>
      </c>
      <c r="L4261" s="1">
        <v>2.64E-2</v>
      </c>
      <c r="M4261" s="1">
        <v>0.84540000000000004</v>
      </c>
      <c r="N4261" s="1">
        <v>1.5100000000000001E-2</v>
      </c>
      <c r="O4261" s="1">
        <v>1.6999999999999999E-3</v>
      </c>
      <c r="P4261" s="1">
        <v>7.4999999999999997E-3</v>
      </c>
      <c r="Q4261" s="1">
        <v>2.3999999999999998E-3</v>
      </c>
    </row>
    <row r="4263" spans="1:17" ht="43.5">
      <c r="A4263" s="25" t="s">
        <v>1293</v>
      </c>
    </row>
    <row r="4264" spans="1:17">
      <c r="A4264" s="25" t="s">
        <v>182</v>
      </c>
      <c r="B4264" t="s">
        <v>219</v>
      </c>
      <c r="C4264" t="s">
        <v>181</v>
      </c>
      <c r="D4264" t="s">
        <v>188</v>
      </c>
      <c r="E4264" t="s">
        <v>241</v>
      </c>
      <c r="F4264" t="s">
        <v>1284</v>
      </c>
      <c r="G4264" t="s">
        <v>1285</v>
      </c>
      <c r="H4264" t="s">
        <v>1286</v>
      </c>
      <c r="I4264" t="s">
        <v>1287</v>
      </c>
      <c r="J4264" t="s">
        <v>1288</v>
      </c>
      <c r="K4264" t="s">
        <v>1289</v>
      </c>
      <c r="L4264" t="s">
        <v>1290</v>
      </c>
      <c r="M4264" t="s">
        <v>324</v>
      </c>
      <c r="N4264" t="s">
        <v>269</v>
      </c>
      <c r="O4264" t="s">
        <v>243</v>
      </c>
      <c r="P4264" t="s">
        <v>1291</v>
      </c>
      <c r="Q4264" t="s">
        <v>1292</v>
      </c>
    </row>
    <row r="4265" spans="1:17" ht="29.1">
      <c r="A4265" s="25" t="s">
        <v>194</v>
      </c>
      <c r="B4265">
        <v>5941</v>
      </c>
      <c r="C4265" t="s">
        <v>189</v>
      </c>
      <c r="D4265">
        <v>10384</v>
      </c>
      <c r="E4265" s="1">
        <v>1E-3</v>
      </c>
      <c r="F4265" s="1">
        <v>5.3499999999999999E-2</v>
      </c>
      <c r="G4265" s="1">
        <v>7.0000000000000001E-3</v>
      </c>
      <c r="H4265" s="1">
        <v>1.49E-2</v>
      </c>
      <c r="I4265" s="1">
        <v>1.52E-2</v>
      </c>
      <c r="J4265" s="1">
        <v>3.15E-2</v>
      </c>
      <c r="K4265" s="1">
        <v>4.5100000000000001E-2</v>
      </c>
      <c r="L4265" s="1">
        <v>2.9499999999999998E-2</v>
      </c>
      <c r="M4265" s="1">
        <v>0.86309999999999998</v>
      </c>
      <c r="N4265" s="1">
        <v>9.7999999999999997E-3</v>
      </c>
      <c r="O4265" s="1">
        <v>1.8E-3</v>
      </c>
      <c r="P4265" s="1">
        <v>6.0000000000000001E-3</v>
      </c>
      <c r="Q4265" s="1">
        <v>2.3E-3</v>
      </c>
    </row>
    <row r="4266" spans="1:17" ht="29.1">
      <c r="A4266" s="25" t="s">
        <v>195</v>
      </c>
      <c r="B4266">
        <v>2689</v>
      </c>
      <c r="C4266" t="s">
        <v>189</v>
      </c>
      <c r="D4266">
        <v>10384</v>
      </c>
      <c r="E4266" s="1">
        <v>2.5999999999999999E-3</v>
      </c>
      <c r="F4266" s="1">
        <v>6.3E-2</v>
      </c>
      <c r="G4266" s="1">
        <v>6.4999999999999997E-3</v>
      </c>
      <c r="H4266" s="1">
        <v>2.7199999999999998E-2</v>
      </c>
      <c r="I4266" s="1">
        <v>1.5100000000000001E-2</v>
      </c>
      <c r="J4266" s="1">
        <v>3.8699999999999998E-2</v>
      </c>
      <c r="K4266" s="1">
        <v>5.7000000000000002E-2</v>
      </c>
      <c r="L4266" s="1">
        <v>1.34E-2</v>
      </c>
      <c r="M4266" s="1">
        <v>0.81610000000000005</v>
      </c>
      <c r="N4266" s="1">
        <v>2.01E-2</v>
      </c>
      <c r="O4266" s="1">
        <v>2E-3</v>
      </c>
      <c r="P4266" s="1">
        <v>1.18E-2</v>
      </c>
      <c r="Q4266" s="1">
        <v>2.5000000000000001E-3</v>
      </c>
    </row>
    <row r="4267" spans="1:17" ht="29.1">
      <c r="A4267" s="25" t="s">
        <v>196</v>
      </c>
      <c r="B4267">
        <v>1699</v>
      </c>
      <c r="C4267" t="s">
        <v>189</v>
      </c>
      <c r="D4267">
        <v>10384</v>
      </c>
      <c r="E4267" s="1">
        <v>3.2000000000000002E-3</v>
      </c>
      <c r="F4267" s="1">
        <v>7.1400000000000005E-2</v>
      </c>
      <c r="G4267" s="1">
        <v>1.47E-2</v>
      </c>
      <c r="H4267" s="1">
        <v>1.0200000000000001E-2</v>
      </c>
      <c r="I4267" s="1">
        <v>1.0200000000000001E-2</v>
      </c>
      <c r="J4267" s="1">
        <v>3.0300000000000001E-2</v>
      </c>
      <c r="K4267" s="1">
        <v>6.7500000000000004E-2</v>
      </c>
      <c r="L4267" s="1">
        <v>2.9899999999999999E-2</v>
      </c>
      <c r="M4267" s="1">
        <v>0.76880000000000004</v>
      </c>
      <c r="N4267" s="1">
        <v>4.5600000000000002E-2</v>
      </c>
      <c r="O4267" s="1">
        <v>2.0000000000000001E-4</v>
      </c>
      <c r="P4267" s="1">
        <v>9.7000000000000003E-3</v>
      </c>
      <c r="Q4267" s="1">
        <v>3.8E-3</v>
      </c>
    </row>
    <row r="4268" spans="1:17">
      <c r="A4268" s="25" t="s">
        <v>192</v>
      </c>
      <c r="B4268">
        <v>10384</v>
      </c>
      <c r="C4268" t="s">
        <v>192</v>
      </c>
      <c r="D4268">
        <v>10384</v>
      </c>
      <c r="E4268" s="1">
        <v>1.5E-3</v>
      </c>
      <c r="F4268" s="1">
        <v>5.6899999999999999E-2</v>
      </c>
      <c r="G4268" s="1">
        <v>7.6E-3</v>
      </c>
      <c r="H4268" s="1">
        <v>1.6799999999999999E-2</v>
      </c>
      <c r="I4268" s="1">
        <v>1.47E-2</v>
      </c>
      <c r="J4268" s="1">
        <v>3.2800000000000003E-2</v>
      </c>
      <c r="K4268" s="1">
        <v>4.9399999999999999E-2</v>
      </c>
      <c r="L4268" s="1">
        <v>2.64E-2</v>
      </c>
      <c r="M4268" s="1">
        <v>0.84540000000000004</v>
      </c>
      <c r="N4268" s="1">
        <v>1.5100000000000001E-2</v>
      </c>
      <c r="O4268" s="1">
        <v>1.6999999999999999E-3</v>
      </c>
      <c r="P4268" s="1">
        <v>7.4999999999999997E-3</v>
      </c>
      <c r="Q4268" s="1">
        <v>2.3999999999999998E-3</v>
      </c>
    </row>
    <row r="4270" spans="1:17" ht="43.5">
      <c r="A4270" s="25" t="s">
        <v>1294</v>
      </c>
    </row>
    <row r="4271" spans="1:17">
      <c r="A4271" s="25" t="s">
        <v>182</v>
      </c>
      <c r="B4271" t="s">
        <v>219</v>
      </c>
      <c r="C4271" t="s">
        <v>181</v>
      </c>
      <c r="D4271" t="s">
        <v>188</v>
      </c>
      <c r="E4271" t="s">
        <v>241</v>
      </c>
      <c r="F4271" t="s">
        <v>1284</v>
      </c>
      <c r="G4271" t="s">
        <v>1285</v>
      </c>
      <c r="H4271" t="s">
        <v>1286</v>
      </c>
      <c r="I4271" t="s">
        <v>1287</v>
      </c>
      <c r="J4271" t="s">
        <v>1288</v>
      </c>
      <c r="K4271" t="s">
        <v>1289</v>
      </c>
      <c r="L4271" t="s">
        <v>1290</v>
      </c>
      <c r="M4271" t="s">
        <v>324</v>
      </c>
      <c r="N4271" t="s">
        <v>269</v>
      </c>
      <c r="O4271" t="s">
        <v>243</v>
      </c>
      <c r="P4271" t="s">
        <v>1291</v>
      </c>
      <c r="Q4271" t="s">
        <v>1292</v>
      </c>
    </row>
    <row r="4272" spans="1:17">
      <c r="A4272" s="25" t="s">
        <v>198</v>
      </c>
      <c r="B4272">
        <v>2248</v>
      </c>
      <c r="C4272" t="s">
        <v>189</v>
      </c>
      <c r="D4272">
        <v>10384</v>
      </c>
      <c r="E4272" s="1">
        <v>2.8999999999999998E-3</v>
      </c>
      <c r="F4272" s="1">
        <v>8.8700000000000001E-2</v>
      </c>
      <c r="G4272" s="1">
        <v>9.4000000000000004E-3</v>
      </c>
      <c r="H4272" s="1">
        <v>2.0199999999999999E-2</v>
      </c>
      <c r="I4272" s="1">
        <v>9.7999999999999997E-3</v>
      </c>
      <c r="J4272" s="1">
        <v>3.2300000000000002E-2</v>
      </c>
      <c r="K4272" s="1">
        <v>9.9900000000000003E-2</v>
      </c>
      <c r="L4272" s="1">
        <v>2.9600000000000001E-2</v>
      </c>
      <c r="M4272" s="1">
        <v>0.75349999999999995</v>
      </c>
      <c r="N4272" s="1">
        <v>3.5200000000000002E-2</v>
      </c>
      <c r="O4272" s="1">
        <v>1.1000000000000001E-3</v>
      </c>
      <c r="P4272" s="1">
        <v>2.86E-2</v>
      </c>
      <c r="Q4272" s="1">
        <v>6.7000000000000002E-3</v>
      </c>
    </row>
    <row r="4273" spans="1:17">
      <c r="A4273" s="25" t="s">
        <v>199</v>
      </c>
      <c r="B4273">
        <v>8136</v>
      </c>
      <c r="C4273" t="s">
        <v>189</v>
      </c>
      <c r="D4273">
        <v>10384</v>
      </c>
      <c r="E4273" s="1">
        <v>1.1999999999999999E-3</v>
      </c>
      <c r="F4273" s="1">
        <v>4.9799999999999997E-2</v>
      </c>
      <c r="G4273" s="1">
        <v>7.1999999999999998E-3</v>
      </c>
      <c r="H4273" s="1">
        <v>1.6E-2</v>
      </c>
      <c r="I4273" s="1">
        <v>1.5800000000000002E-2</v>
      </c>
      <c r="J4273" s="1">
        <v>3.2899999999999999E-2</v>
      </c>
      <c r="K4273" s="1">
        <v>3.8100000000000002E-2</v>
      </c>
      <c r="L4273" s="1">
        <v>2.5700000000000001E-2</v>
      </c>
      <c r="M4273" s="1">
        <v>0.86599999999999999</v>
      </c>
      <c r="N4273" s="1">
        <v>1.06E-2</v>
      </c>
      <c r="O4273" s="1">
        <v>1.8E-3</v>
      </c>
      <c r="P4273" s="1">
        <v>2.7000000000000001E-3</v>
      </c>
      <c r="Q4273" s="1">
        <v>1.5E-3</v>
      </c>
    </row>
    <row r="4274" spans="1:17">
      <c r="A4274" s="25" t="s">
        <v>192</v>
      </c>
      <c r="B4274">
        <v>10384</v>
      </c>
      <c r="C4274" t="s">
        <v>192</v>
      </c>
      <c r="D4274">
        <v>10384</v>
      </c>
      <c r="E4274" s="1">
        <v>1.5E-3</v>
      </c>
      <c r="F4274" s="1">
        <v>5.6899999999999999E-2</v>
      </c>
      <c r="G4274" s="1">
        <v>7.6E-3</v>
      </c>
      <c r="H4274" s="1">
        <v>1.6799999999999999E-2</v>
      </c>
      <c r="I4274" s="1">
        <v>1.47E-2</v>
      </c>
      <c r="J4274" s="1">
        <v>3.2800000000000003E-2</v>
      </c>
      <c r="K4274" s="1">
        <v>4.9399999999999999E-2</v>
      </c>
      <c r="L4274" s="1">
        <v>2.64E-2</v>
      </c>
      <c r="M4274" s="1">
        <v>0.84540000000000004</v>
      </c>
      <c r="N4274" s="1">
        <v>1.5100000000000001E-2</v>
      </c>
      <c r="O4274" s="1">
        <v>1.6999999999999999E-3</v>
      </c>
      <c r="P4274" s="1">
        <v>7.4999999999999997E-3</v>
      </c>
      <c r="Q4274" s="1">
        <v>2.3999999999999998E-3</v>
      </c>
    </row>
    <row r="4276" spans="1:17" ht="43.5">
      <c r="A4276" s="25" t="s">
        <v>1295</v>
      </c>
    </row>
    <row r="4277" spans="1:17">
      <c r="A4277" s="25" t="s">
        <v>182</v>
      </c>
      <c r="B4277" t="s">
        <v>219</v>
      </c>
      <c r="C4277" t="s">
        <v>181</v>
      </c>
      <c r="D4277" t="s">
        <v>188</v>
      </c>
      <c r="E4277" t="s">
        <v>241</v>
      </c>
      <c r="F4277" t="s">
        <v>1284</v>
      </c>
      <c r="G4277" t="s">
        <v>1285</v>
      </c>
      <c r="H4277" t="s">
        <v>1286</v>
      </c>
      <c r="I4277" t="s">
        <v>1287</v>
      </c>
      <c r="J4277" t="s">
        <v>1288</v>
      </c>
      <c r="K4277" t="s">
        <v>1289</v>
      </c>
      <c r="L4277" t="s">
        <v>1290</v>
      </c>
      <c r="M4277" t="s">
        <v>324</v>
      </c>
      <c r="N4277" t="s">
        <v>269</v>
      </c>
      <c r="O4277" t="s">
        <v>243</v>
      </c>
      <c r="P4277" t="s">
        <v>1291</v>
      </c>
      <c r="Q4277" t="s">
        <v>1292</v>
      </c>
    </row>
    <row r="4278" spans="1:17">
      <c r="A4278" s="25" t="s">
        <v>201</v>
      </c>
      <c r="B4278">
        <v>761</v>
      </c>
      <c r="C4278" t="s">
        <v>189</v>
      </c>
      <c r="D4278">
        <v>10384</v>
      </c>
      <c r="E4278" s="1">
        <v>3.0000000000000001E-3</v>
      </c>
      <c r="F4278" s="1">
        <v>0.1196</v>
      </c>
      <c r="G4278" s="1">
        <v>9.2999999999999992E-3</v>
      </c>
      <c r="H4278" s="1">
        <v>2.0899999999999998E-2</v>
      </c>
      <c r="I4278" s="1">
        <v>5.4300000000000001E-2</v>
      </c>
      <c r="J4278" s="1">
        <v>9.6000000000000002E-2</v>
      </c>
      <c r="K4278" s="1">
        <v>4.8099999999999997E-2</v>
      </c>
      <c r="L4278" s="1">
        <v>6.3100000000000003E-2</v>
      </c>
      <c r="M4278" s="1">
        <v>0.74560000000000004</v>
      </c>
      <c r="N4278" s="1">
        <v>1.95E-2</v>
      </c>
      <c r="P4278" s="1">
        <v>1.84E-2</v>
      </c>
      <c r="Q4278" s="1">
        <v>5.3E-3</v>
      </c>
    </row>
    <row r="4279" spans="1:17">
      <c r="A4279" s="25" t="s">
        <v>202</v>
      </c>
      <c r="B4279">
        <v>108</v>
      </c>
      <c r="C4279" t="s">
        <v>189</v>
      </c>
      <c r="D4279">
        <v>10384</v>
      </c>
      <c r="E4279" s="1">
        <v>5.8999999999999999E-3</v>
      </c>
      <c r="F4279" s="1">
        <v>0.1026</v>
      </c>
      <c r="G4279" s="1">
        <v>4.0000000000000001E-3</v>
      </c>
      <c r="H4279" s="1">
        <v>4.0000000000000001E-3</v>
      </c>
      <c r="J4279" s="1">
        <v>8.5300000000000001E-2</v>
      </c>
      <c r="K4279" s="1">
        <v>4.9799999999999997E-2</v>
      </c>
      <c r="L4279" s="1">
        <v>3.56E-2</v>
      </c>
      <c r="M4279" s="1">
        <v>0.71719999999999995</v>
      </c>
      <c r="N4279" s="1">
        <v>7.17E-2</v>
      </c>
    </row>
    <row r="4280" spans="1:17">
      <c r="A4280" s="25" t="s">
        <v>203</v>
      </c>
      <c r="B4280">
        <v>8013</v>
      </c>
      <c r="C4280" t="s">
        <v>189</v>
      </c>
      <c r="D4280">
        <v>10384</v>
      </c>
      <c r="E4280" s="1">
        <v>1.1000000000000001E-3</v>
      </c>
      <c r="F4280" s="1">
        <v>5.3100000000000001E-2</v>
      </c>
      <c r="G4280" s="1">
        <v>7.6E-3</v>
      </c>
      <c r="H4280" s="1">
        <v>1.6400000000000001E-2</v>
      </c>
      <c r="I4280" s="1">
        <v>1.0200000000000001E-2</v>
      </c>
      <c r="J4280" s="1">
        <v>2.5899999999999999E-2</v>
      </c>
      <c r="K4280" s="1">
        <v>5.11E-2</v>
      </c>
      <c r="L4280" s="1">
        <v>2.1999999999999999E-2</v>
      </c>
      <c r="M4280" s="1">
        <v>0.85309999999999997</v>
      </c>
      <c r="N4280" s="1">
        <v>1.4200000000000001E-2</v>
      </c>
      <c r="O4280" s="1">
        <v>2.0999999999999999E-3</v>
      </c>
      <c r="P4280" s="1">
        <v>7.3000000000000001E-3</v>
      </c>
      <c r="Q4280" s="1">
        <v>2.2000000000000001E-3</v>
      </c>
    </row>
    <row r="4281" spans="1:17">
      <c r="A4281" s="25" t="s">
        <v>204</v>
      </c>
      <c r="B4281">
        <v>30</v>
      </c>
      <c r="C4281" t="s">
        <v>189</v>
      </c>
      <c r="D4281">
        <v>10384</v>
      </c>
      <c r="E4281" s="1">
        <v>1.17E-2</v>
      </c>
      <c r="F4281" s="1">
        <v>6.93E-2</v>
      </c>
      <c r="G4281" s="1">
        <v>1.4500000000000001E-2</v>
      </c>
      <c r="H4281" s="1">
        <v>2.1700000000000001E-2</v>
      </c>
      <c r="K4281" s="1">
        <v>4.2299999999999997E-2</v>
      </c>
      <c r="L4281" s="1">
        <v>1.04E-2</v>
      </c>
      <c r="M4281" s="1">
        <v>0.78410000000000002</v>
      </c>
      <c r="P4281" s="1">
        <v>8.8999999999999996E-2</v>
      </c>
    </row>
    <row r="4282" spans="1:17">
      <c r="A4282" s="25" t="s">
        <v>205</v>
      </c>
      <c r="B4282">
        <v>1472</v>
      </c>
      <c r="C4282" t="s">
        <v>189</v>
      </c>
      <c r="D4282">
        <v>10384</v>
      </c>
      <c r="E4282" s="1">
        <v>2.7000000000000001E-3</v>
      </c>
      <c r="F4282" s="1">
        <v>4.5400000000000003E-2</v>
      </c>
      <c r="G4282" s="1">
        <v>6.8999999999999999E-3</v>
      </c>
      <c r="H4282" s="1">
        <v>1.7399999999999999E-2</v>
      </c>
      <c r="I4282" s="1">
        <v>2.1499999999999998E-2</v>
      </c>
      <c r="J4282" s="1">
        <v>3.8399999999999997E-2</v>
      </c>
      <c r="K4282" s="1">
        <v>4.07E-2</v>
      </c>
      <c r="L4282" s="1">
        <v>3.2599999999999997E-2</v>
      </c>
      <c r="M4282" s="1">
        <v>0.8579</v>
      </c>
      <c r="N4282" s="1">
        <v>1.6400000000000001E-2</v>
      </c>
      <c r="O4282" s="1">
        <v>2.0000000000000001E-4</v>
      </c>
      <c r="P4282" s="1">
        <v>2.3E-3</v>
      </c>
      <c r="Q4282" s="1">
        <v>2.5999999999999999E-3</v>
      </c>
    </row>
    <row r="4283" spans="1:17">
      <c r="A4283" s="25" t="s">
        <v>192</v>
      </c>
      <c r="B4283">
        <v>10384</v>
      </c>
      <c r="C4283" t="s">
        <v>192</v>
      </c>
      <c r="D4283">
        <v>10384</v>
      </c>
      <c r="E4283" s="1">
        <v>1.5E-3</v>
      </c>
      <c r="F4283" s="1">
        <v>5.6899999999999999E-2</v>
      </c>
      <c r="G4283" s="1">
        <v>7.6E-3</v>
      </c>
      <c r="H4283" s="1">
        <v>1.6799999999999999E-2</v>
      </c>
      <c r="I4283" s="1">
        <v>1.47E-2</v>
      </c>
      <c r="J4283" s="1">
        <v>3.2800000000000003E-2</v>
      </c>
      <c r="K4283" s="1">
        <v>4.9399999999999999E-2</v>
      </c>
      <c r="L4283" s="1">
        <v>2.64E-2</v>
      </c>
      <c r="M4283" s="1">
        <v>0.84540000000000004</v>
      </c>
      <c r="N4283" s="1">
        <v>1.5100000000000001E-2</v>
      </c>
      <c r="O4283" s="1">
        <v>1.6999999999999999E-3</v>
      </c>
      <c r="P4283" s="1">
        <v>7.4999999999999997E-3</v>
      </c>
      <c r="Q4283" s="1">
        <v>2.3999999999999998E-3</v>
      </c>
    </row>
    <row r="4285" spans="1:17" ht="43.5">
      <c r="A4285" s="25" t="s">
        <v>1296</v>
      </c>
    </row>
    <row r="4286" spans="1:17">
      <c r="A4286" s="25" t="s">
        <v>182</v>
      </c>
      <c r="B4286" t="s">
        <v>219</v>
      </c>
      <c r="C4286" t="s">
        <v>181</v>
      </c>
      <c r="D4286" t="s">
        <v>188</v>
      </c>
      <c r="E4286" t="s">
        <v>241</v>
      </c>
      <c r="F4286" t="s">
        <v>1284</v>
      </c>
      <c r="G4286" t="s">
        <v>1285</v>
      </c>
      <c r="H4286" t="s">
        <v>1286</v>
      </c>
      <c r="I4286" t="s">
        <v>1287</v>
      </c>
      <c r="J4286" t="s">
        <v>1288</v>
      </c>
      <c r="K4286" t="s">
        <v>1289</v>
      </c>
      <c r="L4286" t="s">
        <v>1290</v>
      </c>
      <c r="M4286" t="s">
        <v>324</v>
      </c>
      <c r="N4286" t="s">
        <v>269</v>
      </c>
      <c r="O4286" t="s">
        <v>243</v>
      </c>
      <c r="P4286" t="s">
        <v>1291</v>
      </c>
      <c r="Q4286" t="s">
        <v>1292</v>
      </c>
    </row>
    <row r="4287" spans="1:17">
      <c r="A4287" s="25" t="s">
        <v>207</v>
      </c>
      <c r="B4287">
        <v>7225</v>
      </c>
      <c r="C4287" t="s">
        <v>189</v>
      </c>
      <c r="D4287">
        <v>10384</v>
      </c>
      <c r="E4287" s="1">
        <v>1.8E-3</v>
      </c>
      <c r="F4287" s="1">
        <v>4.4600000000000001E-2</v>
      </c>
      <c r="G4287" s="1">
        <v>7.7000000000000002E-3</v>
      </c>
      <c r="H4287" s="1">
        <v>1.66E-2</v>
      </c>
      <c r="I4287" s="1">
        <v>9.7000000000000003E-3</v>
      </c>
      <c r="J4287" s="1">
        <v>2.8500000000000001E-2</v>
      </c>
      <c r="K4287" s="1">
        <v>4.3799999999999999E-2</v>
      </c>
      <c r="L4287" s="1">
        <v>2.1600000000000001E-2</v>
      </c>
      <c r="M4287" s="1">
        <v>0.86250000000000004</v>
      </c>
      <c r="N4287" s="1">
        <v>1.37E-2</v>
      </c>
      <c r="O4287" s="1">
        <v>8.9999999999999998E-4</v>
      </c>
      <c r="P4287" s="1">
        <v>8.6999999999999994E-3</v>
      </c>
      <c r="Q4287" s="1">
        <v>1.1000000000000001E-3</v>
      </c>
    </row>
    <row r="4288" spans="1:17">
      <c r="A4288" s="25" t="s">
        <v>208</v>
      </c>
      <c r="B4288">
        <v>2231</v>
      </c>
      <c r="C4288" t="s">
        <v>189</v>
      </c>
      <c r="D4288">
        <v>10384</v>
      </c>
      <c r="E4288" s="1">
        <v>6.9999999999999999E-4</v>
      </c>
      <c r="F4288" s="1">
        <v>0.1007</v>
      </c>
      <c r="G4288" s="1">
        <v>7.4000000000000003E-3</v>
      </c>
      <c r="H4288" s="1">
        <v>1.84E-2</v>
      </c>
      <c r="I4288" s="1">
        <v>2.9000000000000001E-2</v>
      </c>
      <c r="J4288" s="1">
        <v>3.0700000000000002E-2</v>
      </c>
      <c r="K4288" s="1">
        <v>6.3399999999999998E-2</v>
      </c>
      <c r="L4288" s="1">
        <v>3.8800000000000001E-2</v>
      </c>
      <c r="M4288" s="1">
        <v>0.8</v>
      </c>
      <c r="N4288" s="1">
        <v>1.61E-2</v>
      </c>
      <c r="O4288" s="1">
        <v>4.5999999999999999E-3</v>
      </c>
      <c r="P4288" s="1">
        <v>3.8E-3</v>
      </c>
      <c r="Q4288" s="1">
        <v>5.5999999999999999E-3</v>
      </c>
    </row>
    <row r="4289" spans="1:17">
      <c r="A4289" s="25" t="s">
        <v>209</v>
      </c>
      <c r="B4289">
        <v>928</v>
      </c>
      <c r="C4289" t="s">
        <v>189</v>
      </c>
      <c r="D4289">
        <v>10384</v>
      </c>
      <c r="E4289" s="1">
        <v>1.2999999999999999E-3</v>
      </c>
      <c r="F4289" s="1">
        <v>4.0899999999999999E-2</v>
      </c>
      <c r="G4289" s="1">
        <v>7.1000000000000004E-3</v>
      </c>
      <c r="H4289" s="1">
        <v>1.3899999999999999E-2</v>
      </c>
      <c r="I4289" s="1">
        <v>1.8599999999999998E-2</v>
      </c>
      <c r="J4289" s="1">
        <v>7.5999999999999998E-2</v>
      </c>
      <c r="K4289" s="1">
        <v>5.96E-2</v>
      </c>
      <c r="L4289" s="1">
        <v>3.3599999999999998E-2</v>
      </c>
      <c r="M4289" s="1">
        <v>0.82340000000000002</v>
      </c>
      <c r="N4289" s="1">
        <v>2.47E-2</v>
      </c>
      <c r="O4289" s="1">
        <v>5.9999999999999995E-4</v>
      </c>
      <c r="P4289" s="1">
        <v>6.8999999999999999E-3</v>
      </c>
      <c r="Q4289" s="1">
        <v>5.1999999999999998E-3</v>
      </c>
    </row>
    <row r="4290" spans="1:17">
      <c r="A4290" s="25" t="s">
        <v>192</v>
      </c>
      <c r="B4290">
        <v>10384</v>
      </c>
      <c r="C4290" t="s">
        <v>192</v>
      </c>
      <c r="D4290">
        <v>10384</v>
      </c>
      <c r="E4290" s="1">
        <v>1.5E-3</v>
      </c>
      <c r="F4290" s="1">
        <v>5.6899999999999999E-2</v>
      </c>
      <c r="G4290" s="1">
        <v>7.6E-3</v>
      </c>
      <c r="H4290" s="1">
        <v>1.6799999999999999E-2</v>
      </c>
      <c r="I4290" s="1">
        <v>1.47E-2</v>
      </c>
      <c r="J4290" s="1">
        <v>3.2800000000000003E-2</v>
      </c>
      <c r="K4290" s="1">
        <v>4.9399999999999999E-2</v>
      </c>
      <c r="L4290" s="1">
        <v>2.64E-2</v>
      </c>
      <c r="M4290" s="1">
        <v>0.84540000000000004</v>
      </c>
      <c r="N4290" s="1">
        <v>1.5100000000000001E-2</v>
      </c>
      <c r="O4290" s="1">
        <v>1.6999999999999999E-3</v>
      </c>
      <c r="P4290" s="1">
        <v>7.4999999999999997E-3</v>
      </c>
      <c r="Q4290" s="1">
        <v>2.3999999999999998E-3</v>
      </c>
    </row>
    <row r="4292" spans="1:17" ht="43.5">
      <c r="A4292" s="25" t="s">
        <v>1297</v>
      </c>
    </row>
    <row r="4293" spans="1:17">
      <c r="A4293" s="25" t="s">
        <v>182</v>
      </c>
      <c r="B4293" t="s">
        <v>219</v>
      </c>
      <c r="C4293" t="s">
        <v>181</v>
      </c>
      <c r="D4293" t="s">
        <v>188</v>
      </c>
      <c r="E4293" t="s">
        <v>241</v>
      </c>
      <c r="F4293" t="s">
        <v>1284</v>
      </c>
      <c r="G4293" t="s">
        <v>1285</v>
      </c>
      <c r="H4293" t="s">
        <v>1286</v>
      </c>
      <c r="I4293" t="s">
        <v>1287</v>
      </c>
      <c r="J4293" t="s">
        <v>1288</v>
      </c>
      <c r="K4293" t="s">
        <v>1289</v>
      </c>
      <c r="L4293" t="s">
        <v>1290</v>
      </c>
      <c r="M4293" t="s">
        <v>324</v>
      </c>
      <c r="N4293" t="s">
        <v>269</v>
      </c>
      <c r="O4293" t="s">
        <v>243</v>
      </c>
      <c r="P4293" t="s">
        <v>1291</v>
      </c>
      <c r="Q4293" t="s">
        <v>1292</v>
      </c>
    </row>
    <row r="4294" spans="1:17">
      <c r="A4294" s="25" t="s">
        <v>211</v>
      </c>
      <c r="B4294">
        <v>4951</v>
      </c>
      <c r="C4294" t="s">
        <v>189</v>
      </c>
      <c r="D4294">
        <v>10384</v>
      </c>
      <c r="E4294" s="1">
        <v>1.6999999999999999E-3</v>
      </c>
      <c r="F4294" s="1">
        <v>3.5799999999999998E-2</v>
      </c>
      <c r="G4294" s="1">
        <v>8.6E-3</v>
      </c>
      <c r="H4294" s="1">
        <v>1.47E-2</v>
      </c>
      <c r="I4294" s="1">
        <v>7.9000000000000008E-3</v>
      </c>
      <c r="J4294" s="1">
        <v>2.58E-2</v>
      </c>
      <c r="K4294" s="1">
        <v>4.2500000000000003E-2</v>
      </c>
      <c r="L4294" s="1">
        <v>2.4400000000000002E-2</v>
      </c>
      <c r="M4294" s="1">
        <v>0.87470000000000003</v>
      </c>
      <c r="N4294" s="1">
        <v>1.24E-2</v>
      </c>
      <c r="O4294" s="1">
        <v>2.9999999999999997E-4</v>
      </c>
      <c r="P4294" s="1">
        <v>7.4999999999999997E-3</v>
      </c>
      <c r="Q4294" s="1">
        <v>1.6999999999999999E-3</v>
      </c>
    </row>
    <row r="4295" spans="1:17">
      <c r="A4295" s="25" t="s">
        <v>212</v>
      </c>
      <c r="B4295">
        <v>3357</v>
      </c>
      <c r="C4295" t="s">
        <v>189</v>
      </c>
      <c r="D4295">
        <v>10384</v>
      </c>
      <c r="E4295" s="1">
        <v>1E-3</v>
      </c>
      <c r="F4295" s="1">
        <v>7.3499999999999996E-2</v>
      </c>
      <c r="G4295" s="1">
        <v>7.1000000000000004E-3</v>
      </c>
      <c r="H4295" s="1">
        <v>1.77E-2</v>
      </c>
      <c r="I4295" s="1">
        <v>2.0299999999999999E-2</v>
      </c>
      <c r="J4295" s="1">
        <v>3.9100000000000003E-2</v>
      </c>
      <c r="K4295" s="1">
        <v>6.9800000000000001E-2</v>
      </c>
      <c r="L4295" s="1">
        <v>2.6100000000000002E-2</v>
      </c>
      <c r="M4295" s="1">
        <v>0.80740000000000001</v>
      </c>
      <c r="N4295" s="1">
        <v>2.0500000000000001E-2</v>
      </c>
      <c r="O4295" s="1">
        <v>2.3E-3</v>
      </c>
      <c r="P4295" s="1">
        <v>7.0000000000000001E-3</v>
      </c>
      <c r="Q4295" s="1">
        <v>4.5999999999999999E-3</v>
      </c>
    </row>
    <row r="4296" spans="1:17">
      <c r="A4296" s="25" t="s">
        <v>213</v>
      </c>
      <c r="B4296">
        <v>2076</v>
      </c>
      <c r="C4296" t="s">
        <v>189</v>
      </c>
      <c r="D4296">
        <v>10384</v>
      </c>
      <c r="E4296" s="1">
        <v>1.9E-3</v>
      </c>
      <c r="F4296" s="1">
        <v>7.8799999999999995E-2</v>
      </c>
      <c r="G4296" s="1">
        <v>6.1000000000000004E-3</v>
      </c>
      <c r="H4296" s="1">
        <v>1.9900000000000001E-2</v>
      </c>
      <c r="I4296" s="1">
        <v>2.1399999999999999E-2</v>
      </c>
      <c r="J4296" s="1">
        <v>3.8600000000000002E-2</v>
      </c>
      <c r="K4296" s="1">
        <v>3.5299999999999998E-2</v>
      </c>
      <c r="L4296" s="1">
        <v>3.1099999999999999E-2</v>
      </c>
      <c r="M4296" s="1">
        <v>0.83650000000000002</v>
      </c>
      <c r="N4296" s="1">
        <v>1.34E-2</v>
      </c>
      <c r="O4296" s="1">
        <v>3.5999999999999999E-3</v>
      </c>
      <c r="P4296" s="1">
        <v>8.0999999999999996E-3</v>
      </c>
      <c r="Q4296" s="1">
        <v>8.9999999999999998E-4</v>
      </c>
    </row>
    <row r="4297" spans="1:17">
      <c r="A4297" s="25" t="s">
        <v>192</v>
      </c>
      <c r="B4297">
        <v>10384</v>
      </c>
      <c r="C4297" t="s">
        <v>192</v>
      </c>
      <c r="D4297">
        <v>10384</v>
      </c>
      <c r="E4297" s="1">
        <v>1.5E-3</v>
      </c>
      <c r="F4297" s="1">
        <v>5.6899999999999999E-2</v>
      </c>
      <c r="G4297" s="1">
        <v>7.6E-3</v>
      </c>
      <c r="H4297" s="1">
        <v>1.6799999999999999E-2</v>
      </c>
      <c r="I4297" s="1">
        <v>1.47E-2</v>
      </c>
      <c r="J4297" s="1">
        <v>3.2800000000000003E-2</v>
      </c>
      <c r="K4297" s="1">
        <v>4.9399999999999999E-2</v>
      </c>
      <c r="L4297" s="1">
        <v>2.64E-2</v>
      </c>
      <c r="M4297" s="1">
        <v>0.84540000000000004</v>
      </c>
      <c r="N4297" s="1">
        <v>1.5100000000000001E-2</v>
      </c>
      <c r="O4297" s="1">
        <v>1.6999999999999999E-3</v>
      </c>
      <c r="P4297" s="1">
        <v>7.4999999999999997E-3</v>
      </c>
      <c r="Q4297" s="1">
        <v>2.3999999999999998E-3</v>
      </c>
    </row>
    <row r="4299" spans="1:17" ht="43.5">
      <c r="A4299" s="25" t="s">
        <v>1298</v>
      </c>
    </row>
    <row r="4300" spans="1:17">
      <c r="A4300" s="25" t="s">
        <v>182</v>
      </c>
      <c r="B4300" t="s">
        <v>219</v>
      </c>
      <c r="C4300" t="s">
        <v>181</v>
      </c>
      <c r="D4300" t="s">
        <v>188</v>
      </c>
      <c r="E4300" t="s">
        <v>241</v>
      </c>
      <c r="F4300" t="s">
        <v>1299</v>
      </c>
      <c r="G4300" t="s">
        <v>324</v>
      </c>
      <c r="H4300" t="s">
        <v>269</v>
      </c>
      <c r="I4300" t="s">
        <v>243</v>
      </c>
      <c r="J4300" t="s">
        <v>1300</v>
      </c>
      <c r="K4300" t="s">
        <v>1301</v>
      </c>
      <c r="L4300" t="s">
        <v>1302</v>
      </c>
    </row>
    <row r="4301" spans="1:17">
      <c r="A4301" s="25" t="s">
        <v>190</v>
      </c>
      <c r="B4301">
        <v>4892</v>
      </c>
      <c r="C4301" t="s">
        <v>189</v>
      </c>
      <c r="D4301">
        <v>10412</v>
      </c>
      <c r="E4301" s="1">
        <v>1.1000000000000001E-3</v>
      </c>
      <c r="F4301" s="1">
        <v>1.5599999999999999E-2</v>
      </c>
      <c r="G4301" s="1">
        <v>0.95599999999999996</v>
      </c>
      <c r="H4301" s="1">
        <v>1.6999999999999999E-3</v>
      </c>
      <c r="I4301" s="1">
        <v>4.0000000000000002E-4</v>
      </c>
      <c r="J4301" s="1">
        <v>2.1499999999999998E-2</v>
      </c>
      <c r="K4301" s="1">
        <v>2.0199999999999999E-2</v>
      </c>
      <c r="L4301" s="1">
        <v>3.0700000000000002E-2</v>
      </c>
    </row>
    <row r="4302" spans="1:17">
      <c r="A4302" s="25" t="s">
        <v>191</v>
      </c>
      <c r="B4302">
        <v>5463</v>
      </c>
      <c r="C4302" t="s">
        <v>189</v>
      </c>
      <c r="D4302">
        <v>10412</v>
      </c>
      <c r="E4302" s="1">
        <v>1.4E-3</v>
      </c>
      <c r="F4302" s="1">
        <v>8.0999999999999996E-3</v>
      </c>
      <c r="G4302" s="1">
        <v>0.94420000000000004</v>
      </c>
      <c r="H4302" s="1">
        <v>2.3E-3</v>
      </c>
      <c r="I4302" s="1">
        <v>2.0000000000000001E-4</v>
      </c>
      <c r="J4302" s="1">
        <v>1.6400000000000001E-2</v>
      </c>
      <c r="K4302" s="1">
        <v>1.4500000000000001E-2</v>
      </c>
      <c r="L4302" s="1">
        <v>4.3499999999999997E-2</v>
      </c>
    </row>
    <row r="4303" spans="1:17">
      <c r="A4303" s="25" t="s">
        <v>192</v>
      </c>
      <c r="B4303">
        <v>10412</v>
      </c>
      <c r="C4303" t="s">
        <v>192</v>
      </c>
      <c r="D4303">
        <v>10412</v>
      </c>
      <c r="E4303" s="1">
        <v>1.2999999999999999E-3</v>
      </c>
      <c r="F4303" s="1">
        <v>1.09E-2</v>
      </c>
      <c r="G4303" s="1">
        <v>0.9486</v>
      </c>
      <c r="H4303" s="1">
        <v>2.0999999999999999E-3</v>
      </c>
      <c r="I4303" s="1">
        <v>2.9999999999999997E-4</v>
      </c>
      <c r="J4303" s="1">
        <v>1.84E-2</v>
      </c>
      <c r="K4303" s="1">
        <v>1.67E-2</v>
      </c>
      <c r="L4303" s="1">
        <v>3.8699999999999998E-2</v>
      </c>
    </row>
    <row r="4305" spans="1:12" ht="43.5">
      <c r="A4305" s="25" t="s">
        <v>1303</v>
      </c>
    </row>
    <row r="4306" spans="1:12">
      <c r="A4306" s="25" t="s">
        <v>182</v>
      </c>
      <c r="B4306" t="s">
        <v>219</v>
      </c>
      <c r="C4306" t="s">
        <v>181</v>
      </c>
      <c r="D4306" t="s">
        <v>188</v>
      </c>
      <c r="E4306" t="s">
        <v>241</v>
      </c>
      <c r="F4306" t="s">
        <v>1299</v>
      </c>
      <c r="G4306" t="s">
        <v>324</v>
      </c>
      <c r="H4306" t="s">
        <v>269</v>
      </c>
      <c r="I4306" t="s">
        <v>243</v>
      </c>
      <c r="J4306" t="s">
        <v>1300</v>
      </c>
      <c r="K4306" t="s">
        <v>1301</v>
      </c>
      <c r="L4306" t="s">
        <v>1302</v>
      </c>
    </row>
    <row r="4307" spans="1:12" ht="29.1">
      <c r="A4307" s="25" t="s">
        <v>194</v>
      </c>
      <c r="B4307">
        <v>5950</v>
      </c>
      <c r="C4307" t="s">
        <v>189</v>
      </c>
      <c r="D4307">
        <v>10412</v>
      </c>
      <c r="E4307" s="1">
        <v>2.9999999999999997E-4</v>
      </c>
      <c r="F4307" s="1">
        <v>6.4000000000000003E-3</v>
      </c>
      <c r="G4307" s="1">
        <v>0.97409999999999997</v>
      </c>
      <c r="H4307" s="1">
        <v>5.0000000000000001E-4</v>
      </c>
      <c r="I4307" s="1">
        <v>2.0000000000000001E-4</v>
      </c>
      <c r="J4307" s="1">
        <v>8.6999999999999994E-3</v>
      </c>
      <c r="K4307" s="1">
        <v>1.06E-2</v>
      </c>
      <c r="L4307" s="1">
        <v>1.9900000000000001E-2</v>
      </c>
    </row>
    <row r="4308" spans="1:12" ht="29.1">
      <c r="A4308" s="25" t="s">
        <v>195</v>
      </c>
      <c r="B4308">
        <v>2697</v>
      </c>
      <c r="C4308" t="s">
        <v>189</v>
      </c>
      <c r="D4308">
        <v>10412</v>
      </c>
      <c r="E4308" s="1">
        <v>3.5999999999999999E-3</v>
      </c>
      <c r="F4308" s="1">
        <v>1.5100000000000001E-2</v>
      </c>
      <c r="G4308" s="1">
        <v>0.93689999999999996</v>
      </c>
      <c r="H4308" s="1">
        <v>2.5000000000000001E-3</v>
      </c>
      <c r="I4308" s="1">
        <v>1E-4</v>
      </c>
      <c r="J4308" s="1">
        <v>2.6599999999999999E-2</v>
      </c>
      <c r="K4308" s="1">
        <v>1.9699999999999999E-2</v>
      </c>
      <c r="L4308" s="1">
        <v>4.1500000000000002E-2</v>
      </c>
    </row>
    <row r="4309" spans="1:12" ht="29.1">
      <c r="A4309" s="25" t="s">
        <v>196</v>
      </c>
      <c r="B4309">
        <v>1708</v>
      </c>
      <c r="C4309" t="s">
        <v>189</v>
      </c>
      <c r="D4309">
        <v>10412</v>
      </c>
      <c r="E4309" s="1">
        <v>4.0000000000000001E-3</v>
      </c>
      <c r="F4309" s="1">
        <v>3.6799999999999999E-2</v>
      </c>
      <c r="G4309" s="1">
        <v>0.77869999999999995</v>
      </c>
      <c r="H4309" s="1">
        <v>1.3100000000000001E-2</v>
      </c>
      <c r="I4309" s="1">
        <v>1.6000000000000001E-3</v>
      </c>
      <c r="J4309" s="1">
        <v>7.46E-2</v>
      </c>
      <c r="K4309" s="1">
        <v>5.7099999999999998E-2</v>
      </c>
      <c r="L4309" s="1">
        <v>0.17580000000000001</v>
      </c>
    </row>
    <row r="4310" spans="1:12">
      <c r="A4310" s="25" t="s">
        <v>192</v>
      </c>
      <c r="B4310">
        <v>10412</v>
      </c>
      <c r="C4310" t="s">
        <v>192</v>
      </c>
      <c r="D4310">
        <v>10412</v>
      </c>
      <c r="E4310" s="1">
        <v>1.2999999999999999E-3</v>
      </c>
      <c r="F4310" s="1">
        <v>1.09E-2</v>
      </c>
      <c r="G4310" s="1">
        <v>0.9486</v>
      </c>
      <c r="H4310" s="1">
        <v>2.0999999999999999E-3</v>
      </c>
      <c r="I4310" s="1">
        <v>2.9999999999999997E-4</v>
      </c>
      <c r="J4310" s="1">
        <v>1.84E-2</v>
      </c>
      <c r="K4310" s="1">
        <v>1.67E-2</v>
      </c>
      <c r="L4310" s="1">
        <v>3.8699999999999998E-2</v>
      </c>
    </row>
    <row r="4312" spans="1:12" ht="43.5">
      <c r="A4312" s="25" t="s">
        <v>1304</v>
      </c>
    </row>
    <row r="4313" spans="1:12">
      <c r="A4313" s="25" t="s">
        <v>182</v>
      </c>
      <c r="B4313" t="s">
        <v>219</v>
      </c>
      <c r="C4313" t="s">
        <v>181</v>
      </c>
      <c r="D4313" t="s">
        <v>188</v>
      </c>
      <c r="E4313" t="s">
        <v>241</v>
      </c>
      <c r="F4313" t="s">
        <v>1299</v>
      </c>
      <c r="G4313" t="s">
        <v>324</v>
      </c>
      <c r="H4313" t="s">
        <v>269</v>
      </c>
      <c r="I4313" t="s">
        <v>243</v>
      </c>
      <c r="J4313" t="s">
        <v>1300</v>
      </c>
      <c r="K4313" t="s">
        <v>1301</v>
      </c>
      <c r="L4313" t="s">
        <v>1302</v>
      </c>
    </row>
    <row r="4314" spans="1:12">
      <c r="A4314" s="25" t="s">
        <v>198</v>
      </c>
      <c r="B4314">
        <v>2257</v>
      </c>
      <c r="C4314" t="s">
        <v>189</v>
      </c>
      <c r="D4314">
        <v>10412</v>
      </c>
      <c r="E4314" s="1">
        <v>1.6000000000000001E-3</v>
      </c>
      <c r="F4314" s="1">
        <v>1.9599999999999999E-2</v>
      </c>
      <c r="G4314" s="1">
        <v>0.92559999999999998</v>
      </c>
      <c r="H4314" s="1">
        <v>3.8999999999999998E-3</v>
      </c>
      <c r="J4314" s="1">
        <v>2.8000000000000001E-2</v>
      </c>
      <c r="K4314" s="1">
        <v>2.2599999999999999E-2</v>
      </c>
      <c r="L4314" s="1">
        <v>5.6399999999999999E-2</v>
      </c>
    </row>
    <row r="4315" spans="1:12">
      <c r="A4315" s="25" t="s">
        <v>199</v>
      </c>
      <c r="B4315">
        <v>8155</v>
      </c>
      <c r="C4315" t="s">
        <v>189</v>
      </c>
      <c r="D4315">
        <v>10412</v>
      </c>
      <c r="E4315" s="1">
        <v>1.2999999999999999E-3</v>
      </c>
      <c r="F4315" s="1">
        <v>8.9999999999999993E-3</v>
      </c>
      <c r="G4315" s="1">
        <v>0.95369999999999999</v>
      </c>
      <c r="H4315" s="1">
        <v>1.6999999999999999E-3</v>
      </c>
      <c r="I4315" s="1">
        <v>4.0000000000000002E-4</v>
      </c>
      <c r="J4315" s="1">
        <v>1.6299999999999999E-2</v>
      </c>
      <c r="K4315" s="1">
        <v>1.54E-2</v>
      </c>
      <c r="L4315" s="1">
        <v>3.4700000000000002E-2</v>
      </c>
    </row>
    <row r="4316" spans="1:12">
      <c r="A4316" s="25" t="s">
        <v>192</v>
      </c>
      <c r="B4316">
        <v>10412</v>
      </c>
      <c r="C4316" t="s">
        <v>192</v>
      </c>
      <c r="D4316">
        <v>10412</v>
      </c>
      <c r="E4316" s="1">
        <v>1.2999999999999999E-3</v>
      </c>
      <c r="F4316" s="1">
        <v>1.09E-2</v>
      </c>
      <c r="G4316" s="1">
        <v>0.9486</v>
      </c>
      <c r="H4316" s="1">
        <v>2.0999999999999999E-3</v>
      </c>
      <c r="I4316" s="1">
        <v>2.9999999999999997E-4</v>
      </c>
      <c r="J4316" s="1">
        <v>1.84E-2</v>
      </c>
      <c r="K4316" s="1">
        <v>1.67E-2</v>
      </c>
      <c r="L4316" s="1">
        <v>3.8699999999999998E-2</v>
      </c>
    </row>
    <row r="4318" spans="1:12" ht="43.5">
      <c r="A4318" s="25" t="s">
        <v>1305</v>
      </c>
    </row>
    <row r="4319" spans="1:12">
      <c r="A4319" s="25" t="s">
        <v>182</v>
      </c>
      <c r="B4319" t="s">
        <v>219</v>
      </c>
      <c r="C4319" t="s">
        <v>181</v>
      </c>
      <c r="D4319" t="s">
        <v>188</v>
      </c>
      <c r="E4319" t="s">
        <v>241</v>
      </c>
      <c r="F4319" t="s">
        <v>1299</v>
      </c>
      <c r="G4319" t="s">
        <v>324</v>
      </c>
      <c r="H4319" t="s">
        <v>269</v>
      </c>
      <c r="I4319" t="s">
        <v>243</v>
      </c>
      <c r="J4319" t="s">
        <v>1300</v>
      </c>
      <c r="K4319" t="s">
        <v>1301</v>
      </c>
      <c r="L4319" t="s">
        <v>1302</v>
      </c>
    </row>
    <row r="4320" spans="1:12">
      <c r="A4320" s="25" t="s">
        <v>201</v>
      </c>
      <c r="B4320">
        <v>765</v>
      </c>
      <c r="C4320" t="s">
        <v>189</v>
      </c>
      <c r="D4320">
        <v>10412</v>
      </c>
      <c r="E4320" s="1">
        <v>1.77E-2</v>
      </c>
      <c r="F4320" s="1">
        <v>1.9199999999999998E-2</v>
      </c>
      <c r="G4320" s="1">
        <v>0.9284</v>
      </c>
      <c r="H4320" s="1">
        <v>3.0999999999999999E-3</v>
      </c>
      <c r="J4320" s="1">
        <v>2.5399999999999999E-2</v>
      </c>
      <c r="K4320" s="1">
        <v>1.84E-2</v>
      </c>
      <c r="L4320" s="1">
        <v>4.6800000000000001E-2</v>
      </c>
    </row>
    <row r="4321" spans="1:12">
      <c r="A4321" s="25" t="s">
        <v>202</v>
      </c>
      <c r="B4321">
        <v>109</v>
      </c>
      <c r="C4321" t="s">
        <v>189</v>
      </c>
      <c r="D4321">
        <v>10412</v>
      </c>
      <c r="F4321" s="1">
        <v>3.4700000000000002E-2</v>
      </c>
      <c r="G4321" s="1">
        <v>0.85160000000000002</v>
      </c>
      <c r="H4321" s="1">
        <v>8.5000000000000006E-3</v>
      </c>
      <c r="J4321" s="1">
        <v>6.2799999999999995E-2</v>
      </c>
      <c r="K4321" s="1">
        <v>2.9100000000000001E-2</v>
      </c>
      <c r="L4321" s="1">
        <v>0.1145</v>
      </c>
    </row>
    <row r="4322" spans="1:12">
      <c r="A4322" s="25" t="s">
        <v>203</v>
      </c>
      <c r="B4322">
        <v>8031</v>
      </c>
      <c r="C4322" t="s">
        <v>189</v>
      </c>
      <c r="D4322">
        <v>10412</v>
      </c>
      <c r="E4322" s="1">
        <v>1E-4</v>
      </c>
      <c r="F4322" s="1">
        <v>6.1999999999999998E-3</v>
      </c>
      <c r="G4322" s="1">
        <v>0.96279999999999999</v>
      </c>
      <c r="H4322" s="1">
        <v>1.1999999999999999E-3</v>
      </c>
      <c r="I4322" s="1">
        <v>2.9999999999999997E-4</v>
      </c>
      <c r="J4322" s="1">
        <v>1.3299999999999999E-2</v>
      </c>
      <c r="K4322" s="1">
        <v>1.1299999999999999E-2</v>
      </c>
      <c r="L4322" s="1">
        <v>2.7400000000000001E-2</v>
      </c>
    </row>
    <row r="4323" spans="1:12">
      <c r="A4323" s="25" t="s">
        <v>204</v>
      </c>
      <c r="B4323">
        <v>30</v>
      </c>
      <c r="C4323" t="s">
        <v>189</v>
      </c>
      <c r="D4323">
        <v>10412</v>
      </c>
      <c r="F4323" s="1">
        <v>3.09E-2</v>
      </c>
      <c r="G4323" s="1">
        <v>0.86350000000000005</v>
      </c>
      <c r="J4323" s="1">
        <v>0.1017</v>
      </c>
      <c r="K4323" s="1">
        <v>2.1700000000000001E-2</v>
      </c>
      <c r="L4323" s="1">
        <v>0.10970000000000001</v>
      </c>
    </row>
    <row r="4324" spans="1:12">
      <c r="A4324" s="25" t="s">
        <v>205</v>
      </c>
      <c r="B4324">
        <v>1477</v>
      </c>
      <c r="C4324" t="s">
        <v>189</v>
      </c>
      <c r="D4324">
        <v>10412</v>
      </c>
      <c r="E4324" s="1">
        <v>2.0000000000000001E-4</v>
      </c>
      <c r="F4324" s="1">
        <v>3.2500000000000001E-2</v>
      </c>
      <c r="G4324" s="1">
        <v>0.88300000000000001</v>
      </c>
      <c r="H4324" s="1">
        <v>6.1000000000000004E-3</v>
      </c>
      <c r="I4324" s="1">
        <v>5.9999999999999995E-4</v>
      </c>
      <c r="J4324" s="1">
        <v>4.1300000000000003E-2</v>
      </c>
      <c r="K4324" s="1">
        <v>4.6300000000000001E-2</v>
      </c>
      <c r="L4324" s="1">
        <v>9.4799999999999995E-2</v>
      </c>
    </row>
    <row r="4325" spans="1:12">
      <c r="A4325" s="25" t="s">
        <v>192</v>
      </c>
      <c r="B4325">
        <v>10412</v>
      </c>
      <c r="C4325" t="s">
        <v>192</v>
      </c>
      <c r="D4325">
        <v>10412</v>
      </c>
      <c r="E4325" s="1">
        <v>1.2999999999999999E-3</v>
      </c>
      <c r="F4325" s="1">
        <v>1.09E-2</v>
      </c>
      <c r="G4325" s="1">
        <v>0.9486</v>
      </c>
      <c r="H4325" s="1">
        <v>2.0999999999999999E-3</v>
      </c>
      <c r="I4325" s="1">
        <v>2.9999999999999997E-4</v>
      </c>
      <c r="J4325" s="1">
        <v>1.84E-2</v>
      </c>
      <c r="K4325" s="1">
        <v>1.67E-2</v>
      </c>
      <c r="L4325" s="1">
        <v>3.8699999999999998E-2</v>
      </c>
    </row>
    <row r="4327" spans="1:12" ht="43.5">
      <c r="A4327" s="25" t="s">
        <v>1306</v>
      </c>
    </row>
    <row r="4328" spans="1:12">
      <c r="A4328" s="25" t="s">
        <v>182</v>
      </c>
      <c r="B4328" t="s">
        <v>219</v>
      </c>
      <c r="C4328" t="s">
        <v>181</v>
      </c>
      <c r="D4328" t="s">
        <v>188</v>
      </c>
      <c r="E4328" t="s">
        <v>241</v>
      </c>
      <c r="F4328" t="s">
        <v>1299</v>
      </c>
      <c r="G4328" t="s">
        <v>324</v>
      </c>
      <c r="H4328" t="s">
        <v>269</v>
      </c>
      <c r="I4328" t="s">
        <v>243</v>
      </c>
      <c r="J4328" t="s">
        <v>1300</v>
      </c>
      <c r="K4328" t="s">
        <v>1301</v>
      </c>
      <c r="L4328" t="s">
        <v>1302</v>
      </c>
    </row>
    <row r="4329" spans="1:12">
      <c r="A4329" s="25" t="s">
        <v>207</v>
      </c>
      <c r="B4329">
        <v>7242</v>
      </c>
      <c r="C4329" t="s">
        <v>189</v>
      </c>
      <c r="D4329">
        <v>10412</v>
      </c>
      <c r="E4329" s="1">
        <v>1.1000000000000001E-3</v>
      </c>
      <c r="F4329" s="1">
        <v>9.4999999999999998E-3</v>
      </c>
      <c r="G4329" s="1">
        <v>0.95079999999999998</v>
      </c>
      <c r="H4329" s="1">
        <v>1.9E-3</v>
      </c>
      <c r="I4329" s="1">
        <v>1E-4</v>
      </c>
      <c r="J4329" s="1">
        <v>1.8200000000000001E-2</v>
      </c>
      <c r="K4329" s="1">
        <v>1.5299999999999999E-2</v>
      </c>
      <c r="L4329" s="1">
        <v>3.6799999999999999E-2</v>
      </c>
    </row>
    <row r="4330" spans="1:12">
      <c r="A4330" s="25" t="s">
        <v>208</v>
      </c>
      <c r="B4330">
        <v>2238</v>
      </c>
      <c r="C4330" t="s">
        <v>189</v>
      </c>
      <c r="D4330">
        <v>10412</v>
      </c>
      <c r="E4330" s="1">
        <v>2.3999999999999998E-3</v>
      </c>
      <c r="F4330" s="1">
        <v>1.2E-2</v>
      </c>
      <c r="G4330" s="1">
        <v>0.94689999999999996</v>
      </c>
      <c r="H4330" s="1">
        <v>1.9E-3</v>
      </c>
      <c r="I4330" s="1">
        <v>1.1000000000000001E-3</v>
      </c>
      <c r="J4330" s="1">
        <v>1.72E-2</v>
      </c>
      <c r="K4330" s="1">
        <v>1.7600000000000001E-2</v>
      </c>
      <c r="L4330" s="1">
        <v>4.0800000000000003E-2</v>
      </c>
    </row>
    <row r="4331" spans="1:12">
      <c r="A4331" s="25" t="s">
        <v>209</v>
      </c>
      <c r="B4331">
        <v>932</v>
      </c>
      <c r="C4331" t="s">
        <v>189</v>
      </c>
      <c r="D4331">
        <v>10412</v>
      </c>
      <c r="E4331" s="1">
        <v>1E-4</v>
      </c>
      <c r="F4331" s="1">
        <v>2.0400000000000001E-2</v>
      </c>
      <c r="G4331" s="1">
        <v>0.93369999999999997</v>
      </c>
      <c r="H4331" s="1">
        <v>4.0000000000000001E-3</v>
      </c>
      <c r="J4331" s="1">
        <v>2.4199999999999999E-2</v>
      </c>
      <c r="K4331" s="1">
        <v>2.69E-2</v>
      </c>
      <c r="L4331" s="1">
        <v>4.9200000000000001E-2</v>
      </c>
    </row>
    <row r="4332" spans="1:12">
      <c r="A4332" s="25" t="s">
        <v>192</v>
      </c>
      <c r="B4332">
        <v>10412</v>
      </c>
      <c r="C4332" t="s">
        <v>192</v>
      </c>
      <c r="D4332">
        <v>10412</v>
      </c>
      <c r="E4332" s="1">
        <v>1.2999999999999999E-3</v>
      </c>
      <c r="F4332" s="1">
        <v>1.09E-2</v>
      </c>
      <c r="G4332" s="1">
        <v>0.9486</v>
      </c>
      <c r="H4332" s="1">
        <v>2.0999999999999999E-3</v>
      </c>
      <c r="I4332" s="1">
        <v>2.9999999999999997E-4</v>
      </c>
      <c r="J4332" s="1">
        <v>1.84E-2</v>
      </c>
      <c r="K4332" s="1">
        <v>1.67E-2</v>
      </c>
      <c r="L4332" s="1">
        <v>3.8699999999999998E-2</v>
      </c>
    </row>
    <row r="4334" spans="1:12" ht="43.5">
      <c r="A4334" s="25" t="s">
        <v>1307</v>
      </c>
    </row>
    <row r="4335" spans="1:12">
      <c r="A4335" s="25" t="s">
        <v>182</v>
      </c>
      <c r="B4335" t="s">
        <v>219</v>
      </c>
      <c r="C4335" t="s">
        <v>181</v>
      </c>
      <c r="D4335" t="s">
        <v>188</v>
      </c>
      <c r="E4335" t="s">
        <v>241</v>
      </c>
      <c r="F4335" t="s">
        <v>1299</v>
      </c>
      <c r="G4335" t="s">
        <v>324</v>
      </c>
      <c r="H4335" t="s">
        <v>269</v>
      </c>
      <c r="I4335" t="s">
        <v>243</v>
      </c>
      <c r="J4335" t="s">
        <v>1300</v>
      </c>
      <c r="K4335" t="s">
        <v>1301</v>
      </c>
      <c r="L4335" t="s">
        <v>1302</v>
      </c>
    </row>
    <row r="4336" spans="1:12">
      <c r="A4336" s="25" t="s">
        <v>211</v>
      </c>
      <c r="B4336">
        <v>4963</v>
      </c>
      <c r="C4336" t="s">
        <v>189</v>
      </c>
      <c r="D4336">
        <v>10412</v>
      </c>
      <c r="E4336" s="1">
        <v>1.5E-3</v>
      </c>
      <c r="F4336" s="1">
        <v>9.7000000000000003E-3</v>
      </c>
      <c r="G4336" s="1">
        <v>0.9476</v>
      </c>
      <c r="H4336" s="1">
        <v>2.2000000000000001E-3</v>
      </c>
      <c r="I4336" s="1">
        <v>2.0000000000000001E-4</v>
      </c>
      <c r="J4336" s="1">
        <v>1.8200000000000001E-2</v>
      </c>
      <c r="K4336" s="1">
        <v>1.6199999999999999E-2</v>
      </c>
      <c r="L4336" s="1">
        <v>3.85E-2</v>
      </c>
    </row>
    <row r="4337" spans="1:12">
      <c r="A4337" s="25" t="s">
        <v>212</v>
      </c>
      <c r="B4337">
        <v>3368</v>
      </c>
      <c r="C4337" t="s">
        <v>189</v>
      </c>
      <c r="D4337">
        <v>10412</v>
      </c>
      <c r="E4337" s="1">
        <v>1.9E-3</v>
      </c>
      <c r="F4337" s="1">
        <v>1.2500000000000001E-2</v>
      </c>
      <c r="G4337" s="1">
        <v>0.94750000000000001</v>
      </c>
      <c r="H4337" s="1">
        <v>2.0999999999999999E-3</v>
      </c>
      <c r="I4337" s="1">
        <v>2.0000000000000001E-4</v>
      </c>
      <c r="J4337" s="1">
        <v>2.0299999999999999E-2</v>
      </c>
      <c r="K4337" s="1">
        <v>1.9E-2</v>
      </c>
      <c r="L4337" s="1">
        <v>3.9699999999999999E-2</v>
      </c>
    </row>
    <row r="4338" spans="1:12">
      <c r="A4338" s="25" t="s">
        <v>213</v>
      </c>
      <c r="B4338">
        <v>2081</v>
      </c>
      <c r="C4338" t="s">
        <v>189</v>
      </c>
      <c r="D4338">
        <v>10412</v>
      </c>
      <c r="E4338" s="1">
        <v>1E-4</v>
      </c>
      <c r="F4338" s="1">
        <v>1.15E-2</v>
      </c>
      <c r="G4338" s="1">
        <v>0.95220000000000005</v>
      </c>
      <c r="H4338" s="1">
        <v>1.8E-3</v>
      </c>
      <c r="I4338" s="1">
        <v>8.0000000000000004E-4</v>
      </c>
      <c r="J4338" s="1">
        <v>1.61E-2</v>
      </c>
      <c r="K4338" s="1">
        <v>1.47E-2</v>
      </c>
      <c r="L4338" s="1">
        <v>3.7499999999999999E-2</v>
      </c>
    </row>
    <row r="4339" spans="1:12">
      <c r="A4339" s="25" t="s">
        <v>192</v>
      </c>
      <c r="B4339">
        <v>10412</v>
      </c>
      <c r="C4339" t="s">
        <v>192</v>
      </c>
      <c r="D4339">
        <v>10412</v>
      </c>
      <c r="E4339" s="1">
        <v>1.2999999999999999E-3</v>
      </c>
      <c r="F4339" s="1">
        <v>1.09E-2</v>
      </c>
      <c r="G4339" s="1">
        <v>0.9486</v>
      </c>
      <c r="H4339" s="1">
        <v>2.0999999999999999E-3</v>
      </c>
      <c r="I4339" s="1">
        <v>2.9999999999999997E-4</v>
      </c>
      <c r="J4339" s="1">
        <v>1.84E-2</v>
      </c>
      <c r="K4339" s="1">
        <v>1.67E-2</v>
      </c>
      <c r="L4339" s="1">
        <v>3.8699999999999998E-2</v>
      </c>
    </row>
    <row r="4341" spans="1:12" ht="43.5">
      <c r="A4341" s="25" t="s">
        <v>1308</v>
      </c>
    </row>
    <row r="4342" spans="1:12">
      <c r="A4342" s="25" t="s">
        <v>182</v>
      </c>
      <c r="B4342" t="s">
        <v>219</v>
      </c>
      <c r="C4342" t="s">
        <v>181</v>
      </c>
      <c r="D4342" t="s">
        <v>188</v>
      </c>
      <c r="E4342" t="s">
        <v>1309</v>
      </c>
      <c r="F4342" t="s">
        <v>241</v>
      </c>
      <c r="G4342" t="s">
        <v>1310</v>
      </c>
      <c r="H4342" t="s">
        <v>1311</v>
      </c>
      <c r="I4342" t="s">
        <v>1312</v>
      </c>
      <c r="J4342" t="s">
        <v>1313</v>
      </c>
      <c r="K4342" t="s">
        <v>243</v>
      </c>
    </row>
    <row r="4343" spans="1:12">
      <c r="A4343" s="25" t="s">
        <v>190</v>
      </c>
      <c r="B4343">
        <v>460</v>
      </c>
      <c r="C4343" t="s">
        <v>189</v>
      </c>
      <c r="D4343">
        <v>1064</v>
      </c>
      <c r="E4343" s="1">
        <v>9.4899999999999998E-2</v>
      </c>
      <c r="F4343" s="1">
        <v>2.1399999999999999E-2</v>
      </c>
      <c r="G4343" s="1">
        <v>8.43E-2</v>
      </c>
      <c r="H4343" s="1">
        <v>0.33929999999999999</v>
      </c>
      <c r="I4343" s="1">
        <v>0.20280000000000001</v>
      </c>
      <c r="J4343" s="1">
        <v>0.23630000000000001</v>
      </c>
      <c r="K4343" s="1">
        <v>2.1000000000000001E-2</v>
      </c>
    </row>
    <row r="4344" spans="1:12">
      <c r="A4344" s="25" t="s">
        <v>191</v>
      </c>
      <c r="B4344">
        <v>589</v>
      </c>
      <c r="C4344" t="s">
        <v>189</v>
      </c>
      <c r="D4344">
        <v>1064</v>
      </c>
      <c r="E4344" s="1">
        <v>5.11E-2</v>
      </c>
      <c r="F4344" s="1">
        <v>8.8999999999999999E-3</v>
      </c>
      <c r="G4344" s="1">
        <v>0.13500000000000001</v>
      </c>
      <c r="H4344" s="1">
        <v>0.20530000000000001</v>
      </c>
      <c r="I4344" s="1">
        <v>0.35199999999999998</v>
      </c>
      <c r="J4344" s="1">
        <v>0.24249999999999999</v>
      </c>
      <c r="K4344" s="1">
        <v>5.1000000000000004E-3</v>
      </c>
    </row>
    <row r="4345" spans="1:12">
      <c r="A4345" s="25" t="s">
        <v>192</v>
      </c>
      <c r="B4345">
        <v>1064</v>
      </c>
      <c r="C4345" t="s">
        <v>192</v>
      </c>
      <c r="D4345">
        <v>1064</v>
      </c>
      <c r="E4345" s="1">
        <v>6.5199999999999994E-2</v>
      </c>
      <c r="F4345" s="1">
        <v>1.29E-2</v>
      </c>
      <c r="G4345" s="1">
        <v>0.1187</v>
      </c>
      <c r="H4345" s="1">
        <v>0.24879999999999999</v>
      </c>
      <c r="I4345" s="1">
        <v>0.30409999999999998</v>
      </c>
      <c r="J4345" s="1">
        <v>0.24</v>
      </c>
      <c r="K4345" s="1">
        <v>1.03E-2</v>
      </c>
    </row>
    <row r="4347" spans="1:12" ht="43.5">
      <c r="A4347" s="25" t="s">
        <v>1314</v>
      </c>
    </row>
    <row r="4348" spans="1:12">
      <c r="A4348" s="25" t="s">
        <v>182</v>
      </c>
      <c r="B4348" t="s">
        <v>219</v>
      </c>
      <c r="C4348" t="s">
        <v>181</v>
      </c>
      <c r="D4348" t="s">
        <v>188</v>
      </c>
      <c r="E4348" t="s">
        <v>1309</v>
      </c>
      <c r="F4348" t="s">
        <v>241</v>
      </c>
      <c r="G4348" t="s">
        <v>1310</v>
      </c>
      <c r="H4348" t="s">
        <v>1311</v>
      </c>
      <c r="I4348" t="s">
        <v>1312</v>
      </c>
      <c r="J4348" t="s">
        <v>1313</v>
      </c>
      <c r="K4348" t="s">
        <v>243</v>
      </c>
    </row>
    <row r="4349" spans="1:12" ht="29.1">
      <c r="A4349" s="25" t="s">
        <v>194</v>
      </c>
      <c r="B4349">
        <v>170</v>
      </c>
      <c r="C4349" t="s">
        <v>189</v>
      </c>
      <c r="D4349">
        <v>1064</v>
      </c>
      <c r="E4349" s="1">
        <v>0.10780000000000001</v>
      </c>
      <c r="F4349" s="1">
        <v>1.15E-2</v>
      </c>
      <c r="G4349" s="1">
        <v>9.1899999999999996E-2</v>
      </c>
      <c r="H4349" s="1">
        <v>0.23219999999999999</v>
      </c>
      <c r="I4349" s="1">
        <v>0.40229999999999999</v>
      </c>
      <c r="J4349" s="1">
        <v>0.15210000000000001</v>
      </c>
      <c r="K4349" s="1">
        <v>2.2000000000000001E-3</v>
      </c>
    </row>
    <row r="4350" spans="1:12" ht="29.1">
      <c r="A4350" s="25" t="s">
        <v>195</v>
      </c>
      <c r="B4350">
        <v>306</v>
      </c>
      <c r="C4350" t="s">
        <v>189</v>
      </c>
      <c r="D4350">
        <v>1064</v>
      </c>
      <c r="E4350" s="1">
        <v>4.6199999999999998E-2</v>
      </c>
      <c r="F4350" s="1">
        <v>0.01</v>
      </c>
      <c r="G4350" s="1">
        <v>0.16159999999999999</v>
      </c>
      <c r="H4350" s="1">
        <v>0.2913</v>
      </c>
      <c r="I4350" s="1">
        <v>0.24</v>
      </c>
      <c r="J4350" s="1">
        <v>0.25090000000000001</v>
      </c>
    </row>
    <row r="4351" spans="1:12" ht="29.1">
      <c r="A4351" s="25" t="s">
        <v>196</v>
      </c>
      <c r="B4351">
        <v>573</v>
      </c>
      <c r="C4351" t="s">
        <v>189</v>
      </c>
      <c r="D4351">
        <v>1064</v>
      </c>
      <c r="E4351" s="1">
        <v>3.8300000000000001E-2</v>
      </c>
      <c r="F4351" s="1">
        <v>1.5900000000000001E-2</v>
      </c>
      <c r="G4351" s="1">
        <v>0.1181</v>
      </c>
      <c r="H4351" s="1">
        <v>0.24060000000000001</v>
      </c>
      <c r="I4351" s="1">
        <v>0.25030000000000002</v>
      </c>
      <c r="J4351" s="1">
        <v>0.3135</v>
      </c>
      <c r="K4351" s="1">
        <v>2.3300000000000001E-2</v>
      </c>
    </row>
    <row r="4352" spans="1:12">
      <c r="A4352" s="25" t="s">
        <v>192</v>
      </c>
      <c r="B4352">
        <v>1064</v>
      </c>
      <c r="C4352" t="s">
        <v>192</v>
      </c>
      <c r="D4352">
        <v>1064</v>
      </c>
      <c r="E4352" s="1">
        <v>6.5199999999999994E-2</v>
      </c>
      <c r="F4352" s="1">
        <v>1.29E-2</v>
      </c>
      <c r="G4352" s="1">
        <v>0.1187</v>
      </c>
      <c r="H4352" s="1">
        <v>0.24879999999999999</v>
      </c>
      <c r="I4352" s="1">
        <v>0.30409999999999998</v>
      </c>
      <c r="J4352" s="1">
        <v>0.24</v>
      </c>
      <c r="K4352" s="1">
        <v>1.03E-2</v>
      </c>
    </row>
    <row r="4354" spans="1:11" ht="43.5">
      <c r="A4354" s="25" t="s">
        <v>1315</v>
      </c>
    </row>
    <row r="4355" spans="1:11">
      <c r="A4355" s="25" t="s">
        <v>182</v>
      </c>
      <c r="B4355" t="s">
        <v>219</v>
      </c>
      <c r="C4355" t="s">
        <v>181</v>
      </c>
      <c r="D4355" t="s">
        <v>188</v>
      </c>
      <c r="E4355" t="s">
        <v>1309</v>
      </c>
      <c r="F4355" t="s">
        <v>241</v>
      </c>
      <c r="G4355" t="s">
        <v>1310</v>
      </c>
      <c r="H4355" t="s">
        <v>1311</v>
      </c>
      <c r="I4355" t="s">
        <v>1312</v>
      </c>
      <c r="J4355" t="s">
        <v>1313</v>
      </c>
      <c r="K4355" t="s">
        <v>243</v>
      </c>
    </row>
    <row r="4356" spans="1:11">
      <c r="A4356" s="25" t="s">
        <v>198</v>
      </c>
      <c r="B4356">
        <v>347</v>
      </c>
      <c r="C4356" t="s">
        <v>189</v>
      </c>
      <c r="D4356">
        <v>1064</v>
      </c>
      <c r="E4356" s="1">
        <v>9.1899999999999996E-2</v>
      </c>
      <c r="F4356" s="1">
        <v>2.23E-2</v>
      </c>
      <c r="G4356" s="1">
        <v>0.13100000000000001</v>
      </c>
      <c r="H4356" s="1">
        <v>0.29899999999999999</v>
      </c>
      <c r="I4356" s="1">
        <v>0.23089999999999999</v>
      </c>
      <c r="J4356" s="1">
        <v>0.2238</v>
      </c>
      <c r="K4356" s="1">
        <v>1.1000000000000001E-3</v>
      </c>
    </row>
    <row r="4357" spans="1:11">
      <c r="A4357" s="25" t="s">
        <v>199</v>
      </c>
      <c r="B4357">
        <v>717</v>
      </c>
      <c r="C4357" t="s">
        <v>189</v>
      </c>
      <c r="D4357">
        <v>1064</v>
      </c>
      <c r="E4357" s="1">
        <v>5.5399999999999998E-2</v>
      </c>
      <c r="F4357" s="1">
        <v>9.4999999999999998E-3</v>
      </c>
      <c r="G4357" s="1">
        <v>0.1142</v>
      </c>
      <c r="H4357" s="1">
        <v>0.23050000000000001</v>
      </c>
      <c r="I4357" s="1">
        <v>0.33079999999999998</v>
      </c>
      <c r="J4357" s="1">
        <v>0.24590000000000001</v>
      </c>
      <c r="K4357" s="1">
        <v>1.3599999999999999E-2</v>
      </c>
    </row>
    <row r="4358" spans="1:11">
      <c r="A4358" s="25" t="s">
        <v>192</v>
      </c>
      <c r="B4358">
        <v>1064</v>
      </c>
      <c r="C4358" t="s">
        <v>192</v>
      </c>
      <c r="D4358">
        <v>1064</v>
      </c>
      <c r="E4358" s="1">
        <v>6.5199999999999994E-2</v>
      </c>
      <c r="F4358" s="1">
        <v>1.29E-2</v>
      </c>
      <c r="G4358" s="1">
        <v>0.1187</v>
      </c>
      <c r="H4358" s="1">
        <v>0.24879999999999999</v>
      </c>
      <c r="I4358" s="1">
        <v>0.30409999999999998</v>
      </c>
      <c r="J4358" s="1">
        <v>0.24</v>
      </c>
      <c r="K4358" s="1">
        <v>1.03E-2</v>
      </c>
    </row>
    <row r="4360" spans="1:11" ht="43.5">
      <c r="A4360" s="25" t="s">
        <v>1316</v>
      </c>
    </row>
    <row r="4361" spans="1:11">
      <c r="A4361" s="25" t="s">
        <v>182</v>
      </c>
      <c r="B4361" t="s">
        <v>219</v>
      </c>
      <c r="C4361" t="s">
        <v>181</v>
      </c>
      <c r="D4361" t="s">
        <v>188</v>
      </c>
      <c r="E4361" t="s">
        <v>1309</v>
      </c>
      <c r="F4361" t="s">
        <v>241</v>
      </c>
      <c r="G4361" t="s">
        <v>1310</v>
      </c>
      <c r="H4361" t="s">
        <v>1311</v>
      </c>
      <c r="I4361" t="s">
        <v>1312</v>
      </c>
      <c r="J4361" t="s">
        <v>1313</v>
      </c>
      <c r="K4361" t="s">
        <v>243</v>
      </c>
    </row>
    <row r="4362" spans="1:11">
      <c r="A4362" s="25" t="s">
        <v>201</v>
      </c>
      <c r="B4362">
        <v>93</v>
      </c>
      <c r="C4362" t="s">
        <v>189</v>
      </c>
      <c r="D4362">
        <v>1064</v>
      </c>
      <c r="E4362" s="1">
        <v>0.19750000000000001</v>
      </c>
      <c r="F4362" s="1">
        <v>8.9999999999999998E-4</v>
      </c>
      <c r="G4362" s="1">
        <v>9.8100000000000007E-2</v>
      </c>
      <c r="H4362" s="1">
        <v>0.37940000000000002</v>
      </c>
      <c r="I4362" s="1">
        <v>0.17249999999999999</v>
      </c>
      <c r="J4362" s="1">
        <v>0.15160000000000001</v>
      </c>
    </row>
    <row r="4363" spans="1:11">
      <c r="A4363" s="25" t="s">
        <v>202</v>
      </c>
      <c r="B4363">
        <v>37</v>
      </c>
      <c r="C4363" t="s">
        <v>189</v>
      </c>
      <c r="D4363">
        <v>1064</v>
      </c>
      <c r="E4363" s="1">
        <v>5.1200000000000002E-2</v>
      </c>
      <c r="F4363" s="1">
        <v>1.66E-2</v>
      </c>
      <c r="G4363" s="1">
        <v>0.18140000000000001</v>
      </c>
      <c r="H4363" s="1">
        <v>0.2374</v>
      </c>
      <c r="I4363" s="1">
        <v>0.371</v>
      </c>
      <c r="J4363" s="1">
        <v>0.14249999999999999</v>
      </c>
    </row>
    <row r="4364" spans="1:11">
      <c r="A4364" s="25" t="s">
        <v>203</v>
      </c>
      <c r="B4364">
        <v>534</v>
      </c>
      <c r="C4364" t="s">
        <v>189</v>
      </c>
      <c r="D4364">
        <v>1064</v>
      </c>
      <c r="E4364" s="1">
        <v>4.4600000000000001E-2</v>
      </c>
      <c r="F4364" s="1">
        <v>1.9099999999999999E-2</v>
      </c>
      <c r="G4364" s="1">
        <v>0.1037</v>
      </c>
      <c r="H4364" s="1">
        <v>0.2392</v>
      </c>
      <c r="I4364" s="1">
        <v>0.33</v>
      </c>
      <c r="J4364" s="1">
        <v>0.25869999999999999</v>
      </c>
      <c r="K4364" s="1">
        <v>4.7000000000000002E-3</v>
      </c>
    </row>
    <row r="4365" spans="1:11">
      <c r="A4365" s="25" t="s">
        <v>204</v>
      </c>
      <c r="B4365">
        <v>9</v>
      </c>
      <c r="C4365" t="s">
        <v>189</v>
      </c>
      <c r="D4365">
        <v>1064</v>
      </c>
      <c r="F4365" s="1">
        <v>0.1487</v>
      </c>
      <c r="G4365" s="1">
        <v>8.43E-2</v>
      </c>
      <c r="H4365" s="1">
        <v>9.1899999999999996E-2</v>
      </c>
      <c r="I4365" s="1">
        <v>0.54090000000000005</v>
      </c>
      <c r="J4365" s="1">
        <v>7.8399999999999997E-2</v>
      </c>
      <c r="K4365" s="1">
        <v>5.5899999999999998E-2</v>
      </c>
    </row>
    <row r="4366" spans="1:11">
      <c r="A4366" s="25" t="s">
        <v>205</v>
      </c>
      <c r="B4366">
        <v>391</v>
      </c>
      <c r="C4366" t="s">
        <v>189</v>
      </c>
      <c r="D4366">
        <v>1064</v>
      </c>
      <c r="E4366" s="1">
        <v>7.3300000000000004E-2</v>
      </c>
      <c r="F4366" s="1">
        <v>2.2000000000000001E-3</v>
      </c>
      <c r="G4366" s="1">
        <v>0.14749999999999999</v>
      </c>
      <c r="H4366" s="1">
        <v>0.2392</v>
      </c>
      <c r="I4366" s="1">
        <v>0.28070000000000001</v>
      </c>
      <c r="J4366" s="1">
        <v>0.23469999999999999</v>
      </c>
      <c r="K4366" s="1">
        <v>2.24E-2</v>
      </c>
    </row>
    <row r="4367" spans="1:11">
      <c r="A4367" s="25" t="s">
        <v>192</v>
      </c>
      <c r="B4367">
        <v>1064</v>
      </c>
      <c r="C4367" t="s">
        <v>192</v>
      </c>
      <c r="D4367">
        <v>1064</v>
      </c>
      <c r="E4367" s="1">
        <v>6.5199999999999994E-2</v>
      </c>
      <c r="F4367" s="1">
        <v>1.29E-2</v>
      </c>
      <c r="G4367" s="1">
        <v>0.1187</v>
      </c>
      <c r="H4367" s="1">
        <v>0.24879999999999999</v>
      </c>
      <c r="I4367" s="1">
        <v>0.30409999999999998</v>
      </c>
      <c r="J4367" s="1">
        <v>0.24</v>
      </c>
      <c r="K4367" s="1">
        <v>1.03E-2</v>
      </c>
    </row>
    <row r="4369" spans="1:11" ht="43.5">
      <c r="A4369" s="25" t="s">
        <v>1317</v>
      </c>
    </row>
    <row r="4370" spans="1:11">
      <c r="A4370" s="25" t="s">
        <v>182</v>
      </c>
      <c r="B4370" t="s">
        <v>219</v>
      </c>
      <c r="C4370" t="s">
        <v>181</v>
      </c>
      <c r="D4370" t="s">
        <v>188</v>
      </c>
      <c r="E4370" t="s">
        <v>1309</v>
      </c>
      <c r="F4370" t="s">
        <v>241</v>
      </c>
      <c r="G4370" t="s">
        <v>1310</v>
      </c>
      <c r="H4370" t="s">
        <v>1311</v>
      </c>
      <c r="I4370" t="s">
        <v>1312</v>
      </c>
      <c r="J4370" t="s">
        <v>1313</v>
      </c>
      <c r="K4370" t="s">
        <v>243</v>
      </c>
    </row>
    <row r="4371" spans="1:11">
      <c r="A4371" s="25" t="s">
        <v>207</v>
      </c>
      <c r="B4371">
        <v>717</v>
      </c>
      <c r="C4371" t="s">
        <v>189</v>
      </c>
      <c r="D4371">
        <v>1064</v>
      </c>
      <c r="E4371" s="1">
        <v>5.0900000000000001E-2</v>
      </c>
      <c r="F4371" s="1">
        <v>1.17E-2</v>
      </c>
      <c r="G4371" s="1">
        <v>0.12590000000000001</v>
      </c>
      <c r="H4371" s="1">
        <v>0.23380000000000001</v>
      </c>
      <c r="I4371" s="1">
        <v>0.32579999999999998</v>
      </c>
      <c r="J4371" s="1">
        <v>0.2379</v>
      </c>
      <c r="K4371" s="1">
        <v>1.4200000000000001E-2</v>
      </c>
    </row>
    <row r="4372" spans="1:11">
      <c r="A4372" s="25" t="s">
        <v>208</v>
      </c>
      <c r="B4372">
        <v>234</v>
      </c>
      <c r="C4372" t="s">
        <v>189</v>
      </c>
      <c r="D4372">
        <v>1064</v>
      </c>
      <c r="E4372" s="1">
        <v>8.5300000000000001E-2</v>
      </c>
      <c r="F4372" s="1">
        <v>2.2700000000000001E-2</v>
      </c>
      <c r="G4372" s="1">
        <v>0.1087</v>
      </c>
      <c r="H4372" s="1">
        <v>0.27510000000000001</v>
      </c>
      <c r="I4372" s="1">
        <v>0.26550000000000001</v>
      </c>
      <c r="J4372" s="1">
        <v>0.23930000000000001</v>
      </c>
      <c r="K4372" s="1">
        <v>3.5000000000000001E-3</v>
      </c>
    </row>
    <row r="4373" spans="1:11">
      <c r="A4373" s="25" t="s">
        <v>209</v>
      </c>
      <c r="B4373">
        <v>113</v>
      </c>
      <c r="C4373" t="s">
        <v>189</v>
      </c>
      <c r="D4373">
        <v>1064</v>
      </c>
      <c r="E4373" s="1">
        <v>0.113</v>
      </c>
      <c r="G4373" s="1">
        <v>9.4399999999999998E-2</v>
      </c>
      <c r="H4373" s="1">
        <v>0.28789999999999999</v>
      </c>
      <c r="I4373" s="1">
        <v>0.2492</v>
      </c>
      <c r="J4373" s="1">
        <v>0.2555</v>
      </c>
    </row>
    <row r="4374" spans="1:11">
      <c r="A4374" s="25" t="s">
        <v>192</v>
      </c>
      <c r="B4374">
        <v>1064</v>
      </c>
      <c r="C4374" t="s">
        <v>192</v>
      </c>
      <c r="D4374">
        <v>1064</v>
      </c>
      <c r="E4374" s="1">
        <v>6.5199999999999994E-2</v>
      </c>
      <c r="F4374" s="1">
        <v>1.29E-2</v>
      </c>
      <c r="G4374" s="1">
        <v>0.1187</v>
      </c>
      <c r="H4374" s="1">
        <v>0.24879999999999999</v>
      </c>
      <c r="I4374" s="1">
        <v>0.30409999999999998</v>
      </c>
      <c r="J4374" s="1">
        <v>0.24</v>
      </c>
      <c r="K4374" s="1">
        <v>1.03E-2</v>
      </c>
    </row>
    <row r="4376" spans="1:11" ht="43.5">
      <c r="A4376" s="25" t="s">
        <v>1318</v>
      </c>
    </row>
    <row r="4377" spans="1:11">
      <c r="A4377" s="25" t="s">
        <v>182</v>
      </c>
      <c r="B4377" t="s">
        <v>219</v>
      </c>
      <c r="C4377" t="s">
        <v>181</v>
      </c>
      <c r="D4377" t="s">
        <v>188</v>
      </c>
      <c r="E4377" t="s">
        <v>1309</v>
      </c>
      <c r="F4377" t="s">
        <v>241</v>
      </c>
      <c r="G4377" t="s">
        <v>1310</v>
      </c>
      <c r="H4377" t="s">
        <v>1311</v>
      </c>
      <c r="I4377" t="s">
        <v>1312</v>
      </c>
      <c r="J4377" t="s">
        <v>1313</v>
      </c>
      <c r="K4377" t="s">
        <v>243</v>
      </c>
    </row>
    <row r="4378" spans="1:11">
      <c r="A4378" s="25" t="s">
        <v>211</v>
      </c>
      <c r="B4378">
        <v>443</v>
      </c>
      <c r="C4378" t="s">
        <v>189</v>
      </c>
      <c r="D4378">
        <v>1064</v>
      </c>
      <c r="E4378" s="1">
        <v>6.2199999999999998E-2</v>
      </c>
      <c r="F4378" s="1">
        <v>8.0000000000000002E-3</v>
      </c>
      <c r="G4378" s="1">
        <v>0.1197</v>
      </c>
      <c r="H4378" s="1">
        <v>0.2419</v>
      </c>
      <c r="I4378" s="1">
        <v>0.35170000000000001</v>
      </c>
      <c r="J4378" s="1">
        <v>0.20169999999999999</v>
      </c>
      <c r="K4378" s="1">
        <v>1.4800000000000001E-2</v>
      </c>
    </row>
    <row r="4379" spans="1:11">
      <c r="A4379" s="25" t="s">
        <v>212</v>
      </c>
      <c r="B4379">
        <v>402</v>
      </c>
      <c r="C4379" t="s">
        <v>189</v>
      </c>
      <c r="D4379">
        <v>1064</v>
      </c>
      <c r="E4379" s="1">
        <v>7.2300000000000003E-2</v>
      </c>
      <c r="F4379" s="1">
        <v>1.6E-2</v>
      </c>
      <c r="G4379" s="1">
        <v>0.1072</v>
      </c>
      <c r="H4379" s="1">
        <v>0.314</v>
      </c>
      <c r="I4379" s="1">
        <v>0.24129999999999999</v>
      </c>
      <c r="J4379" s="1">
        <v>0.2417</v>
      </c>
      <c r="K4379" s="1">
        <v>7.4999999999999997E-3</v>
      </c>
    </row>
    <row r="4380" spans="1:11">
      <c r="A4380" s="25" t="s">
        <v>213</v>
      </c>
      <c r="B4380">
        <v>219</v>
      </c>
      <c r="C4380" t="s">
        <v>189</v>
      </c>
      <c r="D4380">
        <v>1064</v>
      </c>
      <c r="E4380" s="1">
        <v>6.1400000000000003E-2</v>
      </c>
      <c r="F4380" s="1">
        <v>1.9800000000000002E-2</v>
      </c>
      <c r="G4380" s="1">
        <v>0.1336</v>
      </c>
      <c r="H4380" s="1">
        <v>0.16619999999999999</v>
      </c>
      <c r="I4380" s="1">
        <v>0.28870000000000001</v>
      </c>
      <c r="J4380" s="1">
        <v>0.32650000000000001</v>
      </c>
      <c r="K4380" s="1">
        <v>3.8E-3</v>
      </c>
    </row>
    <row r="4381" spans="1:11">
      <c r="A4381" s="25" t="s">
        <v>192</v>
      </c>
      <c r="B4381">
        <v>1064</v>
      </c>
      <c r="C4381" t="s">
        <v>192</v>
      </c>
      <c r="D4381">
        <v>1064</v>
      </c>
      <c r="E4381" s="1">
        <v>6.5199999999999994E-2</v>
      </c>
      <c r="F4381" s="1">
        <v>1.29E-2</v>
      </c>
      <c r="G4381" s="1">
        <v>0.1187</v>
      </c>
      <c r="H4381" s="1">
        <v>0.24879999999999999</v>
      </c>
      <c r="I4381" s="1">
        <v>0.30409999999999998</v>
      </c>
      <c r="J4381" s="1">
        <v>0.24</v>
      </c>
      <c r="K4381" s="1">
        <v>1.03E-2</v>
      </c>
    </row>
    <row r="4383" spans="1:11" ht="43.5">
      <c r="A4383" s="25" t="s">
        <v>1319</v>
      </c>
    </row>
    <row r="4384" spans="1:11">
      <c r="A4384" s="25" t="s">
        <v>182</v>
      </c>
      <c r="B4384" t="s">
        <v>219</v>
      </c>
      <c r="C4384" t="s">
        <v>181</v>
      </c>
      <c r="D4384" t="s">
        <v>188</v>
      </c>
      <c r="E4384" t="s">
        <v>241</v>
      </c>
      <c r="F4384" t="s">
        <v>1320</v>
      </c>
      <c r="G4384" t="s">
        <v>1321</v>
      </c>
      <c r="H4384" t="s">
        <v>243</v>
      </c>
      <c r="I4384" t="s">
        <v>1322</v>
      </c>
      <c r="J4384" t="s">
        <v>1323</v>
      </c>
    </row>
    <row r="4385" spans="1:10">
      <c r="A4385" s="25" t="s">
        <v>190</v>
      </c>
      <c r="B4385">
        <v>4900</v>
      </c>
      <c r="C4385" t="s">
        <v>189</v>
      </c>
      <c r="D4385">
        <v>10425</v>
      </c>
      <c r="E4385" s="1">
        <v>2.9999999999999997E-4</v>
      </c>
      <c r="F4385" s="1">
        <v>2.8999999999999998E-3</v>
      </c>
      <c r="G4385" s="1">
        <v>2.0000000000000001E-4</v>
      </c>
      <c r="H4385" s="1">
        <v>2.0000000000000001E-4</v>
      </c>
      <c r="I4385" s="1">
        <v>4.7899999999999998E-2</v>
      </c>
      <c r="J4385" s="1">
        <v>0.94840000000000002</v>
      </c>
    </row>
    <row r="4386" spans="1:10">
      <c r="A4386" s="25" t="s">
        <v>191</v>
      </c>
      <c r="B4386">
        <v>5468</v>
      </c>
      <c r="C4386" t="s">
        <v>189</v>
      </c>
      <c r="D4386">
        <v>10425</v>
      </c>
      <c r="E4386" s="1">
        <v>0</v>
      </c>
      <c r="F4386" s="1">
        <v>1.1000000000000001E-3</v>
      </c>
      <c r="G4386" s="1">
        <v>5.0000000000000001E-4</v>
      </c>
      <c r="I4386" s="1">
        <v>4.8399999999999999E-2</v>
      </c>
      <c r="J4386" s="1">
        <v>0.95009999999999994</v>
      </c>
    </row>
    <row r="4387" spans="1:10">
      <c r="A4387" s="25" t="s">
        <v>192</v>
      </c>
      <c r="B4387">
        <v>10425</v>
      </c>
      <c r="C4387" t="s">
        <v>192</v>
      </c>
      <c r="D4387">
        <v>10425</v>
      </c>
      <c r="E4387" s="1">
        <v>1E-4</v>
      </c>
      <c r="F4387" s="1">
        <v>1.8E-3</v>
      </c>
      <c r="G4387" s="1">
        <v>4.0000000000000002E-4</v>
      </c>
      <c r="H4387" s="1">
        <v>1E-4</v>
      </c>
      <c r="I4387" s="1">
        <v>4.82E-2</v>
      </c>
      <c r="J4387" s="1">
        <v>0.94950000000000001</v>
      </c>
    </row>
    <row r="4389" spans="1:10" ht="43.5">
      <c r="A4389" s="25" t="s">
        <v>1324</v>
      </c>
    </row>
    <row r="4390" spans="1:10">
      <c r="A4390" s="25" t="s">
        <v>182</v>
      </c>
      <c r="B4390" t="s">
        <v>219</v>
      </c>
      <c r="C4390" t="s">
        <v>181</v>
      </c>
      <c r="D4390" t="s">
        <v>188</v>
      </c>
      <c r="E4390" t="s">
        <v>241</v>
      </c>
      <c r="F4390" t="s">
        <v>1320</v>
      </c>
      <c r="G4390" t="s">
        <v>1321</v>
      </c>
      <c r="H4390" t="s">
        <v>243</v>
      </c>
      <c r="I4390" t="s">
        <v>1322</v>
      </c>
      <c r="J4390" t="s">
        <v>1323</v>
      </c>
    </row>
    <row r="4391" spans="1:10" ht="29.1">
      <c r="A4391" s="25" t="s">
        <v>194</v>
      </c>
      <c r="B4391">
        <v>5952</v>
      </c>
      <c r="C4391" t="s">
        <v>189</v>
      </c>
      <c r="D4391">
        <v>10425</v>
      </c>
      <c r="E4391" s="1">
        <v>1E-4</v>
      </c>
      <c r="F4391" s="1">
        <v>1.5E-3</v>
      </c>
      <c r="G4391" s="1">
        <v>5.0000000000000001E-4</v>
      </c>
      <c r="H4391" s="1">
        <v>1E-4</v>
      </c>
      <c r="I4391" s="1">
        <v>5.16E-2</v>
      </c>
      <c r="J4391" s="1">
        <v>0.94610000000000005</v>
      </c>
    </row>
    <row r="4392" spans="1:10" ht="29.1">
      <c r="A4392" s="25" t="s">
        <v>195</v>
      </c>
      <c r="B4392">
        <v>2702</v>
      </c>
      <c r="C4392" t="s">
        <v>189</v>
      </c>
      <c r="D4392">
        <v>10425</v>
      </c>
      <c r="F4392" s="1">
        <v>3.0999999999999999E-3</v>
      </c>
      <c r="G4392" s="1">
        <v>2.0000000000000001E-4</v>
      </c>
      <c r="I4392" s="1">
        <v>3.6600000000000001E-2</v>
      </c>
      <c r="J4392" s="1">
        <v>0.96009999999999995</v>
      </c>
    </row>
    <row r="4393" spans="1:10" ht="29.1">
      <c r="A4393" s="25" t="s">
        <v>196</v>
      </c>
      <c r="B4393">
        <v>1714</v>
      </c>
      <c r="C4393" t="s">
        <v>189</v>
      </c>
      <c r="D4393">
        <v>10425</v>
      </c>
      <c r="E4393" s="1">
        <v>4.0000000000000002E-4</v>
      </c>
      <c r="F4393" s="1">
        <v>1.1999999999999999E-3</v>
      </c>
      <c r="I4393" s="1">
        <v>4.5699999999999998E-2</v>
      </c>
      <c r="J4393" s="1">
        <v>0.95269999999999999</v>
      </c>
    </row>
    <row r="4394" spans="1:10">
      <c r="A4394" s="25" t="s">
        <v>192</v>
      </c>
      <c r="B4394">
        <v>10425</v>
      </c>
      <c r="C4394" t="s">
        <v>192</v>
      </c>
      <c r="D4394">
        <v>10425</v>
      </c>
      <c r="E4394" s="1">
        <v>1E-4</v>
      </c>
      <c r="F4394" s="1">
        <v>1.8E-3</v>
      </c>
      <c r="G4394" s="1">
        <v>4.0000000000000002E-4</v>
      </c>
      <c r="H4394" s="1">
        <v>1E-4</v>
      </c>
      <c r="I4394" s="1">
        <v>4.82E-2</v>
      </c>
      <c r="J4394" s="1">
        <v>0.94950000000000001</v>
      </c>
    </row>
    <row r="4396" spans="1:10" ht="43.5">
      <c r="A4396" s="25" t="s">
        <v>1325</v>
      </c>
    </row>
    <row r="4397" spans="1:10">
      <c r="A4397" s="25" t="s">
        <v>182</v>
      </c>
      <c r="B4397" t="s">
        <v>219</v>
      </c>
      <c r="C4397" t="s">
        <v>181</v>
      </c>
      <c r="D4397" t="s">
        <v>188</v>
      </c>
      <c r="E4397" t="s">
        <v>241</v>
      </c>
      <c r="F4397" t="s">
        <v>1320</v>
      </c>
      <c r="G4397" t="s">
        <v>1321</v>
      </c>
      <c r="H4397" t="s">
        <v>243</v>
      </c>
      <c r="I4397" t="s">
        <v>1322</v>
      </c>
      <c r="J4397" t="s">
        <v>1323</v>
      </c>
    </row>
    <row r="4398" spans="1:10">
      <c r="A4398" s="25" t="s">
        <v>198</v>
      </c>
      <c r="B4398">
        <v>2262</v>
      </c>
      <c r="C4398" t="s">
        <v>189</v>
      </c>
      <c r="D4398">
        <v>10425</v>
      </c>
      <c r="E4398" s="1">
        <v>6.9999999999999999E-4</v>
      </c>
      <c r="F4398" s="1">
        <v>4.8999999999999998E-3</v>
      </c>
      <c r="G4398" s="1">
        <v>1.6999999999999999E-3</v>
      </c>
      <c r="I4398" s="1">
        <v>5.9900000000000002E-2</v>
      </c>
      <c r="J4398" s="1">
        <v>0.93279999999999996</v>
      </c>
    </row>
    <row r="4399" spans="1:10">
      <c r="A4399" s="25" t="s">
        <v>199</v>
      </c>
      <c r="B4399">
        <v>8163</v>
      </c>
      <c r="C4399" t="s">
        <v>189</v>
      </c>
      <c r="D4399">
        <v>10425</v>
      </c>
      <c r="E4399" s="1">
        <v>0</v>
      </c>
      <c r="F4399" s="1">
        <v>1.1000000000000001E-3</v>
      </c>
      <c r="G4399" s="1">
        <v>1E-4</v>
      </c>
      <c r="H4399" s="1">
        <v>1E-4</v>
      </c>
      <c r="I4399" s="1">
        <v>4.5499999999999999E-2</v>
      </c>
      <c r="J4399" s="1">
        <v>0.95320000000000005</v>
      </c>
    </row>
    <row r="4400" spans="1:10">
      <c r="A4400" s="25" t="s">
        <v>192</v>
      </c>
      <c r="B4400">
        <v>10425</v>
      </c>
      <c r="C4400" t="s">
        <v>192</v>
      </c>
      <c r="D4400">
        <v>10425</v>
      </c>
      <c r="E4400" s="1">
        <v>1E-4</v>
      </c>
      <c r="F4400" s="1">
        <v>1.8E-3</v>
      </c>
      <c r="G4400" s="1">
        <v>4.0000000000000002E-4</v>
      </c>
      <c r="H4400" s="1">
        <v>1E-4</v>
      </c>
      <c r="I4400" s="1">
        <v>4.82E-2</v>
      </c>
      <c r="J4400" s="1">
        <v>0.94950000000000001</v>
      </c>
    </row>
    <row r="4402" spans="1:10" ht="43.5">
      <c r="A4402" s="25" t="s">
        <v>1326</v>
      </c>
    </row>
    <row r="4403" spans="1:10">
      <c r="A4403" s="25" t="s">
        <v>182</v>
      </c>
      <c r="B4403" t="s">
        <v>219</v>
      </c>
      <c r="C4403" t="s">
        <v>181</v>
      </c>
      <c r="D4403" t="s">
        <v>188</v>
      </c>
      <c r="E4403" t="s">
        <v>241</v>
      </c>
      <c r="F4403" t="s">
        <v>1320</v>
      </c>
      <c r="G4403" t="s">
        <v>1321</v>
      </c>
      <c r="H4403" t="s">
        <v>243</v>
      </c>
      <c r="I4403" t="s">
        <v>1322</v>
      </c>
      <c r="J4403" t="s">
        <v>1323</v>
      </c>
    </row>
    <row r="4404" spans="1:10">
      <c r="A4404" s="25" t="s">
        <v>201</v>
      </c>
      <c r="B4404">
        <v>767</v>
      </c>
      <c r="C4404" t="s">
        <v>189</v>
      </c>
      <c r="D4404">
        <v>10425</v>
      </c>
      <c r="F4404" s="1">
        <v>6.1000000000000004E-3</v>
      </c>
      <c r="G4404" s="1">
        <v>2.8999999999999998E-3</v>
      </c>
      <c r="I4404" s="1">
        <v>8.6499999999999994E-2</v>
      </c>
      <c r="J4404" s="1">
        <v>0.90449999999999997</v>
      </c>
    </row>
    <row r="4405" spans="1:10">
      <c r="A4405" s="25" t="s">
        <v>202</v>
      </c>
      <c r="B4405">
        <v>109</v>
      </c>
      <c r="C4405" t="s">
        <v>189</v>
      </c>
      <c r="D4405">
        <v>10425</v>
      </c>
      <c r="F4405" s="1">
        <v>4.0000000000000001E-3</v>
      </c>
      <c r="I4405" s="1">
        <v>4.4900000000000002E-2</v>
      </c>
      <c r="J4405" s="1">
        <v>0.95109999999999995</v>
      </c>
    </row>
    <row r="4406" spans="1:10">
      <c r="A4406" s="25" t="s">
        <v>203</v>
      </c>
      <c r="B4406">
        <v>8037</v>
      </c>
      <c r="C4406" t="s">
        <v>189</v>
      </c>
      <c r="D4406">
        <v>10425</v>
      </c>
      <c r="E4406" s="1">
        <v>1E-4</v>
      </c>
      <c r="F4406" s="1">
        <v>1.6000000000000001E-3</v>
      </c>
      <c r="G4406" s="1">
        <v>2.0000000000000001E-4</v>
      </c>
      <c r="H4406" s="1">
        <v>1E-4</v>
      </c>
      <c r="I4406" s="1">
        <v>4.2000000000000003E-2</v>
      </c>
      <c r="J4406" s="1">
        <v>0.95589999999999997</v>
      </c>
    </row>
    <row r="4407" spans="1:10">
      <c r="A4407" s="25" t="s">
        <v>204</v>
      </c>
      <c r="B4407">
        <v>30</v>
      </c>
      <c r="C4407" t="s">
        <v>189</v>
      </c>
      <c r="D4407">
        <v>10425</v>
      </c>
      <c r="I4407" s="1">
        <v>1.0800000000000001E-2</v>
      </c>
      <c r="J4407" s="1">
        <v>0.98919999999999997</v>
      </c>
    </row>
    <row r="4408" spans="1:10">
      <c r="A4408" s="25" t="s">
        <v>205</v>
      </c>
      <c r="B4408">
        <v>1482</v>
      </c>
      <c r="C4408" t="s">
        <v>189</v>
      </c>
      <c r="D4408">
        <v>10425</v>
      </c>
      <c r="E4408" s="1">
        <v>2.0000000000000001E-4</v>
      </c>
      <c r="F4408" s="1">
        <v>5.9999999999999995E-4</v>
      </c>
      <c r="I4408" s="1">
        <v>6.4399999999999999E-2</v>
      </c>
      <c r="J4408" s="1">
        <v>0.93479999999999996</v>
      </c>
    </row>
    <row r="4409" spans="1:10">
      <c r="A4409" s="25" t="s">
        <v>192</v>
      </c>
      <c r="B4409">
        <v>10425</v>
      </c>
      <c r="C4409" t="s">
        <v>192</v>
      </c>
      <c r="D4409">
        <v>10425</v>
      </c>
      <c r="E4409" s="1">
        <v>1E-4</v>
      </c>
      <c r="F4409" s="1">
        <v>1.8E-3</v>
      </c>
      <c r="G4409" s="1">
        <v>4.0000000000000002E-4</v>
      </c>
      <c r="H4409" s="1">
        <v>1E-4</v>
      </c>
      <c r="I4409" s="1">
        <v>4.82E-2</v>
      </c>
      <c r="J4409" s="1">
        <v>0.94950000000000001</v>
      </c>
    </row>
    <row r="4411" spans="1:10" ht="43.5">
      <c r="A4411" s="25" t="s">
        <v>1327</v>
      </c>
    </row>
    <row r="4412" spans="1:10">
      <c r="A4412" s="25" t="s">
        <v>182</v>
      </c>
      <c r="B4412" t="s">
        <v>219</v>
      </c>
      <c r="C4412" t="s">
        <v>181</v>
      </c>
      <c r="D4412" t="s">
        <v>188</v>
      </c>
      <c r="E4412" t="s">
        <v>241</v>
      </c>
      <c r="F4412" t="s">
        <v>1320</v>
      </c>
      <c r="G4412" t="s">
        <v>1321</v>
      </c>
      <c r="H4412" t="s">
        <v>243</v>
      </c>
      <c r="I4412" t="s">
        <v>1322</v>
      </c>
      <c r="J4412" t="s">
        <v>1323</v>
      </c>
    </row>
    <row r="4413" spans="1:10">
      <c r="A4413" s="25" t="s">
        <v>207</v>
      </c>
      <c r="B4413">
        <v>7250</v>
      </c>
      <c r="C4413" t="s">
        <v>189</v>
      </c>
      <c r="D4413">
        <v>10425</v>
      </c>
      <c r="E4413" s="1">
        <v>2.0000000000000001E-4</v>
      </c>
      <c r="F4413" s="1">
        <v>1.1000000000000001E-3</v>
      </c>
      <c r="G4413" s="1">
        <v>1E-4</v>
      </c>
      <c r="H4413" s="1">
        <v>1E-4</v>
      </c>
      <c r="I4413" s="1">
        <v>4.1700000000000001E-2</v>
      </c>
      <c r="J4413" s="1">
        <v>0.95679999999999998</v>
      </c>
    </row>
    <row r="4414" spans="1:10">
      <c r="A4414" s="25" t="s">
        <v>208</v>
      </c>
      <c r="B4414">
        <v>2242</v>
      </c>
      <c r="C4414" t="s">
        <v>189</v>
      </c>
      <c r="D4414">
        <v>10425</v>
      </c>
      <c r="E4414" s="1">
        <v>1E-4</v>
      </c>
      <c r="F4414" s="1">
        <v>4.4999999999999997E-3</v>
      </c>
      <c r="G4414" s="1">
        <v>1.4E-3</v>
      </c>
      <c r="I4414" s="1">
        <v>7.0800000000000002E-2</v>
      </c>
      <c r="J4414" s="1">
        <v>0.92320000000000002</v>
      </c>
    </row>
    <row r="4415" spans="1:10">
      <c r="A4415" s="25" t="s">
        <v>209</v>
      </c>
      <c r="B4415">
        <v>933</v>
      </c>
      <c r="C4415" t="s">
        <v>189</v>
      </c>
      <c r="D4415">
        <v>10425</v>
      </c>
      <c r="F4415" s="1">
        <v>2.0000000000000001E-4</v>
      </c>
      <c r="I4415" s="1">
        <v>4.0399999999999998E-2</v>
      </c>
      <c r="J4415" s="1">
        <v>0.95940000000000003</v>
      </c>
    </row>
    <row r="4416" spans="1:10">
      <c r="A4416" s="25" t="s">
        <v>192</v>
      </c>
      <c r="B4416">
        <v>10425</v>
      </c>
      <c r="C4416" t="s">
        <v>192</v>
      </c>
      <c r="D4416">
        <v>10425</v>
      </c>
      <c r="E4416" s="1">
        <v>1E-4</v>
      </c>
      <c r="F4416" s="1">
        <v>1.8E-3</v>
      </c>
      <c r="G4416" s="1">
        <v>4.0000000000000002E-4</v>
      </c>
      <c r="H4416" s="1">
        <v>1E-4</v>
      </c>
      <c r="I4416" s="1">
        <v>4.82E-2</v>
      </c>
      <c r="J4416" s="1">
        <v>0.94950000000000001</v>
      </c>
    </row>
    <row r="4418" spans="1:10" ht="43.5">
      <c r="A4418" s="25" t="s">
        <v>1328</v>
      </c>
    </row>
    <row r="4419" spans="1:10">
      <c r="A4419" s="25" t="s">
        <v>182</v>
      </c>
      <c r="B4419" t="s">
        <v>219</v>
      </c>
      <c r="C4419" t="s">
        <v>181</v>
      </c>
      <c r="D4419" t="s">
        <v>188</v>
      </c>
      <c r="E4419" t="s">
        <v>241</v>
      </c>
      <c r="F4419" t="s">
        <v>1320</v>
      </c>
      <c r="G4419" t="s">
        <v>1321</v>
      </c>
      <c r="H4419" t="s">
        <v>243</v>
      </c>
      <c r="I4419" t="s">
        <v>1322</v>
      </c>
      <c r="J4419" t="s">
        <v>1323</v>
      </c>
    </row>
    <row r="4420" spans="1:10">
      <c r="A4420" s="25" t="s">
        <v>211</v>
      </c>
      <c r="B4420">
        <v>4969</v>
      </c>
      <c r="C4420" t="s">
        <v>189</v>
      </c>
      <c r="D4420">
        <v>10425</v>
      </c>
      <c r="E4420" s="1">
        <v>2.9999999999999997E-4</v>
      </c>
      <c r="F4420" s="1">
        <v>1.1000000000000001E-3</v>
      </c>
      <c r="G4420" s="1">
        <v>1E-4</v>
      </c>
      <c r="I4420" s="1">
        <v>4.07E-2</v>
      </c>
      <c r="J4420" s="1">
        <v>0.95779999999999998</v>
      </c>
    </row>
    <row r="4421" spans="1:10">
      <c r="A4421" s="25" t="s">
        <v>212</v>
      </c>
      <c r="B4421">
        <v>3374</v>
      </c>
      <c r="C4421" t="s">
        <v>189</v>
      </c>
      <c r="D4421">
        <v>10425</v>
      </c>
      <c r="F4421" s="1">
        <v>8.9999999999999998E-4</v>
      </c>
      <c r="G4421" s="1">
        <v>1.1000000000000001E-3</v>
      </c>
      <c r="I4421" s="1">
        <v>5.2600000000000001E-2</v>
      </c>
      <c r="J4421" s="1">
        <v>0.94550000000000001</v>
      </c>
    </row>
    <row r="4422" spans="1:10">
      <c r="A4422" s="25" t="s">
        <v>213</v>
      </c>
      <c r="B4422">
        <v>2082</v>
      </c>
      <c r="C4422" t="s">
        <v>189</v>
      </c>
      <c r="D4422">
        <v>10425</v>
      </c>
      <c r="E4422" s="1">
        <v>1E-4</v>
      </c>
      <c r="F4422" s="1">
        <v>4.4000000000000003E-3</v>
      </c>
      <c r="G4422" s="1">
        <v>1E-4</v>
      </c>
      <c r="H4422" s="1">
        <v>2.9999999999999997E-4</v>
      </c>
      <c r="I4422" s="1">
        <v>5.8000000000000003E-2</v>
      </c>
      <c r="J4422" s="1">
        <v>0.93720000000000003</v>
      </c>
    </row>
    <row r="4423" spans="1:10">
      <c r="A4423" s="25" t="s">
        <v>192</v>
      </c>
      <c r="B4423">
        <v>10425</v>
      </c>
      <c r="C4423" t="s">
        <v>192</v>
      </c>
      <c r="D4423">
        <v>10425</v>
      </c>
      <c r="E4423" s="1">
        <v>1E-4</v>
      </c>
      <c r="F4423" s="1">
        <v>1.8E-3</v>
      </c>
      <c r="G4423" s="1">
        <v>4.0000000000000002E-4</v>
      </c>
      <c r="H4423" s="1">
        <v>1E-4</v>
      </c>
      <c r="I4423" s="1">
        <v>4.82E-2</v>
      </c>
      <c r="J4423" s="1">
        <v>0.94950000000000001</v>
      </c>
    </row>
    <row r="4425" spans="1:10" ht="43.5">
      <c r="A4425" s="25" t="s">
        <v>1329</v>
      </c>
    </row>
    <row r="4426" spans="1:10">
      <c r="A4426" s="25" t="s">
        <v>182</v>
      </c>
      <c r="B4426" t="s">
        <v>219</v>
      </c>
      <c r="C4426" t="s">
        <v>181</v>
      </c>
      <c r="D4426" t="s">
        <v>188</v>
      </c>
      <c r="E4426" t="s">
        <v>241</v>
      </c>
      <c r="F4426" t="s">
        <v>1320</v>
      </c>
      <c r="G4426" t="s">
        <v>243</v>
      </c>
      <c r="H4426" t="s">
        <v>1322</v>
      </c>
      <c r="I4426" t="s">
        <v>1323</v>
      </c>
    </row>
    <row r="4427" spans="1:10">
      <c r="A4427" s="25" t="s">
        <v>190</v>
      </c>
      <c r="B4427">
        <v>4900</v>
      </c>
      <c r="C4427" t="s">
        <v>189</v>
      </c>
      <c r="D4427">
        <v>10425</v>
      </c>
      <c r="E4427" s="1">
        <v>0</v>
      </c>
      <c r="F4427" s="1">
        <v>1.1000000000000001E-3</v>
      </c>
      <c r="G4427" s="1">
        <v>2.0000000000000001E-4</v>
      </c>
      <c r="H4427" s="1">
        <v>1.7299999999999999E-2</v>
      </c>
      <c r="I4427" s="1">
        <v>0.98129999999999995</v>
      </c>
    </row>
    <row r="4428" spans="1:10">
      <c r="A4428" s="25" t="s">
        <v>191</v>
      </c>
      <c r="B4428">
        <v>5468</v>
      </c>
      <c r="C4428" t="s">
        <v>189</v>
      </c>
      <c r="D4428">
        <v>10425</v>
      </c>
      <c r="E4428" s="1">
        <v>0</v>
      </c>
      <c r="F4428" s="1">
        <v>6.9999999999999999E-4</v>
      </c>
      <c r="G4428" s="1">
        <v>1E-4</v>
      </c>
      <c r="H4428" s="1">
        <v>2.3599999999999999E-2</v>
      </c>
      <c r="I4428" s="1">
        <v>0.97550000000000003</v>
      </c>
    </row>
    <row r="4429" spans="1:10">
      <c r="A4429" s="25" t="s">
        <v>192</v>
      </c>
      <c r="B4429">
        <v>10425</v>
      </c>
      <c r="C4429" t="s">
        <v>192</v>
      </c>
      <c r="D4429">
        <v>10425</v>
      </c>
      <c r="E4429" s="1">
        <v>0</v>
      </c>
      <c r="F4429" s="1">
        <v>8.9999999999999998E-4</v>
      </c>
      <c r="G4429" s="1">
        <v>2.0000000000000001E-4</v>
      </c>
      <c r="H4429" s="1">
        <v>2.12E-2</v>
      </c>
      <c r="I4429" s="1">
        <v>0.97770000000000001</v>
      </c>
    </row>
    <row r="4431" spans="1:10" ht="43.5">
      <c r="A4431" s="25" t="s">
        <v>1330</v>
      </c>
    </row>
    <row r="4432" spans="1:10">
      <c r="A4432" s="25" t="s">
        <v>182</v>
      </c>
      <c r="B4432" t="s">
        <v>219</v>
      </c>
      <c r="C4432" t="s">
        <v>181</v>
      </c>
      <c r="D4432" t="s">
        <v>188</v>
      </c>
      <c r="E4432" t="s">
        <v>241</v>
      </c>
      <c r="F4432" t="s">
        <v>1320</v>
      </c>
      <c r="G4432" t="s">
        <v>243</v>
      </c>
      <c r="H4432" t="s">
        <v>1322</v>
      </c>
      <c r="I4432" t="s">
        <v>1323</v>
      </c>
    </row>
    <row r="4433" spans="1:9" ht="29.1">
      <c r="A4433" s="25" t="s">
        <v>194</v>
      </c>
      <c r="B4433">
        <v>5952</v>
      </c>
      <c r="C4433" t="s">
        <v>189</v>
      </c>
      <c r="D4433">
        <v>10425</v>
      </c>
      <c r="F4433" s="1">
        <v>1E-3</v>
      </c>
      <c r="G4433" s="1">
        <v>2.0000000000000001E-4</v>
      </c>
      <c r="H4433" s="1">
        <v>2.1499999999999998E-2</v>
      </c>
      <c r="I4433" s="1">
        <v>0.97729999999999995</v>
      </c>
    </row>
    <row r="4434" spans="1:9" ht="29.1">
      <c r="A4434" s="25" t="s">
        <v>195</v>
      </c>
      <c r="B4434">
        <v>2702</v>
      </c>
      <c r="C4434" t="s">
        <v>189</v>
      </c>
      <c r="D4434">
        <v>10425</v>
      </c>
      <c r="F4434" s="1">
        <v>1E-4</v>
      </c>
      <c r="G4434" s="1">
        <v>1E-4</v>
      </c>
      <c r="H4434" s="1">
        <v>1.54E-2</v>
      </c>
      <c r="I4434" s="1">
        <v>0.98440000000000005</v>
      </c>
    </row>
    <row r="4435" spans="1:9" ht="29.1">
      <c r="A4435" s="25" t="s">
        <v>196</v>
      </c>
      <c r="B4435">
        <v>1714</v>
      </c>
      <c r="C4435" t="s">
        <v>189</v>
      </c>
      <c r="D4435">
        <v>10425</v>
      </c>
      <c r="E4435" s="1">
        <v>2.9999999999999997E-4</v>
      </c>
      <c r="F4435" s="1">
        <v>1.1999999999999999E-3</v>
      </c>
      <c r="H4435" s="1">
        <v>3.1399999999999997E-2</v>
      </c>
      <c r="I4435" s="1">
        <v>0.96709999999999996</v>
      </c>
    </row>
    <row r="4436" spans="1:9">
      <c r="A4436" s="25" t="s">
        <v>192</v>
      </c>
      <c r="B4436">
        <v>10425</v>
      </c>
      <c r="C4436" t="s">
        <v>192</v>
      </c>
      <c r="D4436">
        <v>10425</v>
      </c>
      <c r="E4436" s="1">
        <v>0</v>
      </c>
      <c r="F4436" s="1">
        <v>8.9999999999999998E-4</v>
      </c>
      <c r="G4436" s="1">
        <v>2.0000000000000001E-4</v>
      </c>
      <c r="H4436" s="1">
        <v>2.12E-2</v>
      </c>
      <c r="I4436" s="1">
        <v>0.97770000000000001</v>
      </c>
    </row>
    <row r="4438" spans="1:9" ht="43.5">
      <c r="A4438" s="25" t="s">
        <v>1331</v>
      </c>
    </row>
    <row r="4439" spans="1:9">
      <c r="A4439" s="25" t="s">
        <v>182</v>
      </c>
      <c r="B4439" t="s">
        <v>219</v>
      </c>
      <c r="C4439" t="s">
        <v>181</v>
      </c>
      <c r="D4439" t="s">
        <v>188</v>
      </c>
      <c r="E4439" t="s">
        <v>241</v>
      </c>
      <c r="F4439" t="s">
        <v>1320</v>
      </c>
      <c r="G4439" t="s">
        <v>243</v>
      </c>
      <c r="H4439" t="s">
        <v>1322</v>
      </c>
      <c r="I4439" t="s">
        <v>1323</v>
      </c>
    </row>
    <row r="4440" spans="1:9">
      <c r="A4440" s="25" t="s">
        <v>198</v>
      </c>
      <c r="B4440">
        <v>2262</v>
      </c>
      <c r="C4440" t="s">
        <v>189</v>
      </c>
      <c r="D4440">
        <v>10425</v>
      </c>
      <c r="E4440" s="1">
        <v>1E-4</v>
      </c>
      <c r="F4440" s="1">
        <v>1.6000000000000001E-3</v>
      </c>
      <c r="H4440" s="1">
        <v>3.32E-2</v>
      </c>
      <c r="I4440" s="1">
        <v>0.96509999999999996</v>
      </c>
    </row>
    <row r="4441" spans="1:9">
      <c r="A4441" s="25" t="s">
        <v>199</v>
      </c>
      <c r="B4441">
        <v>8163</v>
      </c>
      <c r="C4441" t="s">
        <v>189</v>
      </c>
      <c r="D4441">
        <v>10425</v>
      </c>
      <c r="E4441" s="1">
        <v>0</v>
      </c>
      <c r="F4441" s="1">
        <v>6.9999999999999999E-4</v>
      </c>
      <c r="G4441" s="1">
        <v>2.0000000000000001E-4</v>
      </c>
      <c r="H4441" s="1">
        <v>1.8499999999999999E-2</v>
      </c>
      <c r="I4441" s="1">
        <v>0.98060000000000003</v>
      </c>
    </row>
    <row r="4442" spans="1:9">
      <c r="A4442" s="25" t="s">
        <v>192</v>
      </c>
      <c r="B4442">
        <v>10425</v>
      </c>
      <c r="C4442" t="s">
        <v>192</v>
      </c>
      <c r="D4442">
        <v>10425</v>
      </c>
      <c r="E4442" s="1">
        <v>0</v>
      </c>
      <c r="F4442" s="1">
        <v>8.9999999999999998E-4</v>
      </c>
      <c r="G4442" s="1">
        <v>2.0000000000000001E-4</v>
      </c>
      <c r="H4442" s="1">
        <v>2.12E-2</v>
      </c>
      <c r="I4442" s="1">
        <v>0.97770000000000001</v>
      </c>
    </row>
    <row r="4444" spans="1:9" ht="43.5">
      <c r="A4444" s="25" t="s">
        <v>1332</v>
      </c>
    </row>
    <row r="4445" spans="1:9">
      <c r="A4445" s="25" t="s">
        <v>182</v>
      </c>
      <c r="B4445" t="s">
        <v>219</v>
      </c>
      <c r="C4445" t="s">
        <v>181</v>
      </c>
      <c r="D4445" t="s">
        <v>188</v>
      </c>
      <c r="E4445" t="s">
        <v>241</v>
      </c>
      <c r="F4445" t="s">
        <v>1320</v>
      </c>
      <c r="G4445" t="s">
        <v>243</v>
      </c>
      <c r="H4445" t="s">
        <v>1322</v>
      </c>
      <c r="I4445" t="s">
        <v>1323</v>
      </c>
    </row>
    <row r="4446" spans="1:9">
      <c r="A4446" s="25" t="s">
        <v>201</v>
      </c>
      <c r="B4446">
        <v>767</v>
      </c>
      <c r="C4446" t="s">
        <v>189</v>
      </c>
      <c r="D4446">
        <v>10425</v>
      </c>
      <c r="F4446" s="1">
        <v>1.1000000000000001E-3</v>
      </c>
      <c r="G4446" s="1">
        <v>2.9999999999999997E-4</v>
      </c>
      <c r="H4446" s="1">
        <v>6.1699999999999998E-2</v>
      </c>
      <c r="I4446" s="1">
        <v>0.93689999999999996</v>
      </c>
    </row>
    <row r="4447" spans="1:9">
      <c r="A4447" s="25" t="s">
        <v>202</v>
      </c>
      <c r="B4447">
        <v>109</v>
      </c>
      <c r="C4447" t="s">
        <v>189</v>
      </c>
      <c r="D4447">
        <v>10425</v>
      </c>
      <c r="F4447" s="1">
        <v>1.17E-2</v>
      </c>
      <c r="H4447" s="1">
        <v>5.4300000000000001E-2</v>
      </c>
      <c r="I4447" s="1">
        <v>0.93400000000000005</v>
      </c>
    </row>
    <row r="4448" spans="1:9">
      <c r="A4448" s="25" t="s">
        <v>203</v>
      </c>
      <c r="B4448">
        <v>8037</v>
      </c>
      <c r="C4448" t="s">
        <v>189</v>
      </c>
      <c r="D4448">
        <v>10425</v>
      </c>
      <c r="F4448" s="1">
        <v>5.0000000000000001E-4</v>
      </c>
      <c r="G4448" s="1">
        <v>2.0000000000000001E-4</v>
      </c>
      <c r="H4448" s="1">
        <v>1.7999999999999999E-2</v>
      </c>
      <c r="I4448" s="1">
        <v>0.98129999999999995</v>
      </c>
    </row>
    <row r="4449" spans="1:9">
      <c r="A4449" s="25" t="s">
        <v>204</v>
      </c>
      <c r="B4449">
        <v>30</v>
      </c>
      <c r="C4449" t="s">
        <v>189</v>
      </c>
      <c r="D4449">
        <v>10425</v>
      </c>
      <c r="H4449" s="1">
        <v>2.3099999999999999E-2</v>
      </c>
      <c r="I4449" s="1">
        <v>0.97689999999999999</v>
      </c>
    </row>
    <row r="4450" spans="1:9">
      <c r="A4450" s="25" t="s">
        <v>205</v>
      </c>
      <c r="B4450">
        <v>1482</v>
      </c>
      <c r="C4450" t="s">
        <v>189</v>
      </c>
      <c r="D4450">
        <v>10425</v>
      </c>
      <c r="E4450" s="1">
        <v>2.0000000000000001E-4</v>
      </c>
      <c r="F4450" s="1">
        <v>2E-3</v>
      </c>
      <c r="H4450" s="1">
        <v>1.78E-2</v>
      </c>
      <c r="I4450" s="1">
        <v>0.97989999999999999</v>
      </c>
    </row>
    <row r="4451" spans="1:9">
      <c r="A4451" s="25" t="s">
        <v>192</v>
      </c>
      <c r="B4451">
        <v>10425</v>
      </c>
      <c r="C4451" t="s">
        <v>192</v>
      </c>
      <c r="D4451">
        <v>10425</v>
      </c>
      <c r="E4451" s="1">
        <v>0</v>
      </c>
      <c r="F4451" s="1">
        <v>8.9999999999999998E-4</v>
      </c>
      <c r="G4451" s="1">
        <v>2.0000000000000001E-4</v>
      </c>
      <c r="H4451" s="1">
        <v>2.12E-2</v>
      </c>
      <c r="I4451" s="1">
        <v>0.97770000000000001</v>
      </c>
    </row>
    <row r="4453" spans="1:9" ht="43.5">
      <c r="A4453" s="25" t="s">
        <v>1333</v>
      </c>
    </row>
    <row r="4454" spans="1:9">
      <c r="A4454" s="25" t="s">
        <v>182</v>
      </c>
      <c r="B4454" t="s">
        <v>219</v>
      </c>
      <c r="C4454" t="s">
        <v>181</v>
      </c>
      <c r="D4454" t="s">
        <v>188</v>
      </c>
      <c r="E4454" t="s">
        <v>241</v>
      </c>
      <c r="F4454" t="s">
        <v>1320</v>
      </c>
      <c r="G4454" t="s">
        <v>243</v>
      </c>
      <c r="H4454" t="s">
        <v>1322</v>
      </c>
      <c r="I4454" t="s">
        <v>1323</v>
      </c>
    </row>
    <row r="4455" spans="1:9">
      <c r="A4455" s="25" t="s">
        <v>207</v>
      </c>
      <c r="B4455">
        <v>7250</v>
      </c>
      <c r="C4455" t="s">
        <v>189</v>
      </c>
      <c r="D4455">
        <v>10425</v>
      </c>
      <c r="E4455" s="1">
        <v>0</v>
      </c>
      <c r="F4455" s="1">
        <v>6.9999999999999999E-4</v>
      </c>
      <c r="G4455" s="1">
        <v>2.0000000000000001E-4</v>
      </c>
      <c r="H4455" s="1">
        <v>1.8800000000000001E-2</v>
      </c>
      <c r="I4455" s="1">
        <v>0.98019999999999996</v>
      </c>
    </row>
    <row r="4456" spans="1:9">
      <c r="A4456" s="25" t="s">
        <v>208</v>
      </c>
      <c r="B4456">
        <v>2242</v>
      </c>
      <c r="C4456" t="s">
        <v>189</v>
      </c>
      <c r="D4456">
        <v>10425</v>
      </c>
      <c r="E4456" s="1">
        <v>1E-4</v>
      </c>
      <c r="F4456" s="1">
        <v>5.9999999999999995E-4</v>
      </c>
      <c r="H4456" s="1">
        <v>2.2200000000000001E-2</v>
      </c>
      <c r="I4456" s="1">
        <v>0.97709999999999997</v>
      </c>
    </row>
    <row r="4457" spans="1:9">
      <c r="A4457" s="25" t="s">
        <v>209</v>
      </c>
      <c r="B4457">
        <v>933</v>
      </c>
      <c r="C4457" t="s">
        <v>189</v>
      </c>
      <c r="D4457">
        <v>10425</v>
      </c>
      <c r="F4457" s="1">
        <v>2.7000000000000001E-3</v>
      </c>
      <c r="H4457" s="1">
        <v>3.95E-2</v>
      </c>
      <c r="I4457" s="1">
        <v>0.95779999999999998</v>
      </c>
    </row>
    <row r="4458" spans="1:9">
      <c r="A4458" s="25" t="s">
        <v>192</v>
      </c>
      <c r="B4458">
        <v>10425</v>
      </c>
      <c r="C4458" t="s">
        <v>192</v>
      </c>
      <c r="D4458">
        <v>10425</v>
      </c>
      <c r="E4458" s="1">
        <v>0</v>
      </c>
      <c r="F4458" s="1">
        <v>8.9999999999999998E-4</v>
      </c>
      <c r="G4458" s="1">
        <v>2.0000000000000001E-4</v>
      </c>
      <c r="H4458" s="1">
        <v>2.12E-2</v>
      </c>
      <c r="I4458" s="1">
        <v>0.97770000000000001</v>
      </c>
    </row>
    <row r="4460" spans="1:9" ht="43.5">
      <c r="A4460" s="25" t="s">
        <v>1334</v>
      </c>
    </row>
    <row r="4461" spans="1:9">
      <c r="A4461" s="25" t="s">
        <v>182</v>
      </c>
      <c r="B4461" t="s">
        <v>219</v>
      </c>
      <c r="C4461" t="s">
        <v>181</v>
      </c>
      <c r="D4461" t="s">
        <v>188</v>
      </c>
      <c r="E4461" t="s">
        <v>241</v>
      </c>
      <c r="F4461" t="s">
        <v>1320</v>
      </c>
      <c r="G4461" t="s">
        <v>243</v>
      </c>
      <c r="H4461" t="s">
        <v>1322</v>
      </c>
      <c r="I4461" t="s">
        <v>1323</v>
      </c>
    </row>
    <row r="4462" spans="1:9">
      <c r="A4462" s="25" t="s">
        <v>211</v>
      </c>
      <c r="B4462">
        <v>4969</v>
      </c>
      <c r="C4462" t="s">
        <v>189</v>
      </c>
      <c r="D4462">
        <v>10425</v>
      </c>
      <c r="E4462" s="1">
        <v>0</v>
      </c>
      <c r="F4462" s="1">
        <v>1E-3</v>
      </c>
      <c r="G4462" s="1">
        <v>1E-4</v>
      </c>
      <c r="H4462" s="1">
        <v>1.6199999999999999E-2</v>
      </c>
      <c r="I4462" s="1">
        <v>0.98260000000000003</v>
      </c>
    </row>
    <row r="4463" spans="1:9">
      <c r="A4463" s="25" t="s">
        <v>212</v>
      </c>
      <c r="B4463">
        <v>3374</v>
      </c>
      <c r="C4463" t="s">
        <v>189</v>
      </c>
      <c r="D4463">
        <v>10425</v>
      </c>
      <c r="E4463" s="1">
        <v>0</v>
      </c>
      <c r="F4463" s="1">
        <v>8.9999999999999998E-4</v>
      </c>
      <c r="G4463" s="1">
        <v>1E-4</v>
      </c>
      <c r="H4463" s="1">
        <v>2.6100000000000002E-2</v>
      </c>
      <c r="I4463" s="1">
        <v>0.97289999999999999</v>
      </c>
    </row>
    <row r="4464" spans="1:9">
      <c r="A4464" s="25" t="s">
        <v>213</v>
      </c>
      <c r="B4464">
        <v>2082</v>
      </c>
      <c r="C4464" t="s">
        <v>189</v>
      </c>
      <c r="D4464">
        <v>10425</v>
      </c>
      <c r="F4464" s="1">
        <v>5.0000000000000001E-4</v>
      </c>
      <c r="G4464" s="1">
        <v>2.9999999999999997E-4</v>
      </c>
      <c r="H4464" s="1">
        <v>2.5100000000000001E-2</v>
      </c>
      <c r="I4464" s="1">
        <v>0.97409999999999997</v>
      </c>
    </row>
    <row r="4465" spans="1:12">
      <c r="A4465" s="25" t="s">
        <v>192</v>
      </c>
      <c r="B4465">
        <v>10425</v>
      </c>
      <c r="C4465" t="s">
        <v>192</v>
      </c>
      <c r="D4465">
        <v>10425</v>
      </c>
      <c r="E4465" s="1">
        <v>0</v>
      </c>
      <c r="F4465" s="1">
        <v>8.9999999999999998E-4</v>
      </c>
      <c r="G4465" s="1">
        <v>2.0000000000000001E-4</v>
      </c>
      <c r="H4465" s="1">
        <v>2.12E-2</v>
      </c>
      <c r="I4465" s="1">
        <v>0.97770000000000001</v>
      </c>
    </row>
    <row r="4467" spans="1:12" ht="29.1">
      <c r="A4467" s="25" t="s">
        <v>1335</v>
      </c>
    </row>
    <row r="4468" spans="1:12">
      <c r="A4468" s="25" t="s">
        <v>182</v>
      </c>
      <c r="B4468" t="s">
        <v>219</v>
      </c>
      <c r="C4468" t="s">
        <v>181</v>
      </c>
      <c r="D4468" t="s">
        <v>188</v>
      </c>
      <c r="E4468" t="s">
        <v>1336</v>
      </c>
      <c r="F4468" t="s">
        <v>1337</v>
      </c>
      <c r="G4468" t="s">
        <v>241</v>
      </c>
      <c r="H4468" t="s">
        <v>1338</v>
      </c>
      <c r="I4468" t="s">
        <v>1339</v>
      </c>
      <c r="J4468" t="s">
        <v>324</v>
      </c>
      <c r="K4468" t="s">
        <v>243</v>
      </c>
      <c r="L4468" t="s">
        <v>1340</v>
      </c>
    </row>
    <row r="4469" spans="1:12">
      <c r="A4469" s="25" t="s">
        <v>190</v>
      </c>
      <c r="B4469">
        <v>4902</v>
      </c>
      <c r="C4469" t="s">
        <v>189</v>
      </c>
      <c r="D4469">
        <v>10433</v>
      </c>
      <c r="E4469" s="1">
        <v>1.14E-2</v>
      </c>
      <c r="F4469" s="1">
        <v>0.16750000000000001</v>
      </c>
      <c r="G4469" s="1">
        <v>4.0000000000000002E-4</v>
      </c>
      <c r="H4469" s="1">
        <v>3.0300000000000001E-2</v>
      </c>
      <c r="I4469" s="1">
        <v>0.39939999999999998</v>
      </c>
      <c r="J4469" s="1">
        <v>8.0000000000000004E-4</v>
      </c>
      <c r="K4469" s="1">
        <v>6.9999999999999999E-4</v>
      </c>
      <c r="L4469" s="1">
        <v>0.5726</v>
      </c>
    </row>
    <row r="4470" spans="1:12">
      <c r="A4470" s="25" t="s">
        <v>191</v>
      </c>
      <c r="B4470">
        <v>5474</v>
      </c>
      <c r="C4470" t="s">
        <v>189</v>
      </c>
      <c r="D4470">
        <v>10433</v>
      </c>
      <c r="E4470" s="1">
        <v>4.4999999999999997E-3</v>
      </c>
      <c r="F4470" s="1">
        <v>0.58260000000000001</v>
      </c>
      <c r="G4470" s="1">
        <v>2E-3</v>
      </c>
      <c r="H4470" s="1">
        <v>4.7800000000000002E-2</v>
      </c>
      <c r="I4470" s="1">
        <v>0.31340000000000001</v>
      </c>
      <c r="J4470" s="1">
        <v>3.8E-3</v>
      </c>
      <c r="K4470" s="1">
        <v>4.0000000000000002E-4</v>
      </c>
      <c r="L4470" s="1">
        <v>0.1095</v>
      </c>
    </row>
    <row r="4471" spans="1:12">
      <c r="A4471" s="25" t="s">
        <v>192</v>
      </c>
      <c r="B4471">
        <v>10433</v>
      </c>
      <c r="C4471" t="s">
        <v>192</v>
      </c>
      <c r="D4471">
        <v>10433</v>
      </c>
      <c r="E4471" s="1">
        <v>7.1000000000000004E-3</v>
      </c>
      <c r="F4471" s="1">
        <v>0.42409999999999998</v>
      </c>
      <c r="G4471" s="1">
        <v>1.4E-3</v>
      </c>
      <c r="H4471" s="1">
        <v>4.1099999999999998E-2</v>
      </c>
      <c r="I4471" s="1">
        <v>0.34620000000000001</v>
      </c>
      <c r="J4471" s="1">
        <v>2.5999999999999999E-3</v>
      </c>
      <c r="K4471" s="1">
        <v>5.0000000000000001E-4</v>
      </c>
      <c r="L4471" s="1">
        <v>0.2863</v>
      </c>
    </row>
    <row r="4473" spans="1:12" ht="43.5">
      <c r="A4473" s="25" t="s">
        <v>1341</v>
      </c>
    </row>
    <row r="4474" spans="1:12">
      <c r="A4474" s="25" t="s">
        <v>182</v>
      </c>
      <c r="B4474" t="s">
        <v>219</v>
      </c>
      <c r="C4474" t="s">
        <v>181</v>
      </c>
      <c r="D4474" t="s">
        <v>188</v>
      </c>
      <c r="E4474" t="s">
        <v>1336</v>
      </c>
      <c r="F4474" t="s">
        <v>1337</v>
      </c>
      <c r="G4474" t="s">
        <v>241</v>
      </c>
      <c r="H4474" t="s">
        <v>1338</v>
      </c>
      <c r="I4474" t="s">
        <v>1339</v>
      </c>
      <c r="J4474" t="s">
        <v>324</v>
      </c>
      <c r="K4474" t="s">
        <v>243</v>
      </c>
      <c r="L4474" t="s">
        <v>1340</v>
      </c>
    </row>
    <row r="4475" spans="1:12" ht="29.1">
      <c r="A4475" s="25" t="s">
        <v>194</v>
      </c>
      <c r="B4475">
        <v>5954</v>
      </c>
      <c r="C4475" t="s">
        <v>189</v>
      </c>
      <c r="D4475">
        <v>10433</v>
      </c>
      <c r="E4475" s="1">
        <v>5.3E-3</v>
      </c>
      <c r="F4475" s="1">
        <v>0.41660000000000003</v>
      </c>
      <c r="G4475" s="1">
        <v>1.2999999999999999E-3</v>
      </c>
      <c r="H4475" s="1">
        <v>3.5099999999999999E-2</v>
      </c>
      <c r="I4475" s="1">
        <v>0.34710000000000002</v>
      </c>
      <c r="J4475" s="1">
        <v>1.4E-3</v>
      </c>
      <c r="K4475" s="1">
        <v>5.9999999999999995E-4</v>
      </c>
      <c r="L4475" s="1">
        <v>0.31159999999999999</v>
      </c>
    </row>
    <row r="4476" spans="1:12" ht="29.1">
      <c r="A4476" s="25" t="s">
        <v>195</v>
      </c>
      <c r="B4476">
        <v>2702</v>
      </c>
      <c r="C4476" t="s">
        <v>189</v>
      </c>
      <c r="D4476">
        <v>10433</v>
      </c>
      <c r="E4476" s="1">
        <v>1.1599999999999999E-2</v>
      </c>
      <c r="F4476" s="1">
        <v>0.3906</v>
      </c>
      <c r="G4476" s="1">
        <v>2.2000000000000001E-3</v>
      </c>
      <c r="H4476" s="1">
        <v>5.5E-2</v>
      </c>
      <c r="I4476" s="1">
        <v>0.38740000000000002</v>
      </c>
      <c r="J4476" s="1">
        <v>6.1999999999999998E-3</v>
      </c>
      <c r="K4476" s="1">
        <v>6.9999999999999999E-4</v>
      </c>
      <c r="L4476" s="1">
        <v>0.23580000000000001</v>
      </c>
    </row>
    <row r="4477" spans="1:12" ht="29.1">
      <c r="A4477" s="25" t="s">
        <v>196</v>
      </c>
      <c r="B4477">
        <v>1720</v>
      </c>
      <c r="C4477" t="s">
        <v>189</v>
      </c>
      <c r="D4477">
        <v>10433</v>
      </c>
      <c r="E4477" s="1">
        <v>1.15E-2</v>
      </c>
      <c r="F4477" s="1">
        <v>0.55159999999999998</v>
      </c>
      <c r="G4477" s="1">
        <v>2.9999999999999997E-4</v>
      </c>
      <c r="H4477" s="1">
        <v>5.8400000000000001E-2</v>
      </c>
      <c r="I4477" s="1">
        <v>0.2545</v>
      </c>
      <c r="J4477" s="1">
        <v>4.4000000000000003E-3</v>
      </c>
      <c r="L4477" s="1">
        <v>0.1953</v>
      </c>
    </row>
    <row r="4478" spans="1:12">
      <c r="A4478" s="25" t="s">
        <v>192</v>
      </c>
      <c r="B4478">
        <v>10433</v>
      </c>
      <c r="C4478" t="s">
        <v>192</v>
      </c>
      <c r="D4478">
        <v>10433</v>
      </c>
      <c r="E4478" s="1">
        <v>7.1000000000000004E-3</v>
      </c>
      <c r="F4478" s="1">
        <v>0.42409999999999998</v>
      </c>
      <c r="G4478" s="1">
        <v>1.4E-3</v>
      </c>
      <c r="H4478" s="1">
        <v>4.1099999999999998E-2</v>
      </c>
      <c r="I4478" s="1">
        <v>0.34620000000000001</v>
      </c>
      <c r="J4478" s="1">
        <v>2.5999999999999999E-3</v>
      </c>
      <c r="K4478" s="1">
        <v>5.0000000000000001E-4</v>
      </c>
      <c r="L4478" s="1">
        <v>0.2863</v>
      </c>
    </row>
    <row r="4480" spans="1:12" ht="43.5">
      <c r="A4480" s="25" t="s">
        <v>1342</v>
      </c>
    </row>
    <row r="4481" spans="1:12">
      <c r="A4481" s="25" t="s">
        <v>182</v>
      </c>
      <c r="B4481" t="s">
        <v>219</v>
      </c>
      <c r="C4481" t="s">
        <v>181</v>
      </c>
      <c r="D4481" t="s">
        <v>188</v>
      </c>
      <c r="E4481" t="s">
        <v>1336</v>
      </c>
      <c r="F4481" t="s">
        <v>1337</v>
      </c>
      <c r="G4481" t="s">
        <v>241</v>
      </c>
      <c r="H4481" t="s">
        <v>1338</v>
      </c>
      <c r="I4481" t="s">
        <v>1339</v>
      </c>
      <c r="J4481" t="s">
        <v>324</v>
      </c>
      <c r="K4481" t="s">
        <v>243</v>
      </c>
      <c r="L4481" t="s">
        <v>1340</v>
      </c>
    </row>
    <row r="4482" spans="1:12">
      <c r="A4482" s="25" t="s">
        <v>198</v>
      </c>
      <c r="B4482">
        <v>2263</v>
      </c>
      <c r="C4482" t="s">
        <v>189</v>
      </c>
      <c r="D4482">
        <v>10433</v>
      </c>
      <c r="E4482" s="1">
        <v>9.4000000000000004E-3</v>
      </c>
      <c r="F4482" s="1">
        <v>0.37090000000000001</v>
      </c>
      <c r="G4482" s="1">
        <v>2.3E-3</v>
      </c>
      <c r="H4482" s="1">
        <v>3.44E-2</v>
      </c>
      <c r="I4482" s="1">
        <v>0.34350000000000003</v>
      </c>
      <c r="J4482" s="1">
        <v>5.0000000000000001E-3</v>
      </c>
      <c r="K4482" s="1">
        <v>6.9999999999999999E-4</v>
      </c>
      <c r="L4482" s="1">
        <v>0.36349999999999999</v>
      </c>
    </row>
    <row r="4483" spans="1:12">
      <c r="A4483" s="25" t="s">
        <v>199</v>
      </c>
      <c r="B4483">
        <v>8170</v>
      </c>
      <c r="C4483" t="s">
        <v>189</v>
      </c>
      <c r="D4483">
        <v>10433</v>
      </c>
      <c r="E4483" s="1">
        <v>6.6E-3</v>
      </c>
      <c r="F4483" s="1">
        <v>0.436</v>
      </c>
      <c r="G4483" s="1">
        <v>1.1999999999999999E-3</v>
      </c>
      <c r="H4483" s="1">
        <v>4.2599999999999999E-2</v>
      </c>
      <c r="I4483" s="1">
        <v>0.3468</v>
      </c>
      <c r="J4483" s="1">
        <v>2.0999999999999999E-3</v>
      </c>
      <c r="K4483" s="1">
        <v>5.0000000000000001E-4</v>
      </c>
      <c r="L4483" s="1">
        <v>0.26900000000000002</v>
      </c>
    </row>
    <row r="4484" spans="1:12">
      <c r="A4484" s="25" t="s">
        <v>192</v>
      </c>
      <c r="B4484">
        <v>10433</v>
      </c>
      <c r="C4484" t="s">
        <v>192</v>
      </c>
      <c r="D4484">
        <v>10433</v>
      </c>
      <c r="E4484" s="1">
        <v>7.1000000000000004E-3</v>
      </c>
      <c r="F4484" s="1">
        <v>0.42409999999999998</v>
      </c>
      <c r="G4484" s="1">
        <v>1.4E-3</v>
      </c>
      <c r="H4484" s="1">
        <v>4.1099999999999998E-2</v>
      </c>
      <c r="I4484" s="1">
        <v>0.34620000000000001</v>
      </c>
      <c r="J4484" s="1">
        <v>2.5999999999999999E-3</v>
      </c>
      <c r="K4484" s="1">
        <v>5.0000000000000001E-4</v>
      </c>
      <c r="L4484" s="1">
        <v>0.2863</v>
      </c>
    </row>
    <row r="4486" spans="1:12" ht="43.5">
      <c r="A4486" s="25" t="s">
        <v>1343</v>
      </c>
    </row>
    <row r="4487" spans="1:12">
      <c r="A4487" s="25" t="s">
        <v>182</v>
      </c>
      <c r="B4487" t="s">
        <v>219</v>
      </c>
      <c r="C4487" t="s">
        <v>181</v>
      </c>
      <c r="D4487" t="s">
        <v>188</v>
      </c>
      <c r="E4487" t="s">
        <v>1336</v>
      </c>
      <c r="F4487" t="s">
        <v>1337</v>
      </c>
      <c r="G4487" t="s">
        <v>241</v>
      </c>
      <c r="H4487" t="s">
        <v>1338</v>
      </c>
      <c r="I4487" t="s">
        <v>1339</v>
      </c>
      <c r="J4487" t="s">
        <v>324</v>
      </c>
      <c r="K4487" t="s">
        <v>243</v>
      </c>
      <c r="L4487" t="s">
        <v>1340</v>
      </c>
    </row>
    <row r="4488" spans="1:12">
      <c r="A4488" s="25" t="s">
        <v>201</v>
      </c>
      <c r="B4488">
        <v>766</v>
      </c>
      <c r="C4488" t="s">
        <v>189</v>
      </c>
      <c r="D4488">
        <v>10433</v>
      </c>
      <c r="E4488" s="1">
        <v>4.4000000000000003E-3</v>
      </c>
      <c r="F4488" s="1">
        <v>0.60289999999999999</v>
      </c>
      <c r="G4488" s="1">
        <v>7.4999999999999997E-3</v>
      </c>
      <c r="H4488" s="1">
        <v>4.7E-2</v>
      </c>
      <c r="I4488" s="1">
        <v>0.21829999999999999</v>
      </c>
      <c r="J4488" s="1">
        <v>7.7999999999999996E-3</v>
      </c>
      <c r="L4488" s="1">
        <v>0.1719</v>
      </c>
    </row>
    <row r="4489" spans="1:12">
      <c r="A4489" s="25" t="s">
        <v>202</v>
      </c>
      <c r="B4489">
        <v>110</v>
      </c>
      <c r="C4489" t="s">
        <v>189</v>
      </c>
      <c r="D4489">
        <v>10433</v>
      </c>
      <c r="E4489" s="1">
        <v>2.5899999999999999E-2</v>
      </c>
      <c r="F4489" s="1">
        <v>0.34050000000000002</v>
      </c>
      <c r="H4489" s="1">
        <v>7.3499999999999996E-2</v>
      </c>
      <c r="I4489" s="1">
        <v>0.4027</v>
      </c>
      <c r="J4489" s="1">
        <v>4.0000000000000001E-3</v>
      </c>
      <c r="L4489" s="1">
        <v>0.27160000000000001</v>
      </c>
    </row>
    <row r="4490" spans="1:12">
      <c r="A4490" s="25" t="s">
        <v>203</v>
      </c>
      <c r="B4490">
        <v>8042</v>
      </c>
      <c r="C4490" t="s">
        <v>189</v>
      </c>
      <c r="D4490">
        <v>10433</v>
      </c>
      <c r="E4490" s="1">
        <v>7.1999999999999998E-3</v>
      </c>
      <c r="F4490" s="1">
        <v>0.37630000000000002</v>
      </c>
      <c r="G4490" s="1">
        <v>8.9999999999999998E-4</v>
      </c>
      <c r="H4490" s="1">
        <v>3.7100000000000001E-2</v>
      </c>
      <c r="I4490" s="1">
        <v>0.37130000000000002</v>
      </c>
      <c r="J4490" s="1">
        <v>2.0999999999999999E-3</v>
      </c>
      <c r="K4490" s="1">
        <v>4.0000000000000002E-4</v>
      </c>
      <c r="L4490" s="1">
        <v>0.32419999999999999</v>
      </c>
    </row>
    <row r="4491" spans="1:12">
      <c r="A4491" s="25" t="s">
        <v>204</v>
      </c>
      <c r="B4491">
        <v>31</v>
      </c>
      <c r="C4491" t="s">
        <v>189</v>
      </c>
      <c r="D4491">
        <v>10433</v>
      </c>
      <c r="F4491" s="1">
        <v>0.24990000000000001</v>
      </c>
      <c r="G4491" s="1">
        <v>5.33E-2</v>
      </c>
      <c r="I4491" s="1">
        <v>0.3448</v>
      </c>
      <c r="K4491" s="1">
        <v>0.1203</v>
      </c>
      <c r="L4491" s="1">
        <v>0.3271</v>
      </c>
    </row>
    <row r="4492" spans="1:12">
      <c r="A4492" s="25" t="s">
        <v>205</v>
      </c>
      <c r="B4492">
        <v>1484</v>
      </c>
      <c r="C4492" t="s">
        <v>189</v>
      </c>
      <c r="D4492">
        <v>10433</v>
      </c>
      <c r="E4492" s="1">
        <v>7.4999999999999997E-3</v>
      </c>
      <c r="F4492" s="1">
        <v>0.61250000000000004</v>
      </c>
      <c r="G4492" s="1">
        <v>2.9999999999999997E-4</v>
      </c>
      <c r="H4492" s="1">
        <v>6.0100000000000001E-2</v>
      </c>
      <c r="I4492" s="1">
        <v>0.26500000000000001</v>
      </c>
      <c r="J4492" s="1">
        <v>3.0000000000000001E-3</v>
      </c>
      <c r="L4492" s="1">
        <v>0.12809999999999999</v>
      </c>
    </row>
    <row r="4493" spans="1:12">
      <c r="A4493" s="25" t="s">
        <v>192</v>
      </c>
      <c r="B4493">
        <v>10433</v>
      </c>
      <c r="C4493" t="s">
        <v>192</v>
      </c>
      <c r="D4493">
        <v>10433</v>
      </c>
      <c r="E4493" s="1">
        <v>7.1000000000000004E-3</v>
      </c>
      <c r="F4493" s="1">
        <v>0.42409999999999998</v>
      </c>
      <c r="G4493" s="1">
        <v>1.4E-3</v>
      </c>
      <c r="H4493" s="1">
        <v>4.1099999999999998E-2</v>
      </c>
      <c r="I4493" s="1">
        <v>0.34620000000000001</v>
      </c>
      <c r="J4493" s="1">
        <v>2.5999999999999999E-3</v>
      </c>
      <c r="K4493" s="1">
        <v>5.0000000000000001E-4</v>
      </c>
      <c r="L4493" s="1">
        <v>0.2863</v>
      </c>
    </row>
    <row r="4495" spans="1:12" ht="43.5">
      <c r="A4495" s="25" t="s">
        <v>1344</v>
      </c>
    </row>
    <row r="4496" spans="1:12">
      <c r="A4496" s="25" t="s">
        <v>182</v>
      </c>
      <c r="B4496" t="s">
        <v>219</v>
      </c>
      <c r="C4496" t="s">
        <v>181</v>
      </c>
      <c r="D4496" t="s">
        <v>188</v>
      </c>
      <c r="E4496" t="s">
        <v>1336</v>
      </c>
      <c r="F4496" t="s">
        <v>1337</v>
      </c>
      <c r="G4496" t="s">
        <v>241</v>
      </c>
      <c r="H4496" t="s">
        <v>1338</v>
      </c>
      <c r="I4496" t="s">
        <v>1339</v>
      </c>
      <c r="J4496" t="s">
        <v>324</v>
      </c>
      <c r="K4496" t="s">
        <v>243</v>
      </c>
      <c r="L4496" t="s">
        <v>1340</v>
      </c>
    </row>
    <row r="4497" spans="1:12">
      <c r="A4497" s="25" t="s">
        <v>207</v>
      </c>
      <c r="B4497">
        <v>7253</v>
      </c>
      <c r="C4497" t="s">
        <v>189</v>
      </c>
      <c r="D4497">
        <v>10433</v>
      </c>
      <c r="E4497" s="1">
        <v>7.1999999999999998E-3</v>
      </c>
      <c r="F4497" s="1">
        <v>0.43709999999999999</v>
      </c>
      <c r="G4497" s="1">
        <v>4.0000000000000002E-4</v>
      </c>
      <c r="H4497" s="1">
        <v>3.9899999999999998E-2</v>
      </c>
      <c r="I4497" s="1">
        <v>0.35389999999999999</v>
      </c>
      <c r="J4497" s="1">
        <v>2.5999999999999999E-3</v>
      </c>
      <c r="K4497" s="1">
        <v>5.9999999999999995E-4</v>
      </c>
      <c r="L4497" s="1">
        <v>0.27</v>
      </c>
    </row>
    <row r="4498" spans="1:12">
      <c r="A4498" s="25" t="s">
        <v>208</v>
      </c>
      <c r="B4498">
        <v>2245</v>
      </c>
      <c r="C4498" t="s">
        <v>189</v>
      </c>
      <c r="D4498">
        <v>10433</v>
      </c>
      <c r="E4498" s="1">
        <v>6.6E-3</v>
      </c>
      <c r="F4498" s="1">
        <v>0.438</v>
      </c>
      <c r="G4498" s="1">
        <v>5.0000000000000001E-3</v>
      </c>
      <c r="H4498" s="1">
        <v>4.6399999999999997E-2</v>
      </c>
      <c r="I4498" s="1">
        <v>0.30609999999999998</v>
      </c>
      <c r="J4498" s="1">
        <v>2.8E-3</v>
      </c>
      <c r="K4498" s="1">
        <v>6.9999999999999999E-4</v>
      </c>
      <c r="L4498" s="1">
        <v>0.2757</v>
      </c>
    </row>
    <row r="4499" spans="1:12">
      <c r="A4499" s="25" t="s">
        <v>209</v>
      </c>
      <c r="B4499">
        <v>935</v>
      </c>
      <c r="C4499" t="s">
        <v>189</v>
      </c>
      <c r="D4499">
        <v>10433</v>
      </c>
      <c r="E4499" s="1">
        <v>8.3999999999999995E-3</v>
      </c>
      <c r="F4499" s="1">
        <v>0.26829999999999998</v>
      </c>
      <c r="H4499" s="1">
        <v>3.6700000000000003E-2</v>
      </c>
      <c r="I4499" s="1">
        <v>0.39219999999999999</v>
      </c>
      <c r="J4499" s="1">
        <v>2.5999999999999999E-3</v>
      </c>
      <c r="L4499" s="1">
        <v>0.46210000000000001</v>
      </c>
    </row>
    <row r="4500" spans="1:12">
      <c r="A4500" s="25" t="s">
        <v>192</v>
      </c>
      <c r="B4500">
        <v>10433</v>
      </c>
      <c r="C4500" t="s">
        <v>192</v>
      </c>
      <c r="D4500">
        <v>10433</v>
      </c>
      <c r="E4500" s="1">
        <v>7.1000000000000004E-3</v>
      </c>
      <c r="F4500" s="1">
        <v>0.42409999999999998</v>
      </c>
      <c r="G4500" s="1">
        <v>1.4E-3</v>
      </c>
      <c r="H4500" s="1">
        <v>4.1099999999999998E-2</v>
      </c>
      <c r="I4500" s="1">
        <v>0.34620000000000001</v>
      </c>
      <c r="J4500" s="1">
        <v>2.5999999999999999E-3</v>
      </c>
      <c r="K4500" s="1">
        <v>5.0000000000000001E-4</v>
      </c>
      <c r="L4500" s="1">
        <v>0.2863</v>
      </c>
    </row>
    <row r="4502" spans="1:12" ht="43.5">
      <c r="A4502" s="25" t="s">
        <v>1345</v>
      </c>
    </row>
    <row r="4503" spans="1:12">
      <c r="A4503" s="25" t="s">
        <v>182</v>
      </c>
      <c r="B4503" t="s">
        <v>219</v>
      </c>
      <c r="C4503" t="s">
        <v>181</v>
      </c>
      <c r="D4503" t="s">
        <v>188</v>
      </c>
      <c r="E4503" t="s">
        <v>1336</v>
      </c>
      <c r="F4503" t="s">
        <v>1337</v>
      </c>
      <c r="G4503" t="s">
        <v>241</v>
      </c>
      <c r="H4503" t="s">
        <v>1338</v>
      </c>
      <c r="I4503" t="s">
        <v>1339</v>
      </c>
      <c r="J4503" t="s">
        <v>324</v>
      </c>
      <c r="K4503" t="s">
        <v>243</v>
      </c>
      <c r="L4503" t="s">
        <v>1340</v>
      </c>
    </row>
    <row r="4504" spans="1:12">
      <c r="A4504" s="25" t="s">
        <v>211</v>
      </c>
      <c r="B4504">
        <v>4972</v>
      </c>
      <c r="C4504" t="s">
        <v>189</v>
      </c>
      <c r="D4504">
        <v>10433</v>
      </c>
      <c r="E4504" s="1">
        <v>8.2000000000000007E-3</v>
      </c>
      <c r="F4504" s="1">
        <v>0.44040000000000001</v>
      </c>
      <c r="G4504" s="1">
        <v>4.0000000000000002E-4</v>
      </c>
      <c r="H4504" s="1">
        <v>3.6400000000000002E-2</v>
      </c>
      <c r="I4504" s="1">
        <v>0.34139999999999998</v>
      </c>
      <c r="J4504" s="1">
        <v>1.6000000000000001E-3</v>
      </c>
      <c r="K4504" s="1">
        <v>2.0000000000000001E-4</v>
      </c>
      <c r="L4504" s="1">
        <v>0.2903</v>
      </c>
    </row>
    <row r="4505" spans="1:12">
      <c r="A4505" s="25" t="s">
        <v>212</v>
      </c>
      <c r="B4505">
        <v>3375</v>
      </c>
      <c r="C4505" t="s">
        <v>189</v>
      </c>
      <c r="D4505">
        <v>10433</v>
      </c>
      <c r="E4505" s="1">
        <v>5.5999999999999999E-3</v>
      </c>
      <c r="F4505" s="1">
        <v>0.40460000000000002</v>
      </c>
      <c r="G4505" s="1">
        <v>5.9999999999999995E-4</v>
      </c>
      <c r="H4505" s="1">
        <v>4.5900000000000003E-2</v>
      </c>
      <c r="I4505" s="1">
        <v>0.35249999999999998</v>
      </c>
      <c r="J4505" s="1">
        <v>4.1000000000000003E-3</v>
      </c>
      <c r="K4505" s="1">
        <v>2.0000000000000001E-4</v>
      </c>
      <c r="L4505" s="1">
        <v>0.2863</v>
      </c>
    </row>
    <row r="4506" spans="1:12">
      <c r="A4506" s="25" t="s">
        <v>213</v>
      </c>
      <c r="B4506">
        <v>2086</v>
      </c>
      <c r="C4506" t="s">
        <v>189</v>
      </c>
      <c r="D4506">
        <v>10433</v>
      </c>
      <c r="E4506" s="1">
        <v>7.0000000000000001E-3</v>
      </c>
      <c r="F4506" s="1">
        <v>0.41660000000000003</v>
      </c>
      <c r="G4506" s="1">
        <v>4.4999999999999997E-3</v>
      </c>
      <c r="H4506" s="1">
        <v>4.4499999999999998E-2</v>
      </c>
      <c r="I4506" s="1">
        <v>0.34739999999999999</v>
      </c>
      <c r="J4506" s="1">
        <v>2.7000000000000001E-3</v>
      </c>
      <c r="K4506" s="1">
        <v>1.8E-3</v>
      </c>
      <c r="L4506" s="1">
        <v>0.27800000000000002</v>
      </c>
    </row>
    <row r="4507" spans="1:12">
      <c r="A4507" s="25" t="s">
        <v>192</v>
      </c>
      <c r="B4507">
        <v>10433</v>
      </c>
      <c r="C4507" t="s">
        <v>192</v>
      </c>
      <c r="D4507">
        <v>10433</v>
      </c>
      <c r="E4507" s="1">
        <v>7.1000000000000004E-3</v>
      </c>
      <c r="F4507" s="1">
        <v>0.42409999999999998</v>
      </c>
      <c r="G4507" s="1">
        <v>1.4E-3</v>
      </c>
      <c r="H4507" s="1">
        <v>4.1099999999999998E-2</v>
      </c>
      <c r="I4507" s="1">
        <v>0.34620000000000001</v>
      </c>
      <c r="J4507" s="1">
        <v>2.5999999999999999E-3</v>
      </c>
      <c r="K4507" s="1">
        <v>5.0000000000000001E-4</v>
      </c>
      <c r="L4507" s="1">
        <v>0.2863</v>
      </c>
    </row>
    <row r="4509" spans="1:12" ht="29.1">
      <c r="A4509" s="25" t="s">
        <v>1335</v>
      </c>
    </row>
    <row r="4510" spans="1:12">
      <c r="A4510" s="25" t="s">
        <v>182</v>
      </c>
      <c r="B4510" t="s">
        <v>219</v>
      </c>
      <c r="C4510" t="s">
        <v>181</v>
      </c>
      <c r="D4510" t="s">
        <v>188</v>
      </c>
      <c r="E4510" t="s">
        <v>1336</v>
      </c>
      <c r="F4510" t="s">
        <v>1337</v>
      </c>
      <c r="G4510" t="s">
        <v>241</v>
      </c>
      <c r="H4510" t="s">
        <v>1338</v>
      </c>
      <c r="I4510" t="s">
        <v>1339</v>
      </c>
      <c r="J4510" t="s">
        <v>324</v>
      </c>
      <c r="K4510" t="s">
        <v>243</v>
      </c>
      <c r="L4510" t="s">
        <v>1340</v>
      </c>
    </row>
    <row r="4511" spans="1:12">
      <c r="A4511" s="25" t="s">
        <v>190</v>
      </c>
      <c r="B4511">
        <v>4902</v>
      </c>
      <c r="C4511" t="s">
        <v>189</v>
      </c>
      <c r="D4511">
        <v>10433</v>
      </c>
      <c r="E4511" s="1">
        <v>1.14E-2</v>
      </c>
      <c r="F4511" s="1">
        <v>0.16750000000000001</v>
      </c>
      <c r="G4511" s="1">
        <v>4.0000000000000002E-4</v>
      </c>
      <c r="H4511" s="1">
        <v>3.0300000000000001E-2</v>
      </c>
      <c r="I4511" s="1">
        <v>0.39939999999999998</v>
      </c>
      <c r="J4511" s="1">
        <v>8.0000000000000004E-4</v>
      </c>
      <c r="K4511" s="1">
        <v>6.9999999999999999E-4</v>
      </c>
      <c r="L4511" s="1">
        <v>0.5726</v>
      </c>
    </row>
    <row r="4512" spans="1:12">
      <c r="A4512" s="25" t="s">
        <v>191</v>
      </c>
      <c r="B4512">
        <v>5474</v>
      </c>
      <c r="C4512" t="s">
        <v>189</v>
      </c>
      <c r="D4512">
        <v>10433</v>
      </c>
      <c r="E4512" s="1">
        <v>4.4999999999999997E-3</v>
      </c>
      <c r="F4512" s="1">
        <v>0.58260000000000001</v>
      </c>
      <c r="G4512" s="1">
        <v>2E-3</v>
      </c>
      <c r="H4512" s="1">
        <v>4.7800000000000002E-2</v>
      </c>
      <c r="I4512" s="1">
        <v>0.31340000000000001</v>
      </c>
      <c r="J4512" s="1">
        <v>3.8E-3</v>
      </c>
      <c r="K4512" s="1">
        <v>4.0000000000000002E-4</v>
      </c>
      <c r="L4512" s="1">
        <v>0.1095</v>
      </c>
    </row>
    <row r="4513" spans="1:12">
      <c r="A4513" s="25" t="s">
        <v>192</v>
      </c>
      <c r="B4513">
        <v>10433</v>
      </c>
      <c r="C4513" t="s">
        <v>192</v>
      </c>
      <c r="D4513">
        <v>10433</v>
      </c>
      <c r="E4513" s="1">
        <v>7.1000000000000004E-3</v>
      </c>
      <c r="F4513" s="1">
        <v>0.42409999999999998</v>
      </c>
      <c r="G4513" s="1">
        <v>1.4E-3</v>
      </c>
      <c r="H4513" s="1">
        <v>4.1099999999999998E-2</v>
      </c>
      <c r="I4513" s="1">
        <v>0.34620000000000001</v>
      </c>
      <c r="J4513" s="1">
        <v>2.5999999999999999E-3</v>
      </c>
      <c r="K4513" s="1">
        <v>5.0000000000000001E-4</v>
      </c>
      <c r="L4513" s="1">
        <v>0.2863</v>
      </c>
    </row>
    <row r="4515" spans="1:12" ht="43.5">
      <c r="A4515" s="25" t="s">
        <v>1341</v>
      </c>
    </row>
    <row r="4516" spans="1:12">
      <c r="A4516" s="25" t="s">
        <v>182</v>
      </c>
      <c r="B4516" t="s">
        <v>219</v>
      </c>
      <c r="C4516" t="s">
        <v>181</v>
      </c>
      <c r="D4516" t="s">
        <v>188</v>
      </c>
      <c r="E4516" t="s">
        <v>1336</v>
      </c>
      <c r="F4516" t="s">
        <v>1337</v>
      </c>
      <c r="G4516" t="s">
        <v>241</v>
      </c>
      <c r="H4516" t="s">
        <v>1338</v>
      </c>
      <c r="I4516" t="s">
        <v>1339</v>
      </c>
      <c r="J4516" t="s">
        <v>324</v>
      </c>
      <c r="K4516" t="s">
        <v>243</v>
      </c>
      <c r="L4516" t="s">
        <v>1340</v>
      </c>
    </row>
    <row r="4517" spans="1:12" ht="29.1">
      <c r="A4517" s="25" t="s">
        <v>194</v>
      </c>
      <c r="B4517">
        <v>5954</v>
      </c>
      <c r="C4517" t="s">
        <v>189</v>
      </c>
      <c r="D4517">
        <v>10433</v>
      </c>
      <c r="E4517" s="1">
        <v>5.3E-3</v>
      </c>
      <c r="F4517" s="1">
        <v>0.41660000000000003</v>
      </c>
      <c r="G4517" s="1">
        <v>1.2999999999999999E-3</v>
      </c>
      <c r="H4517" s="1">
        <v>3.5099999999999999E-2</v>
      </c>
      <c r="I4517" s="1">
        <v>0.34710000000000002</v>
      </c>
      <c r="J4517" s="1">
        <v>1.4E-3</v>
      </c>
      <c r="K4517" s="1">
        <v>5.9999999999999995E-4</v>
      </c>
      <c r="L4517" s="1">
        <v>0.31159999999999999</v>
      </c>
    </row>
    <row r="4518" spans="1:12" ht="29.1">
      <c r="A4518" s="25" t="s">
        <v>195</v>
      </c>
      <c r="B4518">
        <v>2702</v>
      </c>
      <c r="C4518" t="s">
        <v>189</v>
      </c>
      <c r="D4518">
        <v>10433</v>
      </c>
      <c r="E4518" s="1">
        <v>1.1599999999999999E-2</v>
      </c>
      <c r="F4518" s="1">
        <v>0.3906</v>
      </c>
      <c r="G4518" s="1">
        <v>2.2000000000000001E-3</v>
      </c>
      <c r="H4518" s="1">
        <v>5.5E-2</v>
      </c>
      <c r="I4518" s="1">
        <v>0.38740000000000002</v>
      </c>
      <c r="J4518" s="1">
        <v>6.1999999999999998E-3</v>
      </c>
      <c r="K4518" s="1">
        <v>6.9999999999999999E-4</v>
      </c>
      <c r="L4518" s="1">
        <v>0.23580000000000001</v>
      </c>
    </row>
    <row r="4519" spans="1:12" ht="29.1">
      <c r="A4519" s="25" t="s">
        <v>196</v>
      </c>
      <c r="B4519">
        <v>1720</v>
      </c>
      <c r="C4519" t="s">
        <v>189</v>
      </c>
      <c r="D4519">
        <v>10433</v>
      </c>
      <c r="E4519" s="1">
        <v>1.15E-2</v>
      </c>
      <c r="F4519" s="1">
        <v>0.55159999999999998</v>
      </c>
      <c r="G4519" s="1">
        <v>2.9999999999999997E-4</v>
      </c>
      <c r="H4519" s="1">
        <v>5.8400000000000001E-2</v>
      </c>
      <c r="I4519" s="1">
        <v>0.2545</v>
      </c>
      <c r="J4519" s="1">
        <v>4.4000000000000003E-3</v>
      </c>
      <c r="L4519" s="1">
        <v>0.1953</v>
      </c>
    </row>
    <row r="4520" spans="1:12">
      <c r="A4520" s="25" t="s">
        <v>192</v>
      </c>
      <c r="B4520">
        <v>10433</v>
      </c>
      <c r="C4520" t="s">
        <v>192</v>
      </c>
      <c r="D4520">
        <v>10433</v>
      </c>
      <c r="E4520" s="1">
        <v>7.1000000000000004E-3</v>
      </c>
      <c r="F4520" s="1">
        <v>0.42409999999999998</v>
      </c>
      <c r="G4520" s="1">
        <v>1.4E-3</v>
      </c>
      <c r="H4520" s="1">
        <v>4.1099999999999998E-2</v>
      </c>
      <c r="I4520" s="1">
        <v>0.34620000000000001</v>
      </c>
      <c r="J4520" s="1">
        <v>2.5999999999999999E-3</v>
      </c>
      <c r="K4520" s="1">
        <v>5.0000000000000001E-4</v>
      </c>
      <c r="L4520" s="1">
        <v>0.2863</v>
      </c>
    </row>
    <row r="4522" spans="1:12" ht="43.5">
      <c r="A4522" s="25" t="s">
        <v>1342</v>
      </c>
    </row>
    <row r="4523" spans="1:12">
      <c r="A4523" s="25" t="s">
        <v>182</v>
      </c>
      <c r="B4523" t="s">
        <v>219</v>
      </c>
      <c r="C4523" t="s">
        <v>181</v>
      </c>
      <c r="D4523" t="s">
        <v>188</v>
      </c>
      <c r="E4523" t="s">
        <v>1336</v>
      </c>
      <c r="F4523" t="s">
        <v>1337</v>
      </c>
      <c r="G4523" t="s">
        <v>241</v>
      </c>
      <c r="H4523" t="s">
        <v>1338</v>
      </c>
      <c r="I4523" t="s">
        <v>1339</v>
      </c>
      <c r="J4523" t="s">
        <v>324</v>
      </c>
      <c r="K4523" t="s">
        <v>243</v>
      </c>
      <c r="L4523" t="s">
        <v>1340</v>
      </c>
    </row>
    <row r="4524" spans="1:12">
      <c r="A4524" s="25" t="s">
        <v>198</v>
      </c>
      <c r="B4524">
        <v>2263</v>
      </c>
      <c r="C4524" t="s">
        <v>189</v>
      </c>
      <c r="D4524">
        <v>10433</v>
      </c>
      <c r="E4524" s="1">
        <v>9.4000000000000004E-3</v>
      </c>
      <c r="F4524" s="1">
        <v>0.37090000000000001</v>
      </c>
      <c r="G4524" s="1">
        <v>2.3E-3</v>
      </c>
      <c r="H4524" s="1">
        <v>3.44E-2</v>
      </c>
      <c r="I4524" s="1">
        <v>0.34350000000000003</v>
      </c>
      <c r="J4524" s="1">
        <v>5.0000000000000001E-3</v>
      </c>
      <c r="K4524" s="1">
        <v>6.9999999999999999E-4</v>
      </c>
      <c r="L4524" s="1">
        <v>0.36349999999999999</v>
      </c>
    </row>
    <row r="4525" spans="1:12">
      <c r="A4525" s="25" t="s">
        <v>199</v>
      </c>
      <c r="B4525">
        <v>8170</v>
      </c>
      <c r="C4525" t="s">
        <v>189</v>
      </c>
      <c r="D4525">
        <v>10433</v>
      </c>
      <c r="E4525" s="1">
        <v>6.6E-3</v>
      </c>
      <c r="F4525" s="1">
        <v>0.436</v>
      </c>
      <c r="G4525" s="1">
        <v>1.1999999999999999E-3</v>
      </c>
      <c r="H4525" s="1">
        <v>4.2599999999999999E-2</v>
      </c>
      <c r="I4525" s="1">
        <v>0.3468</v>
      </c>
      <c r="J4525" s="1">
        <v>2.0999999999999999E-3</v>
      </c>
      <c r="K4525" s="1">
        <v>5.0000000000000001E-4</v>
      </c>
      <c r="L4525" s="1">
        <v>0.26900000000000002</v>
      </c>
    </row>
    <row r="4526" spans="1:12">
      <c r="A4526" s="25" t="s">
        <v>192</v>
      </c>
      <c r="B4526">
        <v>10433</v>
      </c>
      <c r="C4526" t="s">
        <v>192</v>
      </c>
      <c r="D4526">
        <v>10433</v>
      </c>
      <c r="E4526" s="1">
        <v>7.1000000000000004E-3</v>
      </c>
      <c r="F4526" s="1">
        <v>0.42409999999999998</v>
      </c>
      <c r="G4526" s="1">
        <v>1.4E-3</v>
      </c>
      <c r="H4526" s="1">
        <v>4.1099999999999998E-2</v>
      </c>
      <c r="I4526" s="1">
        <v>0.34620000000000001</v>
      </c>
      <c r="J4526" s="1">
        <v>2.5999999999999999E-3</v>
      </c>
      <c r="K4526" s="1">
        <v>5.0000000000000001E-4</v>
      </c>
      <c r="L4526" s="1">
        <v>0.2863</v>
      </c>
    </row>
    <row r="4528" spans="1:12" ht="43.5">
      <c r="A4528" s="25" t="s">
        <v>1343</v>
      </c>
    </row>
    <row r="4529" spans="1:12">
      <c r="A4529" s="25" t="s">
        <v>182</v>
      </c>
      <c r="B4529" t="s">
        <v>219</v>
      </c>
      <c r="C4529" t="s">
        <v>181</v>
      </c>
      <c r="D4529" t="s">
        <v>188</v>
      </c>
      <c r="E4529" t="s">
        <v>1336</v>
      </c>
      <c r="F4529" t="s">
        <v>1337</v>
      </c>
      <c r="G4529" t="s">
        <v>241</v>
      </c>
      <c r="H4529" t="s">
        <v>1338</v>
      </c>
      <c r="I4529" t="s">
        <v>1339</v>
      </c>
      <c r="J4529" t="s">
        <v>324</v>
      </c>
      <c r="K4529" t="s">
        <v>243</v>
      </c>
      <c r="L4529" t="s">
        <v>1340</v>
      </c>
    </row>
    <row r="4530" spans="1:12">
      <c r="A4530" s="25" t="s">
        <v>201</v>
      </c>
      <c r="B4530">
        <v>766</v>
      </c>
      <c r="C4530" t="s">
        <v>189</v>
      </c>
      <c r="D4530">
        <v>10433</v>
      </c>
      <c r="E4530" s="1">
        <v>4.4000000000000003E-3</v>
      </c>
      <c r="F4530" s="1">
        <v>0.60289999999999999</v>
      </c>
      <c r="G4530" s="1">
        <v>7.4999999999999997E-3</v>
      </c>
      <c r="H4530" s="1">
        <v>4.7E-2</v>
      </c>
      <c r="I4530" s="1">
        <v>0.21829999999999999</v>
      </c>
      <c r="J4530" s="1">
        <v>7.7999999999999996E-3</v>
      </c>
      <c r="L4530" s="1">
        <v>0.1719</v>
      </c>
    </row>
    <row r="4531" spans="1:12">
      <c r="A4531" s="25" t="s">
        <v>202</v>
      </c>
      <c r="B4531">
        <v>110</v>
      </c>
      <c r="C4531" t="s">
        <v>189</v>
      </c>
      <c r="D4531">
        <v>10433</v>
      </c>
      <c r="E4531" s="1">
        <v>2.5899999999999999E-2</v>
      </c>
      <c r="F4531" s="1">
        <v>0.34050000000000002</v>
      </c>
      <c r="H4531" s="1">
        <v>7.3499999999999996E-2</v>
      </c>
      <c r="I4531" s="1">
        <v>0.4027</v>
      </c>
      <c r="J4531" s="1">
        <v>4.0000000000000001E-3</v>
      </c>
      <c r="L4531" s="1">
        <v>0.27160000000000001</v>
      </c>
    </row>
    <row r="4532" spans="1:12">
      <c r="A4532" s="25" t="s">
        <v>203</v>
      </c>
      <c r="B4532">
        <v>8042</v>
      </c>
      <c r="C4532" t="s">
        <v>189</v>
      </c>
      <c r="D4532">
        <v>10433</v>
      </c>
      <c r="E4532" s="1">
        <v>7.1999999999999998E-3</v>
      </c>
      <c r="F4532" s="1">
        <v>0.37630000000000002</v>
      </c>
      <c r="G4532" s="1">
        <v>8.9999999999999998E-4</v>
      </c>
      <c r="H4532" s="1">
        <v>3.7100000000000001E-2</v>
      </c>
      <c r="I4532" s="1">
        <v>0.37130000000000002</v>
      </c>
      <c r="J4532" s="1">
        <v>2.0999999999999999E-3</v>
      </c>
      <c r="K4532" s="1">
        <v>4.0000000000000002E-4</v>
      </c>
      <c r="L4532" s="1">
        <v>0.32419999999999999</v>
      </c>
    </row>
    <row r="4533" spans="1:12">
      <c r="A4533" s="25" t="s">
        <v>204</v>
      </c>
      <c r="B4533">
        <v>31</v>
      </c>
      <c r="C4533" t="s">
        <v>189</v>
      </c>
      <c r="D4533">
        <v>10433</v>
      </c>
      <c r="F4533" s="1">
        <v>0.24990000000000001</v>
      </c>
      <c r="G4533" s="1">
        <v>5.33E-2</v>
      </c>
      <c r="I4533" s="1">
        <v>0.3448</v>
      </c>
      <c r="K4533" s="1">
        <v>0.1203</v>
      </c>
      <c r="L4533" s="1">
        <v>0.3271</v>
      </c>
    </row>
    <row r="4534" spans="1:12">
      <c r="A4534" s="25" t="s">
        <v>205</v>
      </c>
      <c r="B4534">
        <v>1484</v>
      </c>
      <c r="C4534" t="s">
        <v>189</v>
      </c>
      <c r="D4534">
        <v>10433</v>
      </c>
      <c r="E4534" s="1">
        <v>7.4999999999999997E-3</v>
      </c>
      <c r="F4534" s="1">
        <v>0.61250000000000004</v>
      </c>
      <c r="G4534" s="1">
        <v>2.9999999999999997E-4</v>
      </c>
      <c r="H4534" s="1">
        <v>6.0100000000000001E-2</v>
      </c>
      <c r="I4534" s="1">
        <v>0.26500000000000001</v>
      </c>
      <c r="J4534" s="1">
        <v>3.0000000000000001E-3</v>
      </c>
      <c r="L4534" s="1">
        <v>0.12809999999999999</v>
      </c>
    </row>
    <row r="4535" spans="1:12">
      <c r="A4535" s="25" t="s">
        <v>192</v>
      </c>
      <c r="B4535">
        <v>10433</v>
      </c>
      <c r="C4535" t="s">
        <v>192</v>
      </c>
      <c r="D4535">
        <v>10433</v>
      </c>
      <c r="E4535" s="1">
        <v>7.1000000000000004E-3</v>
      </c>
      <c r="F4535" s="1">
        <v>0.42409999999999998</v>
      </c>
      <c r="G4535" s="1">
        <v>1.4E-3</v>
      </c>
      <c r="H4535" s="1">
        <v>4.1099999999999998E-2</v>
      </c>
      <c r="I4535" s="1">
        <v>0.34620000000000001</v>
      </c>
      <c r="J4535" s="1">
        <v>2.5999999999999999E-3</v>
      </c>
      <c r="K4535" s="1">
        <v>5.0000000000000001E-4</v>
      </c>
      <c r="L4535" s="1">
        <v>0.2863</v>
      </c>
    </row>
    <row r="4537" spans="1:12" ht="43.5">
      <c r="A4537" s="25" t="s">
        <v>1344</v>
      </c>
    </row>
    <row r="4538" spans="1:12">
      <c r="A4538" s="25" t="s">
        <v>182</v>
      </c>
      <c r="B4538" t="s">
        <v>219</v>
      </c>
      <c r="C4538" t="s">
        <v>181</v>
      </c>
      <c r="D4538" t="s">
        <v>188</v>
      </c>
      <c r="E4538" t="s">
        <v>1336</v>
      </c>
      <c r="F4538" t="s">
        <v>1337</v>
      </c>
      <c r="G4538" t="s">
        <v>241</v>
      </c>
      <c r="H4538" t="s">
        <v>1338</v>
      </c>
      <c r="I4538" t="s">
        <v>1339</v>
      </c>
      <c r="J4538" t="s">
        <v>324</v>
      </c>
      <c r="K4538" t="s">
        <v>243</v>
      </c>
      <c r="L4538" t="s">
        <v>1340</v>
      </c>
    </row>
    <row r="4539" spans="1:12">
      <c r="A4539" s="25" t="s">
        <v>207</v>
      </c>
      <c r="B4539">
        <v>7253</v>
      </c>
      <c r="C4539" t="s">
        <v>189</v>
      </c>
      <c r="D4539">
        <v>10433</v>
      </c>
      <c r="E4539" s="1">
        <v>7.1999999999999998E-3</v>
      </c>
      <c r="F4539" s="1">
        <v>0.43709999999999999</v>
      </c>
      <c r="G4539" s="1">
        <v>4.0000000000000002E-4</v>
      </c>
      <c r="H4539" s="1">
        <v>3.9899999999999998E-2</v>
      </c>
      <c r="I4539" s="1">
        <v>0.35389999999999999</v>
      </c>
      <c r="J4539" s="1">
        <v>2.5999999999999999E-3</v>
      </c>
      <c r="K4539" s="1">
        <v>5.9999999999999995E-4</v>
      </c>
      <c r="L4539" s="1">
        <v>0.27</v>
      </c>
    </row>
    <row r="4540" spans="1:12">
      <c r="A4540" s="25" t="s">
        <v>208</v>
      </c>
      <c r="B4540">
        <v>2245</v>
      </c>
      <c r="C4540" t="s">
        <v>189</v>
      </c>
      <c r="D4540">
        <v>10433</v>
      </c>
      <c r="E4540" s="1">
        <v>6.6E-3</v>
      </c>
      <c r="F4540" s="1">
        <v>0.438</v>
      </c>
      <c r="G4540" s="1">
        <v>5.0000000000000001E-3</v>
      </c>
      <c r="H4540" s="1">
        <v>4.6399999999999997E-2</v>
      </c>
      <c r="I4540" s="1">
        <v>0.30609999999999998</v>
      </c>
      <c r="J4540" s="1">
        <v>2.8E-3</v>
      </c>
      <c r="K4540" s="1">
        <v>6.9999999999999999E-4</v>
      </c>
      <c r="L4540" s="1">
        <v>0.2757</v>
      </c>
    </row>
    <row r="4541" spans="1:12">
      <c r="A4541" s="25" t="s">
        <v>209</v>
      </c>
      <c r="B4541">
        <v>935</v>
      </c>
      <c r="C4541" t="s">
        <v>189</v>
      </c>
      <c r="D4541">
        <v>10433</v>
      </c>
      <c r="E4541" s="1">
        <v>8.3999999999999995E-3</v>
      </c>
      <c r="F4541" s="1">
        <v>0.26829999999999998</v>
      </c>
      <c r="H4541" s="1">
        <v>3.6700000000000003E-2</v>
      </c>
      <c r="I4541" s="1">
        <v>0.39219999999999999</v>
      </c>
      <c r="J4541" s="1">
        <v>2.5999999999999999E-3</v>
      </c>
      <c r="L4541" s="1">
        <v>0.46210000000000001</v>
      </c>
    </row>
    <row r="4542" spans="1:12">
      <c r="A4542" s="25" t="s">
        <v>192</v>
      </c>
      <c r="B4542">
        <v>10433</v>
      </c>
      <c r="C4542" t="s">
        <v>192</v>
      </c>
      <c r="D4542">
        <v>10433</v>
      </c>
      <c r="E4542" s="1">
        <v>7.1000000000000004E-3</v>
      </c>
      <c r="F4542" s="1">
        <v>0.42409999999999998</v>
      </c>
      <c r="G4542" s="1">
        <v>1.4E-3</v>
      </c>
      <c r="H4542" s="1">
        <v>4.1099999999999998E-2</v>
      </c>
      <c r="I4542" s="1">
        <v>0.34620000000000001</v>
      </c>
      <c r="J4542" s="1">
        <v>2.5999999999999999E-3</v>
      </c>
      <c r="K4542" s="1">
        <v>5.0000000000000001E-4</v>
      </c>
      <c r="L4542" s="1">
        <v>0.2863</v>
      </c>
    </row>
    <row r="4544" spans="1:12" ht="43.5">
      <c r="A4544" s="25" t="s">
        <v>1345</v>
      </c>
    </row>
    <row r="4545" spans="1:12">
      <c r="A4545" s="25" t="s">
        <v>182</v>
      </c>
      <c r="B4545" t="s">
        <v>219</v>
      </c>
      <c r="C4545" t="s">
        <v>181</v>
      </c>
      <c r="D4545" t="s">
        <v>188</v>
      </c>
      <c r="E4545" t="s">
        <v>1336</v>
      </c>
      <c r="F4545" t="s">
        <v>1337</v>
      </c>
      <c r="G4545" t="s">
        <v>241</v>
      </c>
      <c r="H4545" t="s">
        <v>1338</v>
      </c>
      <c r="I4545" t="s">
        <v>1339</v>
      </c>
      <c r="J4545" t="s">
        <v>324</v>
      </c>
      <c r="K4545" t="s">
        <v>243</v>
      </c>
      <c r="L4545" t="s">
        <v>1340</v>
      </c>
    </row>
    <row r="4546" spans="1:12">
      <c r="A4546" s="25" t="s">
        <v>211</v>
      </c>
      <c r="B4546">
        <v>4972</v>
      </c>
      <c r="C4546" t="s">
        <v>189</v>
      </c>
      <c r="D4546">
        <v>10433</v>
      </c>
      <c r="E4546" s="1">
        <v>8.2000000000000007E-3</v>
      </c>
      <c r="F4546" s="1">
        <v>0.44040000000000001</v>
      </c>
      <c r="G4546" s="1">
        <v>4.0000000000000002E-4</v>
      </c>
      <c r="H4546" s="1">
        <v>3.6400000000000002E-2</v>
      </c>
      <c r="I4546" s="1">
        <v>0.34139999999999998</v>
      </c>
      <c r="J4546" s="1">
        <v>1.6000000000000001E-3</v>
      </c>
      <c r="K4546" s="1">
        <v>2.0000000000000001E-4</v>
      </c>
      <c r="L4546" s="1">
        <v>0.2903</v>
      </c>
    </row>
    <row r="4547" spans="1:12">
      <c r="A4547" s="25" t="s">
        <v>212</v>
      </c>
      <c r="B4547">
        <v>3375</v>
      </c>
      <c r="C4547" t="s">
        <v>189</v>
      </c>
      <c r="D4547">
        <v>10433</v>
      </c>
      <c r="E4547" s="1">
        <v>5.5999999999999999E-3</v>
      </c>
      <c r="F4547" s="1">
        <v>0.40460000000000002</v>
      </c>
      <c r="G4547" s="1">
        <v>5.9999999999999995E-4</v>
      </c>
      <c r="H4547" s="1">
        <v>4.5900000000000003E-2</v>
      </c>
      <c r="I4547" s="1">
        <v>0.35249999999999998</v>
      </c>
      <c r="J4547" s="1">
        <v>4.1000000000000003E-3</v>
      </c>
      <c r="K4547" s="1">
        <v>2.0000000000000001E-4</v>
      </c>
      <c r="L4547" s="1">
        <v>0.2863</v>
      </c>
    </row>
    <row r="4548" spans="1:12">
      <c r="A4548" s="25" t="s">
        <v>213</v>
      </c>
      <c r="B4548">
        <v>2086</v>
      </c>
      <c r="C4548" t="s">
        <v>189</v>
      </c>
      <c r="D4548">
        <v>10433</v>
      </c>
      <c r="E4548" s="1">
        <v>7.0000000000000001E-3</v>
      </c>
      <c r="F4548" s="1">
        <v>0.41660000000000003</v>
      </c>
      <c r="G4548" s="1">
        <v>4.4999999999999997E-3</v>
      </c>
      <c r="H4548" s="1">
        <v>4.4499999999999998E-2</v>
      </c>
      <c r="I4548" s="1">
        <v>0.34739999999999999</v>
      </c>
      <c r="J4548" s="1">
        <v>2.7000000000000001E-3</v>
      </c>
      <c r="K4548" s="1">
        <v>1.8E-3</v>
      </c>
      <c r="L4548" s="1">
        <v>0.27800000000000002</v>
      </c>
    </row>
    <row r="4549" spans="1:12">
      <c r="A4549" s="25" t="s">
        <v>192</v>
      </c>
      <c r="B4549">
        <v>10433</v>
      </c>
      <c r="C4549" t="s">
        <v>192</v>
      </c>
      <c r="D4549">
        <v>10433</v>
      </c>
      <c r="E4549" s="1">
        <v>7.1000000000000004E-3</v>
      </c>
      <c r="F4549" s="1">
        <v>0.42409999999999998</v>
      </c>
      <c r="G4549" s="1">
        <v>1.4E-3</v>
      </c>
      <c r="H4549" s="1">
        <v>4.1099999999999998E-2</v>
      </c>
      <c r="I4549" s="1">
        <v>0.34620000000000001</v>
      </c>
      <c r="J4549" s="1">
        <v>2.5999999999999999E-3</v>
      </c>
      <c r="K4549" s="1">
        <v>5.0000000000000001E-4</v>
      </c>
      <c r="L4549" s="1">
        <v>0.2863</v>
      </c>
    </row>
    <row r="4551" spans="1:12" ht="43.5">
      <c r="A4551" s="25" t="s">
        <v>1346</v>
      </c>
    </row>
    <row r="4552" spans="1:12">
      <c r="A4552" s="25" t="s">
        <v>182</v>
      </c>
      <c r="B4552" t="s">
        <v>219</v>
      </c>
      <c r="C4552" t="s">
        <v>181</v>
      </c>
      <c r="D4552" t="s">
        <v>188</v>
      </c>
      <c r="E4552" t="s">
        <v>241</v>
      </c>
      <c r="F4552" t="s">
        <v>1320</v>
      </c>
      <c r="G4552" t="s">
        <v>243</v>
      </c>
      <c r="H4552" t="s">
        <v>1322</v>
      </c>
      <c r="I4552" t="s">
        <v>1323</v>
      </c>
    </row>
    <row r="4553" spans="1:12">
      <c r="A4553" s="25" t="s">
        <v>190</v>
      </c>
      <c r="B4553">
        <v>4900</v>
      </c>
      <c r="C4553" t="s">
        <v>189</v>
      </c>
      <c r="D4553">
        <v>10425</v>
      </c>
      <c r="E4553" s="1">
        <v>0</v>
      </c>
      <c r="F4553" s="1">
        <v>8.9999999999999993E-3</v>
      </c>
      <c r="G4553" s="1">
        <v>4.0000000000000002E-4</v>
      </c>
      <c r="H4553" s="1">
        <v>6.4500000000000002E-2</v>
      </c>
      <c r="I4553" s="1">
        <v>0.92600000000000005</v>
      </c>
    </row>
    <row r="4554" spans="1:12">
      <c r="A4554" s="25" t="s">
        <v>191</v>
      </c>
      <c r="B4554">
        <v>5468</v>
      </c>
      <c r="C4554" t="s">
        <v>189</v>
      </c>
      <c r="D4554">
        <v>10425</v>
      </c>
      <c r="E4554" s="1">
        <v>1E-4</v>
      </c>
      <c r="F4554" s="1">
        <v>6.1000000000000004E-3</v>
      </c>
      <c r="H4554" s="1">
        <v>7.7799999999999994E-2</v>
      </c>
      <c r="I4554" s="1">
        <v>0.91610000000000003</v>
      </c>
    </row>
    <row r="4555" spans="1:12">
      <c r="A4555" s="25" t="s">
        <v>192</v>
      </c>
      <c r="B4555">
        <v>10425</v>
      </c>
      <c r="C4555" t="s">
        <v>192</v>
      </c>
      <c r="D4555">
        <v>10425</v>
      </c>
      <c r="E4555" s="1">
        <v>1E-4</v>
      </c>
      <c r="F4555" s="1">
        <v>7.1999999999999998E-3</v>
      </c>
      <c r="G4555" s="1">
        <v>2.0000000000000001E-4</v>
      </c>
      <c r="H4555" s="1">
        <v>7.2700000000000001E-2</v>
      </c>
      <c r="I4555" s="1">
        <v>0.91990000000000005</v>
      </c>
    </row>
    <row r="4557" spans="1:12" ht="43.5">
      <c r="A4557" s="25" t="s">
        <v>1347</v>
      </c>
    </row>
    <row r="4558" spans="1:12">
      <c r="A4558" s="25" t="s">
        <v>182</v>
      </c>
      <c r="B4558" t="s">
        <v>219</v>
      </c>
      <c r="C4558" t="s">
        <v>181</v>
      </c>
      <c r="D4558" t="s">
        <v>188</v>
      </c>
      <c r="E4558" t="s">
        <v>241</v>
      </c>
      <c r="F4558" t="s">
        <v>1320</v>
      </c>
      <c r="G4558" t="s">
        <v>243</v>
      </c>
      <c r="H4558" t="s">
        <v>1322</v>
      </c>
      <c r="I4558" t="s">
        <v>1323</v>
      </c>
    </row>
    <row r="4559" spans="1:12" ht="29.1">
      <c r="A4559" s="25" t="s">
        <v>194</v>
      </c>
      <c r="B4559">
        <v>5952</v>
      </c>
      <c r="C4559" t="s">
        <v>189</v>
      </c>
      <c r="D4559">
        <v>10425</v>
      </c>
      <c r="F4559" s="1">
        <v>7.1000000000000004E-3</v>
      </c>
      <c r="G4559" s="1">
        <v>2.0000000000000001E-4</v>
      </c>
      <c r="H4559" s="1">
        <v>8.9200000000000002E-2</v>
      </c>
      <c r="I4559" s="1">
        <v>0.90349999999999997</v>
      </c>
    </row>
    <row r="4560" spans="1:12" ht="29.1">
      <c r="A4560" s="25" t="s">
        <v>195</v>
      </c>
      <c r="B4560">
        <v>2702</v>
      </c>
      <c r="C4560" t="s">
        <v>189</v>
      </c>
      <c r="D4560">
        <v>10425</v>
      </c>
      <c r="E4560" s="1">
        <v>1E-4</v>
      </c>
      <c r="F4560" s="1">
        <v>8.0000000000000002E-3</v>
      </c>
      <c r="G4560" s="1">
        <v>1E-4</v>
      </c>
      <c r="H4560" s="1">
        <v>2.6100000000000002E-2</v>
      </c>
      <c r="I4560" s="1">
        <v>0.9657</v>
      </c>
    </row>
    <row r="4561" spans="1:9" ht="29.1">
      <c r="A4561" s="25" t="s">
        <v>196</v>
      </c>
      <c r="B4561">
        <v>1714</v>
      </c>
      <c r="C4561" t="s">
        <v>189</v>
      </c>
      <c r="D4561">
        <v>10425</v>
      </c>
      <c r="E4561" s="1">
        <v>4.0000000000000002E-4</v>
      </c>
      <c r="F4561" s="1">
        <v>6.4000000000000003E-3</v>
      </c>
      <c r="H4561" s="1">
        <v>4.2900000000000001E-2</v>
      </c>
      <c r="I4561" s="1">
        <v>0.95030000000000003</v>
      </c>
    </row>
    <row r="4562" spans="1:9">
      <c r="A4562" s="25" t="s">
        <v>192</v>
      </c>
      <c r="B4562">
        <v>10425</v>
      </c>
      <c r="C4562" t="s">
        <v>192</v>
      </c>
      <c r="D4562">
        <v>10425</v>
      </c>
      <c r="E4562" s="1">
        <v>1E-4</v>
      </c>
      <c r="F4562" s="1">
        <v>7.1999999999999998E-3</v>
      </c>
      <c r="G4562" s="1">
        <v>2.0000000000000001E-4</v>
      </c>
      <c r="H4562" s="1">
        <v>7.2700000000000001E-2</v>
      </c>
      <c r="I4562" s="1">
        <v>0.91990000000000005</v>
      </c>
    </row>
    <row r="4564" spans="1:9" ht="43.5">
      <c r="A4564" s="25" t="s">
        <v>1348</v>
      </c>
    </row>
    <row r="4565" spans="1:9">
      <c r="A4565" s="25" t="s">
        <v>182</v>
      </c>
      <c r="B4565" t="s">
        <v>219</v>
      </c>
      <c r="C4565" t="s">
        <v>181</v>
      </c>
      <c r="D4565" t="s">
        <v>188</v>
      </c>
      <c r="E4565" t="s">
        <v>241</v>
      </c>
      <c r="F4565" t="s">
        <v>1320</v>
      </c>
      <c r="G4565" t="s">
        <v>243</v>
      </c>
      <c r="H4565" t="s">
        <v>1322</v>
      </c>
      <c r="I4565" t="s">
        <v>1323</v>
      </c>
    </row>
    <row r="4566" spans="1:9">
      <c r="A4566" s="25" t="s">
        <v>198</v>
      </c>
      <c r="B4566">
        <v>2262</v>
      </c>
      <c r="C4566" t="s">
        <v>189</v>
      </c>
      <c r="D4566">
        <v>10425</v>
      </c>
      <c r="E4566" s="1">
        <v>1E-4</v>
      </c>
      <c r="F4566" s="1">
        <v>1.32E-2</v>
      </c>
      <c r="G4566" s="1">
        <v>1E-4</v>
      </c>
      <c r="H4566" s="1">
        <v>0.1084</v>
      </c>
      <c r="I4566" s="1">
        <v>0.87809999999999999</v>
      </c>
    </row>
    <row r="4567" spans="1:9">
      <c r="A4567" s="25" t="s">
        <v>199</v>
      </c>
      <c r="B4567">
        <v>8163</v>
      </c>
      <c r="C4567" t="s">
        <v>189</v>
      </c>
      <c r="D4567">
        <v>10425</v>
      </c>
      <c r="E4567" s="1">
        <v>0</v>
      </c>
      <c r="F4567" s="1">
        <v>5.8999999999999999E-3</v>
      </c>
      <c r="G4567" s="1">
        <v>2.0000000000000001E-4</v>
      </c>
      <c r="H4567" s="1">
        <v>6.4699999999999994E-2</v>
      </c>
      <c r="I4567" s="1">
        <v>0.92920000000000003</v>
      </c>
    </row>
    <row r="4568" spans="1:9">
      <c r="A4568" s="25" t="s">
        <v>192</v>
      </c>
      <c r="B4568">
        <v>10425</v>
      </c>
      <c r="C4568" t="s">
        <v>192</v>
      </c>
      <c r="D4568">
        <v>10425</v>
      </c>
      <c r="E4568" s="1">
        <v>1E-4</v>
      </c>
      <c r="F4568" s="1">
        <v>7.1999999999999998E-3</v>
      </c>
      <c r="G4568" s="1">
        <v>2.0000000000000001E-4</v>
      </c>
      <c r="H4568" s="1">
        <v>7.2700000000000001E-2</v>
      </c>
      <c r="I4568" s="1">
        <v>0.91990000000000005</v>
      </c>
    </row>
    <row r="4570" spans="1:9" ht="43.5">
      <c r="A4570" s="25" t="s">
        <v>1349</v>
      </c>
    </row>
    <row r="4571" spans="1:9">
      <c r="A4571" s="25" t="s">
        <v>182</v>
      </c>
      <c r="B4571" t="s">
        <v>219</v>
      </c>
      <c r="C4571" t="s">
        <v>181</v>
      </c>
      <c r="D4571" t="s">
        <v>188</v>
      </c>
      <c r="E4571" t="s">
        <v>241</v>
      </c>
      <c r="F4571" t="s">
        <v>1320</v>
      </c>
      <c r="G4571" t="s">
        <v>243</v>
      </c>
      <c r="H4571" t="s">
        <v>1322</v>
      </c>
      <c r="I4571" t="s">
        <v>1323</v>
      </c>
    </row>
    <row r="4572" spans="1:9">
      <c r="A4572" s="25" t="s">
        <v>201</v>
      </c>
      <c r="B4572">
        <v>767</v>
      </c>
      <c r="C4572" t="s">
        <v>189</v>
      </c>
      <c r="D4572">
        <v>10425</v>
      </c>
      <c r="E4572" s="1">
        <v>2.0000000000000001E-4</v>
      </c>
      <c r="F4572" s="1">
        <v>1.43E-2</v>
      </c>
      <c r="H4572" s="1">
        <v>0.13750000000000001</v>
      </c>
      <c r="I4572" s="1">
        <v>0.84809999999999997</v>
      </c>
    </row>
    <row r="4573" spans="1:9">
      <c r="A4573" s="25" t="s">
        <v>202</v>
      </c>
      <c r="B4573">
        <v>109</v>
      </c>
      <c r="C4573" t="s">
        <v>189</v>
      </c>
      <c r="D4573">
        <v>10425</v>
      </c>
      <c r="H4573" s="1">
        <v>4.24E-2</v>
      </c>
      <c r="I4573" s="1">
        <v>0.95760000000000001</v>
      </c>
    </row>
    <row r="4574" spans="1:9">
      <c r="A4574" s="25" t="s">
        <v>203</v>
      </c>
      <c r="B4574">
        <v>8037</v>
      </c>
      <c r="C4574" t="s">
        <v>189</v>
      </c>
      <c r="D4574">
        <v>10425</v>
      </c>
      <c r="E4574" s="1">
        <v>1E-4</v>
      </c>
      <c r="F4574" s="1">
        <v>7.3000000000000001E-3</v>
      </c>
      <c r="G4574" s="1">
        <v>2.0000000000000001E-4</v>
      </c>
      <c r="H4574" s="1">
        <v>5.9900000000000002E-2</v>
      </c>
      <c r="I4574" s="1">
        <v>0.9325</v>
      </c>
    </row>
    <row r="4575" spans="1:9">
      <c r="A4575" s="25" t="s">
        <v>204</v>
      </c>
      <c r="B4575">
        <v>30</v>
      </c>
      <c r="C4575" t="s">
        <v>189</v>
      </c>
      <c r="D4575">
        <v>10425</v>
      </c>
      <c r="H4575" s="1">
        <v>2.3099999999999999E-2</v>
      </c>
      <c r="I4575" s="1">
        <v>0.97689999999999999</v>
      </c>
    </row>
    <row r="4576" spans="1:9">
      <c r="A4576" s="25" t="s">
        <v>205</v>
      </c>
      <c r="B4576">
        <v>1482</v>
      </c>
      <c r="C4576" t="s">
        <v>189</v>
      </c>
      <c r="D4576">
        <v>10425</v>
      </c>
      <c r="F4576" s="1">
        <v>3.5000000000000001E-3</v>
      </c>
      <c r="H4576" s="1">
        <v>0.1149</v>
      </c>
      <c r="I4576" s="1">
        <v>0.88160000000000005</v>
      </c>
    </row>
    <row r="4577" spans="1:9">
      <c r="A4577" s="25" t="s">
        <v>192</v>
      </c>
      <c r="B4577">
        <v>10425</v>
      </c>
      <c r="C4577" t="s">
        <v>192</v>
      </c>
      <c r="D4577">
        <v>10425</v>
      </c>
      <c r="E4577" s="1">
        <v>1E-4</v>
      </c>
      <c r="F4577" s="1">
        <v>7.1999999999999998E-3</v>
      </c>
      <c r="G4577" s="1">
        <v>2.0000000000000001E-4</v>
      </c>
      <c r="H4577" s="1">
        <v>7.2700000000000001E-2</v>
      </c>
      <c r="I4577" s="1">
        <v>0.91990000000000005</v>
      </c>
    </row>
    <row r="4579" spans="1:9" ht="43.5">
      <c r="A4579" s="25" t="s">
        <v>1350</v>
      </c>
    </row>
    <row r="4580" spans="1:9">
      <c r="A4580" s="25" t="s">
        <v>182</v>
      </c>
      <c r="B4580" t="s">
        <v>219</v>
      </c>
      <c r="C4580" t="s">
        <v>181</v>
      </c>
      <c r="D4580" t="s">
        <v>188</v>
      </c>
      <c r="E4580" t="s">
        <v>241</v>
      </c>
      <c r="F4580" t="s">
        <v>1320</v>
      </c>
      <c r="G4580" t="s">
        <v>243</v>
      </c>
      <c r="H4580" t="s">
        <v>1322</v>
      </c>
      <c r="I4580" t="s">
        <v>1323</v>
      </c>
    </row>
    <row r="4581" spans="1:9">
      <c r="A4581" s="25" t="s">
        <v>207</v>
      </c>
      <c r="B4581">
        <v>7250</v>
      </c>
      <c r="C4581" t="s">
        <v>189</v>
      </c>
      <c r="D4581">
        <v>10425</v>
      </c>
      <c r="E4581" s="1">
        <v>0</v>
      </c>
      <c r="F4581" s="1">
        <v>5.7999999999999996E-3</v>
      </c>
      <c r="G4581" s="1">
        <v>2.0000000000000001E-4</v>
      </c>
      <c r="H4581" s="1">
        <v>7.17E-2</v>
      </c>
      <c r="I4581" s="1">
        <v>0.92230000000000001</v>
      </c>
    </row>
    <row r="4582" spans="1:9">
      <c r="A4582" s="25" t="s">
        <v>208</v>
      </c>
      <c r="B4582">
        <v>2242</v>
      </c>
      <c r="C4582" t="s">
        <v>189</v>
      </c>
      <c r="D4582">
        <v>10425</v>
      </c>
      <c r="E4582" s="1">
        <v>2.0000000000000001E-4</v>
      </c>
      <c r="F4582" s="1">
        <v>1.38E-2</v>
      </c>
      <c r="G4582" s="1">
        <v>1E-4</v>
      </c>
      <c r="H4582" s="1">
        <v>7.5399999999999995E-2</v>
      </c>
      <c r="I4582" s="1">
        <v>0.91049999999999998</v>
      </c>
    </row>
    <row r="4583" spans="1:9">
      <c r="A4583" s="25" t="s">
        <v>209</v>
      </c>
      <c r="B4583">
        <v>933</v>
      </c>
      <c r="C4583" t="s">
        <v>189</v>
      </c>
      <c r="D4583">
        <v>10425</v>
      </c>
      <c r="F4583" s="1">
        <v>8.0000000000000004E-4</v>
      </c>
      <c r="H4583" s="1">
        <v>7.4200000000000002E-2</v>
      </c>
      <c r="I4583" s="1">
        <v>0.92500000000000004</v>
      </c>
    </row>
    <row r="4584" spans="1:9">
      <c r="A4584" s="25" t="s">
        <v>192</v>
      </c>
      <c r="B4584">
        <v>10425</v>
      </c>
      <c r="C4584" t="s">
        <v>192</v>
      </c>
      <c r="D4584">
        <v>10425</v>
      </c>
      <c r="E4584" s="1">
        <v>1E-4</v>
      </c>
      <c r="F4584" s="1">
        <v>7.1999999999999998E-3</v>
      </c>
      <c r="G4584" s="1">
        <v>2.0000000000000001E-4</v>
      </c>
      <c r="H4584" s="1">
        <v>7.2700000000000001E-2</v>
      </c>
      <c r="I4584" s="1">
        <v>0.91990000000000005</v>
      </c>
    </row>
    <row r="4586" spans="1:9" ht="43.5">
      <c r="A4586" s="25" t="s">
        <v>1351</v>
      </c>
    </row>
    <row r="4587" spans="1:9">
      <c r="A4587" s="25" t="s">
        <v>182</v>
      </c>
      <c r="B4587" t="s">
        <v>219</v>
      </c>
      <c r="C4587" t="s">
        <v>181</v>
      </c>
      <c r="D4587" t="s">
        <v>188</v>
      </c>
      <c r="E4587" t="s">
        <v>241</v>
      </c>
      <c r="F4587" t="s">
        <v>1320</v>
      </c>
      <c r="G4587" t="s">
        <v>243</v>
      </c>
      <c r="H4587" t="s">
        <v>1322</v>
      </c>
      <c r="I4587" t="s">
        <v>1323</v>
      </c>
    </row>
    <row r="4588" spans="1:9">
      <c r="A4588" s="25" t="s">
        <v>211</v>
      </c>
      <c r="B4588">
        <v>4969</v>
      </c>
      <c r="C4588" t="s">
        <v>189</v>
      </c>
      <c r="D4588">
        <v>10425</v>
      </c>
      <c r="E4588" s="1">
        <v>0</v>
      </c>
      <c r="F4588" s="1">
        <v>3.2000000000000002E-3</v>
      </c>
      <c r="H4588" s="1">
        <v>7.7600000000000002E-2</v>
      </c>
      <c r="I4588" s="1">
        <v>0.91920000000000002</v>
      </c>
    </row>
    <row r="4589" spans="1:9">
      <c r="A4589" s="25" t="s">
        <v>212</v>
      </c>
      <c r="B4589">
        <v>3374</v>
      </c>
      <c r="C4589" t="s">
        <v>189</v>
      </c>
      <c r="D4589">
        <v>10425</v>
      </c>
      <c r="E4589" s="1">
        <v>0</v>
      </c>
      <c r="F4589" s="1">
        <v>8.5000000000000006E-3</v>
      </c>
      <c r="G4589" s="1">
        <v>1E-4</v>
      </c>
      <c r="H4589" s="1">
        <v>6.6100000000000006E-2</v>
      </c>
      <c r="I4589" s="1">
        <v>0.92520000000000002</v>
      </c>
    </row>
    <row r="4590" spans="1:9">
      <c r="A4590" s="25" t="s">
        <v>213</v>
      </c>
      <c r="B4590">
        <v>2082</v>
      </c>
      <c r="C4590" t="s">
        <v>189</v>
      </c>
      <c r="D4590">
        <v>10425</v>
      </c>
      <c r="E4590" s="1">
        <v>1E-4</v>
      </c>
      <c r="F4590" s="1">
        <v>1.3899999999999999E-2</v>
      </c>
      <c r="G4590" s="1">
        <v>5.9999999999999995E-4</v>
      </c>
      <c r="H4590" s="1">
        <v>7.1499999999999994E-2</v>
      </c>
      <c r="I4590" s="1">
        <v>0.91379999999999995</v>
      </c>
    </row>
    <row r="4591" spans="1:9">
      <c r="A4591" s="25" t="s">
        <v>192</v>
      </c>
      <c r="B4591">
        <v>10425</v>
      </c>
      <c r="C4591" t="s">
        <v>192</v>
      </c>
      <c r="D4591">
        <v>10425</v>
      </c>
      <c r="E4591" s="1">
        <v>1E-4</v>
      </c>
      <c r="F4591" s="1">
        <v>7.1999999999999998E-3</v>
      </c>
      <c r="G4591" s="1">
        <v>2.0000000000000001E-4</v>
      </c>
      <c r="H4591" s="1">
        <v>7.2700000000000001E-2</v>
      </c>
      <c r="I4591" s="1">
        <v>0.91990000000000005</v>
      </c>
    </row>
    <row r="4593" spans="1:11" ht="43.5">
      <c r="A4593" s="25" t="s">
        <v>1352</v>
      </c>
    </row>
    <row r="4594" spans="1:11">
      <c r="A4594" s="25" t="s">
        <v>182</v>
      </c>
      <c r="B4594" t="s">
        <v>219</v>
      </c>
      <c r="C4594" t="s">
        <v>181</v>
      </c>
      <c r="D4594" t="s">
        <v>188</v>
      </c>
      <c r="E4594" t="s">
        <v>241</v>
      </c>
      <c r="F4594" t="s">
        <v>1353</v>
      </c>
      <c r="G4594" t="s">
        <v>1354</v>
      </c>
      <c r="H4594" t="s">
        <v>1355</v>
      </c>
      <c r="I4594" t="s">
        <v>324</v>
      </c>
      <c r="J4594" t="s">
        <v>269</v>
      </c>
      <c r="K4594" t="s">
        <v>243</v>
      </c>
    </row>
    <row r="4595" spans="1:11">
      <c r="A4595" s="25" t="s">
        <v>190</v>
      </c>
      <c r="B4595">
        <v>4897</v>
      </c>
      <c r="C4595" t="s">
        <v>189</v>
      </c>
      <c r="D4595">
        <v>10421</v>
      </c>
      <c r="E4595" s="1">
        <v>2.9999999999999997E-4</v>
      </c>
      <c r="F4595" s="1">
        <v>1.3599999999999999E-2</v>
      </c>
      <c r="G4595" s="1">
        <v>0.69799999999999995</v>
      </c>
      <c r="H4595" s="1">
        <v>1.43E-2</v>
      </c>
      <c r="I4595" s="1">
        <v>0.2727</v>
      </c>
      <c r="J4595" s="1">
        <v>5.0000000000000001E-4</v>
      </c>
      <c r="K4595" s="1">
        <v>4.0000000000000002E-4</v>
      </c>
    </row>
    <row r="4596" spans="1:11">
      <c r="A4596" s="25" t="s">
        <v>191</v>
      </c>
      <c r="B4596">
        <v>5467</v>
      </c>
      <c r="C4596" t="s">
        <v>189</v>
      </c>
      <c r="D4596">
        <v>10421</v>
      </c>
      <c r="E4596" s="1">
        <v>1.1000000000000001E-3</v>
      </c>
      <c r="F4596" s="1">
        <v>1.18E-2</v>
      </c>
      <c r="G4596" s="1">
        <v>0.71989999999999998</v>
      </c>
      <c r="H4596" s="1">
        <v>1.0800000000000001E-2</v>
      </c>
      <c r="I4596" s="1">
        <v>0.25640000000000002</v>
      </c>
      <c r="J4596" s="1">
        <v>1E-4</v>
      </c>
    </row>
    <row r="4597" spans="1:11">
      <c r="A4597" s="25" t="s">
        <v>192</v>
      </c>
      <c r="B4597">
        <v>10421</v>
      </c>
      <c r="C4597" t="s">
        <v>192</v>
      </c>
      <c r="D4597">
        <v>10421</v>
      </c>
      <c r="E4597" s="1">
        <v>8.0000000000000004E-4</v>
      </c>
      <c r="F4597" s="1">
        <v>1.2500000000000001E-2</v>
      </c>
      <c r="G4597" s="1">
        <v>0.71150000000000002</v>
      </c>
      <c r="H4597" s="1">
        <v>1.21E-2</v>
      </c>
      <c r="I4597" s="1">
        <v>0.26269999999999999</v>
      </c>
      <c r="J4597" s="1">
        <v>2.0000000000000001E-4</v>
      </c>
      <c r="K4597" s="1">
        <v>2.0000000000000001E-4</v>
      </c>
    </row>
    <row r="4599" spans="1:11" ht="43.5">
      <c r="A4599" s="25" t="s">
        <v>1356</v>
      </c>
    </row>
    <row r="4600" spans="1:11">
      <c r="A4600" s="25" t="s">
        <v>182</v>
      </c>
      <c r="B4600" t="s">
        <v>219</v>
      </c>
      <c r="C4600" t="s">
        <v>181</v>
      </c>
      <c r="D4600" t="s">
        <v>188</v>
      </c>
      <c r="E4600" t="s">
        <v>241</v>
      </c>
      <c r="F4600" t="s">
        <v>1353</v>
      </c>
      <c r="G4600" t="s">
        <v>1354</v>
      </c>
      <c r="H4600" t="s">
        <v>1355</v>
      </c>
      <c r="I4600" t="s">
        <v>324</v>
      </c>
      <c r="J4600" t="s">
        <v>269</v>
      </c>
      <c r="K4600" t="s">
        <v>243</v>
      </c>
    </row>
    <row r="4601" spans="1:11" ht="29.1">
      <c r="A4601" s="25" t="s">
        <v>194</v>
      </c>
      <c r="B4601">
        <v>5949</v>
      </c>
      <c r="C4601" t="s">
        <v>189</v>
      </c>
      <c r="D4601">
        <v>10421</v>
      </c>
      <c r="E4601" s="1">
        <v>5.0000000000000001E-4</v>
      </c>
      <c r="F4601" s="1">
        <v>6.8999999999999999E-3</v>
      </c>
      <c r="G4601" s="1">
        <v>0.72050000000000003</v>
      </c>
      <c r="H4601" s="1">
        <v>1.09E-2</v>
      </c>
      <c r="I4601" s="1">
        <v>0.26069999999999999</v>
      </c>
      <c r="J4601" s="1">
        <v>2.9999999999999997E-4</v>
      </c>
      <c r="K4601" s="1">
        <v>2.0000000000000001E-4</v>
      </c>
    </row>
    <row r="4602" spans="1:11" ht="29.1">
      <c r="A4602" s="25" t="s">
        <v>195</v>
      </c>
      <c r="B4602">
        <v>2701</v>
      </c>
      <c r="C4602" t="s">
        <v>189</v>
      </c>
      <c r="D4602">
        <v>10421</v>
      </c>
      <c r="E4602" s="1">
        <v>2E-3</v>
      </c>
      <c r="F4602" s="1">
        <v>2.0899999999999998E-2</v>
      </c>
      <c r="G4602" s="1">
        <v>0.65239999999999998</v>
      </c>
      <c r="H4602" s="1">
        <v>8.3999999999999995E-3</v>
      </c>
      <c r="I4602" s="1">
        <v>0.31590000000000001</v>
      </c>
      <c r="J4602" s="1">
        <v>2.9999999999999997E-4</v>
      </c>
      <c r="K4602" s="1">
        <v>1E-4</v>
      </c>
    </row>
    <row r="4603" spans="1:11" ht="29.1">
      <c r="A4603" s="25" t="s">
        <v>196</v>
      </c>
      <c r="B4603">
        <v>1714</v>
      </c>
      <c r="C4603" t="s">
        <v>189</v>
      </c>
      <c r="D4603">
        <v>10421</v>
      </c>
      <c r="E4603" s="1">
        <v>4.0000000000000002E-4</v>
      </c>
      <c r="F4603" s="1">
        <v>3.7199999999999997E-2</v>
      </c>
      <c r="G4603" s="1">
        <v>0.76549999999999996</v>
      </c>
      <c r="H4603" s="1">
        <v>2.8899999999999999E-2</v>
      </c>
      <c r="I4603" s="1">
        <v>0.1678</v>
      </c>
      <c r="J4603" s="1">
        <v>0</v>
      </c>
    </row>
    <row r="4604" spans="1:11">
      <c r="A4604" s="25" t="s">
        <v>192</v>
      </c>
      <c r="B4604">
        <v>10421</v>
      </c>
      <c r="C4604" t="s">
        <v>192</v>
      </c>
      <c r="D4604">
        <v>10421</v>
      </c>
      <c r="E4604" s="1">
        <v>8.0000000000000004E-4</v>
      </c>
      <c r="F4604" s="1">
        <v>1.2500000000000001E-2</v>
      </c>
      <c r="G4604" s="1">
        <v>0.71150000000000002</v>
      </c>
      <c r="H4604" s="1">
        <v>1.21E-2</v>
      </c>
      <c r="I4604" s="1">
        <v>0.26269999999999999</v>
      </c>
      <c r="J4604" s="1">
        <v>2.0000000000000001E-4</v>
      </c>
      <c r="K4604" s="1">
        <v>2.0000000000000001E-4</v>
      </c>
    </row>
    <row r="4606" spans="1:11" ht="43.5">
      <c r="A4606" s="25" t="s">
        <v>1357</v>
      </c>
    </row>
    <row r="4607" spans="1:11">
      <c r="A4607" s="25" t="s">
        <v>182</v>
      </c>
      <c r="B4607" t="s">
        <v>219</v>
      </c>
      <c r="C4607" t="s">
        <v>181</v>
      </c>
      <c r="D4607" t="s">
        <v>188</v>
      </c>
      <c r="E4607" t="s">
        <v>241</v>
      </c>
      <c r="F4607" t="s">
        <v>1353</v>
      </c>
      <c r="G4607" t="s">
        <v>1354</v>
      </c>
      <c r="H4607" t="s">
        <v>1355</v>
      </c>
      <c r="I4607" t="s">
        <v>324</v>
      </c>
      <c r="J4607" t="s">
        <v>269</v>
      </c>
      <c r="K4607" t="s">
        <v>243</v>
      </c>
    </row>
    <row r="4608" spans="1:11">
      <c r="A4608" s="25" t="s">
        <v>198</v>
      </c>
      <c r="B4608">
        <v>2260</v>
      </c>
      <c r="C4608" t="s">
        <v>189</v>
      </c>
      <c r="D4608">
        <v>10421</v>
      </c>
      <c r="E4608" s="1">
        <v>2.5999999999999999E-3</v>
      </c>
      <c r="F4608" s="1">
        <v>1.84E-2</v>
      </c>
      <c r="G4608" s="1">
        <v>0.73329999999999995</v>
      </c>
      <c r="H4608" s="1">
        <v>1.2800000000000001E-2</v>
      </c>
      <c r="I4608" s="1">
        <v>0.2329</v>
      </c>
      <c r="J4608" s="1">
        <v>0</v>
      </c>
    </row>
    <row r="4609" spans="1:11">
      <c r="A4609" s="25" t="s">
        <v>199</v>
      </c>
      <c r="B4609">
        <v>8161</v>
      </c>
      <c r="C4609" t="s">
        <v>189</v>
      </c>
      <c r="D4609">
        <v>10421</v>
      </c>
      <c r="E4609" s="1">
        <v>4.0000000000000002E-4</v>
      </c>
      <c r="F4609" s="1">
        <v>1.12E-2</v>
      </c>
      <c r="G4609" s="1">
        <v>0.70660000000000001</v>
      </c>
      <c r="H4609" s="1">
        <v>1.2E-2</v>
      </c>
      <c r="I4609" s="1">
        <v>0.26939999999999997</v>
      </c>
      <c r="J4609" s="1">
        <v>2.9999999999999997E-4</v>
      </c>
      <c r="K4609" s="1">
        <v>2.0000000000000001E-4</v>
      </c>
    </row>
    <row r="4610" spans="1:11">
      <c r="A4610" s="25" t="s">
        <v>192</v>
      </c>
      <c r="B4610">
        <v>10421</v>
      </c>
      <c r="C4610" t="s">
        <v>192</v>
      </c>
      <c r="D4610">
        <v>10421</v>
      </c>
      <c r="E4610" s="1">
        <v>8.0000000000000004E-4</v>
      </c>
      <c r="F4610" s="1">
        <v>1.2500000000000001E-2</v>
      </c>
      <c r="G4610" s="1">
        <v>0.71150000000000002</v>
      </c>
      <c r="H4610" s="1">
        <v>1.21E-2</v>
      </c>
      <c r="I4610" s="1">
        <v>0.26269999999999999</v>
      </c>
      <c r="J4610" s="1">
        <v>2.0000000000000001E-4</v>
      </c>
      <c r="K4610" s="1">
        <v>2.0000000000000001E-4</v>
      </c>
    </row>
    <row r="4612" spans="1:11" ht="43.5">
      <c r="A4612" s="25" t="s">
        <v>1358</v>
      </c>
    </row>
    <row r="4613" spans="1:11">
      <c r="A4613" s="25" t="s">
        <v>182</v>
      </c>
      <c r="B4613" t="s">
        <v>219</v>
      </c>
      <c r="C4613" t="s">
        <v>181</v>
      </c>
      <c r="D4613" t="s">
        <v>188</v>
      </c>
      <c r="E4613" t="s">
        <v>241</v>
      </c>
      <c r="F4613" t="s">
        <v>1353</v>
      </c>
      <c r="G4613" t="s">
        <v>1354</v>
      </c>
      <c r="H4613" t="s">
        <v>1355</v>
      </c>
      <c r="I4613" t="s">
        <v>324</v>
      </c>
      <c r="J4613" t="s">
        <v>269</v>
      </c>
      <c r="K4613" t="s">
        <v>243</v>
      </c>
    </row>
    <row r="4614" spans="1:11">
      <c r="A4614" s="25" t="s">
        <v>201</v>
      </c>
      <c r="B4614">
        <v>766</v>
      </c>
      <c r="C4614" t="s">
        <v>189</v>
      </c>
      <c r="D4614">
        <v>10421</v>
      </c>
      <c r="E4614" s="1">
        <v>4.1000000000000003E-3</v>
      </c>
      <c r="F4614" s="1">
        <v>1.35E-2</v>
      </c>
      <c r="G4614" s="1">
        <v>0.79430000000000001</v>
      </c>
      <c r="H4614" s="1">
        <v>6.0000000000000001E-3</v>
      </c>
      <c r="I4614" s="1">
        <v>0.18179999999999999</v>
      </c>
      <c r="J4614" s="1">
        <v>2.9999999999999997E-4</v>
      </c>
    </row>
    <row r="4615" spans="1:11">
      <c r="A4615" s="25" t="s">
        <v>202</v>
      </c>
      <c r="B4615">
        <v>109</v>
      </c>
      <c r="C4615" t="s">
        <v>189</v>
      </c>
      <c r="D4615">
        <v>10421</v>
      </c>
      <c r="F4615" s="1">
        <v>1.66E-2</v>
      </c>
      <c r="G4615" s="1">
        <v>0.84609999999999996</v>
      </c>
      <c r="H4615" s="1">
        <v>1.35E-2</v>
      </c>
      <c r="I4615" s="1">
        <v>0.1237</v>
      </c>
    </row>
    <row r="4616" spans="1:11">
      <c r="A4616" s="25" t="s">
        <v>203</v>
      </c>
      <c r="B4616">
        <v>8034</v>
      </c>
      <c r="C4616" t="s">
        <v>189</v>
      </c>
      <c r="D4616">
        <v>10421</v>
      </c>
      <c r="E4616" s="1">
        <v>5.0000000000000001E-4</v>
      </c>
      <c r="F4616" s="1">
        <v>1.1900000000000001E-2</v>
      </c>
      <c r="G4616" s="1">
        <v>0.69730000000000003</v>
      </c>
      <c r="H4616" s="1">
        <v>1.2500000000000001E-2</v>
      </c>
      <c r="I4616" s="1">
        <v>0.2772</v>
      </c>
      <c r="J4616" s="1">
        <v>2.9999999999999997E-4</v>
      </c>
      <c r="K4616" s="1">
        <v>2.0000000000000001E-4</v>
      </c>
    </row>
    <row r="4617" spans="1:11">
      <c r="A4617" s="25" t="s">
        <v>204</v>
      </c>
      <c r="B4617">
        <v>30</v>
      </c>
      <c r="C4617" t="s">
        <v>189</v>
      </c>
      <c r="D4617">
        <v>10421</v>
      </c>
      <c r="G4617" s="1">
        <v>0.57889999999999997</v>
      </c>
      <c r="I4617" s="1">
        <v>0.42109999999999997</v>
      </c>
    </row>
    <row r="4618" spans="1:11">
      <c r="A4618" s="25" t="s">
        <v>205</v>
      </c>
      <c r="B4618">
        <v>1482</v>
      </c>
      <c r="C4618" t="s">
        <v>189</v>
      </c>
      <c r="D4618">
        <v>10421</v>
      </c>
      <c r="E4618" s="1">
        <v>4.0000000000000002E-4</v>
      </c>
      <c r="F4618" s="1">
        <v>1.52E-2</v>
      </c>
      <c r="G4618" s="1">
        <v>0.74719999999999998</v>
      </c>
      <c r="H4618" s="1">
        <v>1.29E-2</v>
      </c>
      <c r="I4618" s="1">
        <v>0.22420000000000001</v>
      </c>
      <c r="J4618" s="1">
        <v>0</v>
      </c>
    </row>
    <row r="4619" spans="1:11">
      <c r="A4619" s="25" t="s">
        <v>192</v>
      </c>
      <c r="B4619">
        <v>10421</v>
      </c>
      <c r="C4619" t="s">
        <v>192</v>
      </c>
      <c r="D4619">
        <v>10421</v>
      </c>
      <c r="E4619" s="1">
        <v>8.0000000000000004E-4</v>
      </c>
      <c r="F4619" s="1">
        <v>1.2500000000000001E-2</v>
      </c>
      <c r="G4619" s="1">
        <v>0.71150000000000002</v>
      </c>
      <c r="H4619" s="1">
        <v>1.21E-2</v>
      </c>
      <c r="I4619" s="1">
        <v>0.26269999999999999</v>
      </c>
      <c r="J4619" s="1">
        <v>2.0000000000000001E-4</v>
      </c>
      <c r="K4619" s="1">
        <v>2.0000000000000001E-4</v>
      </c>
    </row>
    <row r="4621" spans="1:11" ht="43.5">
      <c r="A4621" s="25" t="s">
        <v>1359</v>
      </c>
    </row>
    <row r="4622" spans="1:11">
      <c r="A4622" s="25" t="s">
        <v>182</v>
      </c>
      <c r="B4622" t="s">
        <v>219</v>
      </c>
      <c r="C4622" t="s">
        <v>181</v>
      </c>
      <c r="D4622" t="s">
        <v>188</v>
      </c>
      <c r="E4622" t="s">
        <v>241</v>
      </c>
      <c r="F4622" t="s">
        <v>1353</v>
      </c>
      <c r="G4622" t="s">
        <v>1354</v>
      </c>
      <c r="H4622" t="s">
        <v>1355</v>
      </c>
      <c r="I4622" t="s">
        <v>324</v>
      </c>
      <c r="J4622" t="s">
        <v>269</v>
      </c>
      <c r="K4622" t="s">
        <v>243</v>
      </c>
    </row>
    <row r="4623" spans="1:11">
      <c r="A4623" s="25" t="s">
        <v>207</v>
      </c>
      <c r="B4623">
        <v>7249</v>
      </c>
      <c r="C4623" t="s">
        <v>189</v>
      </c>
      <c r="D4623">
        <v>10421</v>
      </c>
      <c r="E4623" s="1">
        <v>2.0000000000000001E-4</v>
      </c>
      <c r="F4623" s="1">
        <v>1.2200000000000001E-2</v>
      </c>
      <c r="G4623" s="1">
        <v>0.72170000000000001</v>
      </c>
      <c r="H4623" s="1">
        <v>1.11E-2</v>
      </c>
      <c r="I4623" s="1">
        <v>0.25440000000000002</v>
      </c>
      <c r="J4623" s="1">
        <v>1E-4</v>
      </c>
      <c r="K4623" s="1">
        <v>2.0000000000000001E-4</v>
      </c>
    </row>
    <row r="4624" spans="1:11">
      <c r="A4624" s="25" t="s">
        <v>208</v>
      </c>
      <c r="B4624">
        <v>2241</v>
      </c>
      <c r="C4624" t="s">
        <v>189</v>
      </c>
      <c r="D4624">
        <v>10421</v>
      </c>
      <c r="E4624" s="1">
        <v>1.4E-3</v>
      </c>
      <c r="F4624" s="1">
        <v>1.2200000000000001E-2</v>
      </c>
      <c r="G4624" s="1">
        <v>0.69389999999999996</v>
      </c>
      <c r="H4624" s="1">
        <v>1.4500000000000001E-2</v>
      </c>
      <c r="I4624" s="1">
        <v>0.27710000000000001</v>
      </c>
      <c r="J4624" s="1">
        <v>8.0000000000000004E-4</v>
      </c>
    </row>
    <row r="4625" spans="1:13">
      <c r="A4625" s="25" t="s">
        <v>209</v>
      </c>
      <c r="B4625">
        <v>931</v>
      </c>
      <c r="C4625" t="s">
        <v>189</v>
      </c>
      <c r="D4625">
        <v>10421</v>
      </c>
      <c r="E4625" s="1">
        <v>3.7000000000000002E-3</v>
      </c>
      <c r="F4625" s="1">
        <v>1.5699999999999999E-2</v>
      </c>
      <c r="G4625" s="1">
        <v>0.67149999999999999</v>
      </c>
      <c r="H4625" s="1">
        <v>1.3899999999999999E-2</v>
      </c>
      <c r="I4625" s="1">
        <v>0.29530000000000001</v>
      </c>
    </row>
    <row r="4626" spans="1:13">
      <c r="A4626" s="25" t="s">
        <v>192</v>
      </c>
      <c r="B4626">
        <v>10421</v>
      </c>
      <c r="C4626" t="s">
        <v>192</v>
      </c>
      <c r="D4626">
        <v>10421</v>
      </c>
      <c r="E4626" s="1">
        <v>8.0000000000000004E-4</v>
      </c>
      <c r="F4626" s="1">
        <v>1.2500000000000001E-2</v>
      </c>
      <c r="G4626" s="1">
        <v>0.71150000000000002</v>
      </c>
      <c r="H4626" s="1">
        <v>1.21E-2</v>
      </c>
      <c r="I4626" s="1">
        <v>0.26269999999999999</v>
      </c>
      <c r="J4626" s="1">
        <v>2.0000000000000001E-4</v>
      </c>
      <c r="K4626" s="1">
        <v>2.0000000000000001E-4</v>
      </c>
    </row>
    <row r="4628" spans="1:13" ht="43.5">
      <c r="A4628" s="25" t="s">
        <v>1360</v>
      </c>
    </row>
    <row r="4629" spans="1:13">
      <c r="A4629" s="25" t="s">
        <v>182</v>
      </c>
      <c r="B4629" t="s">
        <v>219</v>
      </c>
      <c r="C4629" t="s">
        <v>181</v>
      </c>
      <c r="D4629" t="s">
        <v>188</v>
      </c>
      <c r="E4629" t="s">
        <v>241</v>
      </c>
      <c r="F4629" t="s">
        <v>1353</v>
      </c>
      <c r="G4629" t="s">
        <v>1354</v>
      </c>
      <c r="H4629" t="s">
        <v>1355</v>
      </c>
      <c r="I4629" t="s">
        <v>324</v>
      </c>
      <c r="J4629" t="s">
        <v>269</v>
      </c>
      <c r="K4629" t="s">
        <v>243</v>
      </c>
    </row>
    <row r="4630" spans="1:13">
      <c r="A4630" s="25" t="s">
        <v>211</v>
      </c>
      <c r="B4630">
        <v>4967</v>
      </c>
      <c r="C4630" t="s">
        <v>189</v>
      </c>
      <c r="D4630">
        <v>10421</v>
      </c>
      <c r="E4630" s="1">
        <v>8.9999999999999998E-4</v>
      </c>
      <c r="F4630" s="1">
        <v>1.0699999999999999E-2</v>
      </c>
      <c r="G4630" s="1">
        <v>0.70189999999999997</v>
      </c>
      <c r="H4630" s="1">
        <v>1.11E-2</v>
      </c>
      <c r="I4630" s="1">
        <v>0.27510000000000001</v>
      </c>
      <c r="J4630" s="1">
        <v>0</v>
      </c>
      <c r="K4630" s="1">
        <v>2.9999999999999997E-4</v>
      </c>
    </row>
    <row r="4631" spans="1:13">
      <c r="A4631" s="25" t="s">
        <v>212</v>
      </c>
      <c r="B4631">
        <v>3373</v>
      </c>
      <c r="C4631" t="s">
        <v>189</v>
      </c>
      <c r="D4631">
        <v>10421</v>
      </c>
      <c r="E4631" s="1">
        <v>2.9999999999999997E-4</v>
      </c>
      <c r="F4631" s="1">
        <v>1.6E-2</v>
      </c>
      <c r="G4631" s="1">
        <v>0.71140000000000003</v>
      </c>
      <c r="H4631" s="1">
        <v>1.6E-2</v>
      </c>
      <c r="I4631" s="1">
        <v>0.25569999999999998</v>
      </c>
      <c r="J4631" s="1">
        <v>5.9999999999999995E-4</v>
      </c>
    </row>
    <row r="4632" spans="1:13">
      <c r="A4632" s="25" t="s">
        <v>213</v>
      </c>
      <c r="B4632">
        <v>2081</v>
      </c>
      <c r="C4632" t="s">
        <v>189</v>
      </c>
      <c r="D4632">
        <v>10421</v>
      </c>
      <c r="E4632" s="1">
        <v>1.2999999999999999E-3</v>
      </c>
      <c r="F4632" s="1">
        <v>1.14E-2</v>
      </c>
      <c r="G4632" s="1">
        <v>0.73229999999999995</v>
      </c>
      <c r="H4632" s="1">
        <v>8.8999999999999999E-3</v>
      </c>
      <c r="I4632" s="1">
        <v>0.246</v>
      </c>
      <c r="J4632" s="1">
        <v>1E-4</v>
      </c>
    </row>
    <row r="4633" spans="1:13">
      <c r="A4633" s="25" t="s">
        <v>192</v>
      </c>
      <c r="B4633">
        <v>10421</v>
      </c>
      <c r="C4633" t="s">
        <v>192</v>
      </c>
      <c r="D4633">
        <v>10421</v>
      </c>
      <c r="E4633" s="1">
        <v>8.0000000000000004E-4</v>
      </c>
      <c r="F4633" s="1">
        <v>1.2500000000000001E-2</v>
      </c>
      <c r="G4633" s="1">
        <v>0.71150000000000002</v>
      </c>
      <c r="H4633" s="1">
        <v>1.21E-2</v>
      </c>
      <c r="I4633" s="1">
        <v>0.26269999999999999</v>
      </c>
      <c r="J4633" s="1">
        <v>2.0000000000000001E-4</v>
      </c>
      <c r="K4633" s="1">
        <v>2.0000000000000001E-4</v>
      </c>
    </row>
    <row r="4635" spans="1:13" ht="43.5">
      <c r="A4635" s="25" t="s">
        <v>1361</v>
      </c>
    </row>
    <row r="4636" spans="1:13">
      <c r="A4636" s="25" t="s">
        <v>182</v>
      </c>
      <c r="B4636" t="s">
        <v>219</v>
      </c>
      <c r="C4636" t="s">
        <v>181</v>
      </c>
      <c r="D4636" t="s">
        <v>188</v>
      </c>
      <c r="E4636" t="s">
        <v>1362</v>
      </c>
      <c r="F4636" t="s">
        <v>241</v>
      </c>
      <c r="G4636" t="s">
        <v>1363</v>
      </c>
      <c r="H4636" t="s">
        <v>1364</v>
      </c>
      <c r="I4636" t="s">
        <v>1365</v>
      </c>
      <c r="J4636" t="s">
        <v>324</v>
      </c>
      <c r="K4636" t="s">
        <v>269</v>
      </c>
      <c r="L4636" t="s">
        <v>243</v>
      </c>
      <c r="M4636" t="s">
        <v>1366</v>
      </c>
    </row>
    <row r="4637" spans="1:13">
      <c r="A4637" s="25" t="s">
        <v>190</v>
      </c>
      <c r="B4637">
        <v>4900</v>
      </c>
      <c r="C4637" t="s">
        <v>189</v>
      </c>
      <c r="D4637">
        <v>10425</v>
      </c>
      <c r="E4637" s="1">
        <v>0.1217</v>
      </c>
      <c r="F4637" s="1">
        <v>7.0000000000000001E-3</v>
      </c>
      <c r="G4637" s="1">
        <v>1.26E-2</v>
      </c>
      <c r="H4637" s="1">
        <v>6.9500000000000006E-2</v>
      </c>
      <c r="I4637" s="1">
        <v>0.19389999999999999</v>
      </c>
      <c r="J4637" s="1">
        <v>0.6855</v>
      </c>
      <c r="K4637" s="1">
        <v>2.0400000000000001E-2</v>
      </c>
      <c r="L4637" s="1">
        <v>2.0999999999999999E-3</v>
      </c>
      <c r="M4637" s="1">
        <v>4.9200000000000001E-2</v>
      </c>
    </row>
    <row r="4638" spans="1:13">
      <c r="A4638" s="25" t="s">
        <v>191</v>
      </c>
      <c r="B4638">
        <v>5468</v>
      </c>
      <c r="C4638" t="s">
        <v>189</v>
      </c>
      <c r="D4638">
        <v>10425</v>
      </c>
      <c r="E4638" s="1">
        <v>0.15859999999999999</v>
      </c>
      <c r="F4638" s="1">
        <v>3.7000000000000002E-3</v>
      </c>
      <c r="G4638" s="1">
        <v>5.5999999999999999E-3</v>
      </c>
      <c r="H4638" s="1">
        <v>0.16739999999999999</v>
      </c>
      <c r="I4638" s="1">
        <v>0.24579999999999999</v>
      </c>
      <c r="J4638" s="1">
        <v>0.57010000000000005</v>
      </c>
      <c r="K4638" s="1">
        <v>3.7900000000000003E-2</v>
      </c>
      <c r="L4638" s="1">
        <v>6.9999999999999999E-4</v>
      </c>
      <c r="M4638" s="1">
        <v>4.0899999999999999E-2</v>
      </c>
    </row>
    <row r="4639" spans="1:13">
      <c r="A4639" s="25" t="s">
        <v>192</v>
      </c>
      <c r="B4639">
        <v>10425</v>
      </c>
      <c r="C4639" t="s">
        <v>192</v>
      </c>
      <c r="D4639">
        <v>10425</v>
      </c>
      <c r="E4639" s="1">
        <v>0.14460000000000001</v>
      </c>
      <c r="F4639" s="1">
        <v>4.8999999999999998E-3</v>
      </c>
      <c r="G4639" s="1">
        <v>8.3999999999999995E-3</v>
      </c>
      <c r="H4639" s="1">
        <v>0.13</v>
      </c>
      <c r="I4639" s="1">
        <v>0.22589999999999999</v>
      </c>
      <c r="J4639" s="1">
        <v>0.61419999999999997</v>
      </c>
      <c r="K4639" s="1">
        <v>3.1199999999999999E-2</v>
      </c>
      <c r="L4639" s="1">
        <v>1.1999999999999999E-3</v>
      </c>
      <c r="M4639" s="1">
        <v>4.41E-2</v>
      </c>
    </row>
    <row r="4641" spans="1:13" ht="43.5">
      <c r="A4641" s="25" t="s">
        <v>1367</v>
      </c>
    </row>
    <row r="4642" spans="1:13">
      <c r="A4642" s="25" t="s">
        <v>182</v>
      </c>
      <c r="B4642" t="s">
        <v>219</v>
      </c>
      <c r="C4642" t="s">
        <v>181</v>
      </c>
      <c r="D4642" t="s">
        <v>188</v>
      </c>
      <c r="E4642" t="s">
        <v>1362</v>
      </c>
      <c r="F4642" t="s">
        <v>241</v>
      </c>
      <c r="G4642" t="s">
        <v>1363</v>
      </c>
      <c r="H4642" t="s">
        <v>1364</v>
      </c>
      <c r="I4642" t="s">
        <v>1365</v>
      </c>
      <c r="J4642" t="s">
        <v>324</v>
      </c>
      <c r="K4642" t="s">
        <v>269</v>
      </c>
      <c r="L4642" t="s">
        <v>243</v>
      </c>
      <c r="M4642" t="s">
        <v>1366</v>
      </c>
    </row>
    <row r="4643" spans="1:13" ht="29.1">
      <c r="A4643" s="25" t="s">
        <v>194</v>
      </c>
      <c r="B4643">
        <v>5952</v>
      </c>
      <c r="C4643" t="s">
        <v>189</v>
      </c>
      <c r="D4643">
        <v>10425</v>
      </c>
      <c r="E4643" s="1">
        <v>0.11360000000000001</v>
      </c>
      <c r="F4643" s="1">
        <v>4.7000000000000002E-3</v>
      </c>
      <c r="G4643" s="1">
        <v>7.4999999999999997E-3</v>
      </c>
      <c r="H4643" s="1">
        <v>0.13780000000000001</v>
      </c>
      <c r="I4643" s="1">
        <v>0.23899999999999999</v>
      </c>
      <c r="J4643" s="1">
        <v>0.62660000000000005</v>
      </c>
      <c r="K4643" s="1">
        <v>3.1600000000000003E-2</v>
      </c>
      <c r="L4643" s="1">
        <v>1.5E-3</v>
      </c>
      <c r="M4643" s="1">
        <v>4.4400000000000002E-2</v>
      </c>
    </row>
    <row r="4644" spans="1:13" ht="29.1">
      <c r="A4644" s="25" t="s">
        <v>195</v>
      </c>
      <c r="B4644">
        <v>2702</v>
      </c>
      <c r="C4644" t="s">
        <v>189</v>
      </c>
      <c r="D4644">
        <v>10425</v>
      </c>
      <c r="E4644" s="1">
        <v>0.19359999999999999</v>
      </c>
      <c r="F4644" s="1">
        <v>7.1999999999999998E-3</v>
      </c>
      <c r="G4644" s="1">
        <v>5.8999999999999999E-3</v>
      </c>
      <c r="H4644" s="1">
        <v>4.5499999999999999E-2</v>
      </c>
      <c r="I4644" s="1">
        <v>0.14660000000000001</v>
      </c>
      <c r="J4644" s="1">
        <v>0.63929999999999998</v>
      </c>
      <c r="K4644" s="1">
        <v>3.2199999999999999E-2</v>
      </c>
      <c r="L4644" s="1">
        <v>8.0000000000000004E-4</v>
      </c>
      <c r="M4644" s="1">
        <v>2.9399999999999999E-2</v>
      </c>
    </row>
    <row r="4645" spans="1:13" ht="29.1">
      <c r="A4645" s="25" t="s">
        <v>196</v>
      </c>
      <c r="B4645">
        <v>1714</v>
      </c>
      <c r="C4645" t="s">
        <v>189</v>
      </c>
      <c r="D4645">
        <v>10425</v>
      </c>
      <c r="E4645" s="1">
        <v>0.27929999999999999</v>
      </c>
      <c r="F4645" s="1">
        <v>2.5000000000000001E-3</v>
      </c>
      <c r="G4645" s="1">
        <v>1.9300000000000001E-2</v>
      </c>
      <c r="H4645" s="1">
        <v>0.2452</v>
      </c>
      <c r="I4645" s="1">
        <v>0.29020000000000001</v>
      </c>
      <c r="J4645" s="1">
        <v>0.46789999999999998</v>
      </c>
      <c r="K4645" s="1">
        <v>2.5899999999999999E-2</v>
      </c>
      <c r="M4645" s="1">
        <v>7.1900000000000006E-2</v>
      </c>
    </row>
    <row r="4646" spans="1:13">
      <c r="A4646" s="25" t="s">
        <v>192</v>
      </c>
      <c r="B4646">
        <v>10425</v>
      </c>
      <c r="C4646" t="s">
        <v>192</v>
      </c>
      <c r="D4646">
        <v>10425</v>
      </c>
      <c r="E4646" s="1">
        <v>0.14460000000000001</v>
      </c>
      <c r="F4646" s="1">
        <v>4.8999999999999998E-3</v>
      </c>
      <c r="G4646" s="1">
        <v>8.3999999999999995E-3</v>
      </c>
      <c r="H4646" s="1">
        <v>0.13</v>
      </c>
      <c r="I4646" s="1">
        <v>0.22589999999999999</v>
      </c>
      <c r="J4646" s="1">
        <v>0.61419999999999997</v>
      </c>
      <c r="K4646" s="1">
        <v>3.1199999999999999E-2</v>
      </c>
      <c r="L4646" s="1">
        <v>1.1999999999999999E-3</v>
      </c>
      <c r="M4646" s="1">
        <v>4.41E-2</v>
      </c>
    </row>
    <row r="4648" spans="1:13" ht="43.5">
      <c r="A4648" s="25" t="s">
        <v>1368</v>
      </c>
    </row>
    <row r="4649" spans="1:13">
      <c r="A4649" s="25" t="s">
        <v>182</v>
      </c>
      <c r="B4649" t="s">
        <v>219</v>
      </c>
      <c r="C4649" t="s">
        <v>181</v>
      </c>
      <c r="D4649" t="s">
        <v>188</v>
      </c>
      <c r="E4649" t="s">
        <v>1362</v>
      </c>
      <c r="F4649" t="s">
        <v>241</v>
      </c>
      <c r="G4649" t="s">
        <v>1363</v>
      </c>
      <c r="H4649" t="s">
        <v>1364</v>
      </c>
      <c r="I4649" t="s">
        <v>1365</v>
      </c>
      <c r="J4649" t="s">
        <v>324</v>
      </c>
      <c r="K4649" t="s">
        <v>269</v>
      </c>
      <c r="L4649" t="s">
        <v>243</v>
      </c>
      <c r="M4649" t="s">
        <v>1366</v>
      </c>
    </row>
    <row r="4650" spans="1:13">
      <c r="A4650" s="25" t="s">
        <v>198</v>
      </c>
      <c r="B4650">
        <v>2262</v>
      </c>
      <c r="C4650" t="s">
        <v>189</v>
      </c>
      <c r="D4650">
        <v>10425</v>
      </c>
      <c r="E4650" s="1">
        <v>0.13769999999999999</v>
      </c>
      <c r="F4650" s="1">
        <v>6.7999999999999996E-3</v>
      </c>
      <c r="G4650" s="1">
        <v>1.15E-2</v>
      </c>
      <c r="H4650" s="1">
        <v>0.1129</v>
      </c>
      <c r="I4650" s="1">
        <v>0.20499999999999999</v>
      </c>
      <c r="J4650" s="1">
        <v>0.62129999999999996</v>
      </c>
      <c r="K4650" s="1">
        <v>2.4E-2</v>
      </c>
      <c r="L4650" s="1">
        <v>1E-4</v>
      </c>
      <c r="M4650" s="1">
        <v>4.2500000000000003E-2</v>
      </c>
    </row>
    <row r="4651" spans="1:13">
      <c r="A4651" s="25" t="s">
        <v>199</v>
      </c>
      <c r="B4651">
        <v>8163</v>
      </c>
      <c r="C4651" t="s">
        <v>189</v>
      </c>
      <c r="D4651">
        <v>10425</v>
      </c>
      <c r="E4651" s="1">
        <v>0.14610000000000001</v>
      </c>
      <c r="F4651" s="1">
        <v>4.4999999999999997E-3</v>
      </c>
      <c r="G4651" s="1">
        <v>7.7000000000000002E-3</v>
      </c>
      <c r="H4651" s="1">
        <v>0.13389999999999999</v>
      </c>
      <c r="I4651" s="1">
        <v>0.23050000000000001</v>
      </c>
      <c r="J4651" s="1">
        <v>0.61260000000000003</v>
      </c>
      <c r="K4651" s="1">
        <v>3.2899999999999999E-2</v>
      </c>
      <c r="L4651" s="1">
        <v>1.5E-3</v>
      </c>
      <c r="M4651" s="1">
        <v>4.4499999999999998E-2</v>
      </c>
    </row>
    <row r="4652" spans="1:13">
      <c r="A4652" s="25" t="s">
        <v>192</v>
      </c>
      <c r="B4652">
        <v>10425</v>
      </c>
      <c r="C4652" t="s">
        <v>192</v>
      </c>
      <c r="D4652">
        <v>10425</v>
      </c>
      <c r="E4652" s="1">
        <v>0.14460000000000001</v>
      </c>
      <c r="F4652" s="1">
        <v>4.8999999999999998E-3</v>
      </c>
      <c r="G4652" s="1">
        <v>8.3999999999999995E-3</v>
      </c>
      <c r="H4652" s="1">
        <v>0.13</v>
      </c>
      <c r="I4652" s="1">
        <v>0.22589999999999999</v>
      </c>
      <c r="J4652" s="1">
        <v>0.61419999999999997</v>
      </c>
      <c r="K4652" s="1">
        <v>3.1199999999999999E-2</v>
      </c>
      <c r="L4652" s="1">
        <v>1.1999999999999999E-3</v>
      </c>
      <c r="M4652" s="1">
        <v>4.41E-2</v>
      </c>
    </row>
    <row r="4654" spans="1:13" ht="43.5">
      <c r="A4654" s="25" t="s">
        <v>1369</v>
      </c>
    </row>
    <row r="4655" spans="1:13">
      <c r="A4655" s="25" t="s">
        <v>182</v>
      </c>
      <c r="B4655" t="s">
        <v>219</v>
      </c>
      <c r="C4655" t="s">
        <v>181</v>
      </c>
      <c r="D4655" t="s">
        <v>188</v>
      </c>
      <c r="E4655" t="s">
        <v>1362</v>
      </c>
      <c r="F4655" t="s">
        <v>241</v>
      </c>
      <c r="G4655" t="s">
        <v>1363</v>
      </c>
      <c r="H4655" t="s">
        <v>1364</v>
      </c>
      <c r="I4655" t="s">
        <v>1365</v>
      </c>
      <c r="J4655" t="s">
        <v>324</v>
      </c>
      <c r="K4655" t="s">
        <v>269</v>
      </c>
      <c r="L4655" t="s">
        <v>243</v>
      </c>
      <c r="M4655" t="s">
        <v>1366</v>
      </c>
    </row>
    <row r="4656" spans="1:13">
      <c r="A4656" s="25" t="s">
        <v>201</v>
      </c>
      <c r="B4656">
        <v>767</v>
      </c>
      <c r="C4656" t="s">
        <v>189</v>
      </c>
      <c r="D4656">
        <v>10425</v>
      </c>
      <c r="E4656" s="1">
        <v>0.15079999999999999</v>
      </c>
      <c r="F4656" s="1">
        <v>9.7000000000000003E-3</v>
      </c>
      <c r="G4656" s="1">
        <v>7.3000000000000001E-3</v>
      </c>
      <c r="H4656" s="1">
        <v>0.1711</v>
      </c>
      <c r="I4656" s="1">
        <v>0.32750000000000001</v>
      </c>
      <c r="J4656" s="1">
        <v>0.49130000000000001</v>
      </c>
      <c r="K4656" s="1">
        <v>4.3200000000000002E-2</v>
      </c>
      <c r="M4656" s="1">
        <v>3.9199999999999999E-2</v>
      </c>
    </row>
    <row r="4657" spans="1:13">
      <c r="A4657" s="25" t="s">
        <v>202</v>
      </c>
      <c r="B4657">
        <v>109</v>
      </c>
      <c r="C4657" t="s">
        <v>189</v>
      </c>
      <c r="D4657">
        <v>10425</v>
      </c>
      <c r="E4657" s="1">
        <v>0.24179999999999999</v>
      </c>
      <c r="G4657" s="1">
        <v>7.5700000000000003E-2</v>
      </c>
      <c r="H4657" s="1">
        <v>7.9799999999999996E-2</v>
      </c>
      <c r="I4657" s="1">
        <v>0.20519999999999999</v>
      </c>
      <c r="J4657" s="1">
        <v>0.55300000000000005</v>
      </c>
      <c r="K4657" s="1">
        <v>1.2999999999999999E-2</v>
      </c>
      <c r="M4657" s="1">
        <v>3.0200000000000001E-2</v>
      </c>
    </row>
    <row r="4658" spans="1:13">
      <c r="A4658" s="25" t="s">
        <v>203</v>
      </c>
      <c r="B4658">
        <v>8037</v>
      </c>
      <c r="C4658" t="s">
        <v>189</v>
      </c>
      <c r="D4658">
        <v>10425</v>
      </c>
      <c r="E4658" s="1">
        <v>0.13450000000000001</v>
      </c>
      <c r="F4658" s="1">
        <v>5.1999999999999998E-3</v>
      </c>
      <c r="G4658" s="1">
        <v>7.9000000000000008E-3</v>
      </c>
      <c r="H4658" s="1">
        <v>0.1105</v>
      </c>
      <c r="I4658" s="1">
        <v>0.19750000000000001</v>
      </c>
      <c r="J4658" s="1">
        <v>0.65039999999999998</v>
      </c>
      <c r="K4658" s="1">
        <v>2.4899999999999999E-2</v>
      </c>
      <c r="L4658" s="1">
        <v>1.2999999999999999E-3</v>
      </c>
      <c r="M4658" s="1">
        <v>3.9600000000000003E-2</v>
      </c>
    </row>
    <row r="4659" spans="1:13">
      <c r="A4659" s="25" t="s">
        <v>204</v>
      </c>
      <c r="B4659">
        <v>30</v>
      </c>
      <c r="C4659" t="s">
        <v>189</v>
      </c>
      <c r="D4659">
        <v>10425</v>
      </c>
      <c r="E4659" s="1">
        <v>8.43E-2</v>
      </c>
      <c r="G4659" s="1">
        <v>2.06E-2</v>
      </c>
      <c r="I4659" s="1">
        <v>0.16569999999999999</v>
      </c>
      <c r="J4659" s="1">
        <v>0.49569999999999997</v>
      </c>
      <c r="K4659" s="1">
        <v>0.22839999999999999</v>
      </c>
      <c r="L4659" s="1">
        <v>5.3400000000000003E-2</v>
      </c>
      <c r="M4659" s="1">
        <v>2.06E-2</v>
      </c>
    </row>
    <row r="4660" spans="1:13">
      <c r="A4660" s="25" t="s">
        <v>205</v>
      </c>
      <c r="B4660">
        <v>1482</v>
      </c>
      <c r="C4660" t="s">
        <v>189</v>
      </c>
      <c r="D4660">
        <v>10425</v>
      </c>
      <c r="E4660" s="1">
        <v>0.1956</v>
      </c>
      <c r="F4660" s="1">
        <v>1.6000000000000001E-3</v>
      </c>
      <c r="G4660" s="1">
        <v>8.5000000000000006E-3</v>
      </c>
      <c r="H4660" s="1">
        <v>0.22459999999999999</v>
      </c>
      <c r="I4660" s="1">
        <v>0.33800000000000002</v>
      </c>
      <c r="J4660" s="1">
        <v>0.47360000000000002</v>
      </c>
      <c r="K4660" s="1">
        <v>5.9299999999999999E-2</v>
      </c>
      <c r="L4660" s="1">
        <v>1E-3</v>
      </c>
      <c r="M4660" s="1">
        <v>7.3400000000000007E-2</v>
      </c>
    </row>
    <row r="4661" spans="1:13">
      <c r="A4661" s="25" t="s">
        <v>192</v>
      </c>
      <c r="B4661">
        <v>10425</v>
      </c>
      <c r="C4661" t="s">
        <v>192</v>
      </c>
      <c r="D4661">
        <v>10425</v>
      </c>
      <c r="E4661" s="1">
        <v>0.14460000000000001</v>
      </c>
      <c r="F4661" s="1">
        <v>4.8999999999999998E-3</v>
      </c>
      <c r="G4661" s="1">
        <v>8.3999999999999995E-3</v>
      </c>
      <c r="H4661" s="1">
        <v>0.13</v>
      </c>
      <c r="I4661" s="1">
        <v>0.22589999999999999</v>
      </c>
      <c r="J4661" s="1">
        <v>0.61419999999999997</v>
      </c>
      <c r="K4661" s="1">
        <v>3.1199999999999999E-2</v>
      </c>
      <c r="L4661" s="1">
        <v>1.1999999999999999E-3</v>
      </c>
      <c r="M4661" s="1">
        <v>4.41E-2</v>
      </c>
    </row>
    <row r="4663" spans="1:13" ht="43.5">
      <c r="A4663" s="25" t="s">
        <v>1370</v>
      </c>
    </row>
    <row r="4664" spans="1:13">
      <c r="A4664" s="25" t="s">
        <v>182</v>
      </c>
      <c r="B4664" t="s">
        <v>219</v>
      </c>
      <c r="C4664" t="s">
        <v>181</v>
      </c>
      <c r="D4664" t="s">
        <v>188</v>
      </c>
      <c r="E4664" t="s">
        <v>1362</v>
      </c>
      <c r="F4664" t="s">
        <v>241</v>
      </c>
      <c r="G4664" t="s">
        <v>1363</v>
      </c>
      <c r="H4664" t="s">
        <v>1364</v>
      </c>
      <c r="I4664" t="s">
        <v>1365</v>
      </c>
      <c r="J4664" t="s">
        <v>324</v>
      </c>
      <c r="K4664" t="s">
        <v>269</v>
      </c>
      <c r="L4664" t="s">
        <v>243</v>
      </c>
      <c r="M4664" t="s">
        <v>1366</v>
      </c>
    </row>
    <row r="4665" spans="1:13">
      <c r="A4665" s="25" t="s">
        <v>207</v>
      </c>
      <c r="B4665">
        <v>7250</v>
      </c>
      <c r="C4665" t="s">
        <v>189</v>
      </c>
      <c r="D4665">
        <v>10425</v>
      </c>
      <c r="E4665" s="1">
        <v>0.15329999999999999</v>
      </c>
      <c r="F4665" s="1">
        <v>3.8999999999999998E-3</v>
      </c>
      <c r="G4665" s="1">
        <v>8.6E-3</v>
      </c>
      <c r="H4665" s="1">
        <v>0.13170000000000001</v>
      </c>
      <c r="I4665" s="1">
        <v>0.24160000000000001</v>
      </c>
      <c r="J4665" s="1">
        <v>0.59909999999999997</v>
      </c>
      <c r="K4665" s="1">
        <v>3.2099999999999997E-2</v>
      </c>
      <c r="L4665" s="1">
        <v>1.1999999999999999E-3</v>
      </c>
      <c r="M4665" s="1">
        <v>4.2900000000000001E-2</v>
      </c>
    </row>
    <row r="4666" spans="1:13">
      <c r="A4666" s="25" t="s">
        <v>208</v>
      </c>
      <c r="B4666">
        <v>2242</v>
      </c>
      <c r="C4666" t="s">
        <v>189</v>
      </c>
      <c r="D4666">
        <v>10425</v>
      </c>
      <c r="E4666" s="1">
        <v>0.1124</v>
      </c>
      <c r="F4666" s="1">
        <v>7.9000000000000008E-3</v>
      </c>
      <c r="G4666" s="1">
        <v>7.4999999999999997E-3</v>
      </c>
      <c r="H4666" s="1">
        <v>0.12959999999999999</v>
      </c>
      <c r="I4666" s="1">
        <v>0.15590000000000001</v>
      </c>
      <c r="J4666" s="1">
        <v>0.66559999999999997</v>
      </c>
      <c r="K4666" s="1">
        <v>3.5900000000000001E-2</v>
      </c>
      <c r="L4666" s="1">
        <v>1.1000000000000001E-3</v>
      </c>
      <c r="M4666" s="1">
        <v>3.5400000000000001E-2</v>
      </c>
    </row>
    <row r="4667" spans="1:13">
      <c r="A4667" s="25" t="s">
        <v>209</v>
      </c>
      <c r="B4667">
        <v>933</v>
      </c>
      <c r="C4667" t="s">
        <v>189</v>
      </c>
      <c r="D4667">
        <v>10425</v>
      </c>
      <c r="E4667" s="1">
        <v>0.15909999999999999</v>
      </c>
      <c r="F4667" s="1">
        <v>5.4000000000000003E-3</v>
      </c>
      <c r="G4667" s="1">
        <v>8.6999999999999994E-3</v>
      </c>
      <c r="H4667" s="1">
        <v>0.1163</v>
      </c>
      <c r="I4667" s="1">
        <v>0.28670000000000001</v>
      </c>
      <c r="J4667" s="1">
        <v>0.60150000000000003</v>
      </c>
      <c r="K4667" s="1">
        <v>1.01E-2</v>
      </c>
      <c r="L4667" s="1">
        <v>1.6999999999999999E-3</v>
      </c>
      <c r="M4667" s="1">
        <v>0.08</v>
      </c>
    </row>
    <row r="4668" spans="1:13">
      <c r="A4668" s="25" t="s">
        <v>192</v>
      </c>
      <c r="B4668">
        <v>10425</v>
      </c>
      <c r="C4668" t="s">
        <v>192</v>
      </c>
      <c r="D4668">
        <v>10425</v>
      </c>
      <c r="E4668" s="1">
        <v>0.14460000000000001</v>
      </c>
      <c r="F4668" s="1">
        <v>4.8999999999999998E-3</v>
      </c>
      <c r="G4668" s="1">
        <v>8.3999999999999995E-3</v>
      </c>
      <c r="H4668" s="1">
        <v>0.13</v>
      </c>
      <c r="I4668" s="1">
        <v>0.22589999999999999</v>
      </c>
      <c r="J4668" s="1">
        <v>0.61419999999999997</v>
      </c>
      <c r="K4668" s="1">
        <v>3.1199999999999999E-2</v>
      </c>
      <c r="L4668" s="1">
        <v>1.1999999999999999E-3</v>
      </c>
      <c r="M4668" s="1">
        <v>4.41E-2</v>
      </c>
    </row>
    <row r="4670" spans="1:13" ht="43.5">
      <c r="A4670" s="25" t="s">
        <v>1371</v>
      </c>
    </row>
    <row r="4671" spans="1:13">
      <c r="A4671" s="25" t="s">
        <v>182</v>
      </c>
      <c r="B4671" t="s">
        <v>219</v>
      </c>
      <c r="C4671" t="s">
        <v>181</v>
      </c>
      <c r="D4671" t="s">
        <v>188</v>
      </c>
      <c r="E4671" t="s">
        <v>1362</v>
      </c>
      <c r="F4671" t="s">
        <v>241</v>
      </c>
      <c r="G4671" t="s">
        <v>1363</v>
      </c>
      <c r="H4671" t="s">
        <v>1364</v>
      </c>
      <c r="I4671" t="s">
        <v>1365</v>
      </c>
      <c r="J4671" t="s">
        <v>324</v>
      </c>
      <c r="K4671" t="s">
        <v>269</v>
      </c>
      <c r="L4671" t="s">
        <v>243</v>
      </c>
      <c r="M4671" t="s">
        <v>1366</v>
      </c>
    </row>
    <row r="4672" spans="1:13">
      <c r="A4672" s="25" t="s">
        <v>211</v>
      </c>
      <c r="B4672">
        <v>4969</v>
      </c>
      <c r="C4672" t="s">
        <v>189</v>
      </c>
      <c r="D4672">
        <v>10425</v>
      </c>
      <c r="E4672" s="1">
        <v>0.14510000000000001</v>
      </c>
      <c r="F4672" s="1">
        <v>2.8E-3</v>
      </c>
      <c r="G4672" s="1">
        <v>9.1000000000000004E-3</v>
      </c>
      <c r="H4672" s="1">
        <v>0.1168</v>
      </c>
      <c r="I4672" s="1">
        <v>0.25700000000000001</v>
      </c>
      <c r="J4672" s="1">
        <v>0.60029999999999994</v>
      </c>
      <c r="K4672" s="1">
        <v>2.9100000000000001E-2</v>
      </c>
      <c r="L4672" s="1">
        <v>1.1999999999999999E-3</v>
      </c>
      <c r="M4672" s="1">
        <v>4.0599999999999997E-2</v>
      </c>
    </row>
    <row r="4673" spans="1:13">
      <c r="A4673" s="25" t="s">
        <v>212</v>
      </c>
      <c r="B4673">
        <v>3374</v>
      </c>
      <c r="C4673" t="s">
        <v>189</v>
      </c>
      <c r="D4673">
        <v>10425</v>
      </c>
      <c r="E4673" s="1">
        <v>0.1459</v>
      </c>
      <c r="F4673" s="1">
        <v>3.2000000000000002E-3</v>
      </c>
      <c r="G4673" s="1">
        <v>7.3000000000000001E-3</v>
      </c>
      <c r="H4673" s="1">
        <v>0.13400000000000001</v>
      </c>
      <c r="I4673" s="1">
        <v>0.1807</v>
      </c>
      <c r="J4673" s="1">
        <v>0.65010000000000001</v>
      </c>
      <c r="K4673" s="1">
        <v>0.02</v>
      </c>
      <c r="L4673" s="1">
        <v>1.6999999999999999E-3</v>
      </c>
      <c r="M4673" s="1">
        <v>4.2799999999999998E-2</v>
      </c>
    </row>
    <row r="4674" spans="1:13">
      <c r="A4674" s="25" t="s">
        <v>213</v>
      </c>
      <c r="B4674">
        <v>2082</v>
      </c>
      <c r="C4674" t="s">
        <v>189</v>
      </c>
      <c r="D4674">
        <v>10425</v>
      </c>
      <c r="E4674" s="1">
        <v>0.14169999999999999</v>
      </c>
      <c r="F4674" s="1">
        <v>1.2E-2</v>
      </c>
      <c r="G4674" s="1">
        <v>8.3000000000000001E-3</v>
      </c>
      <c r="H4674" s="1">
        <v>0.153</v>
      </c>
      <c r="I4674" s="1">
        <v>0.22320000000000001</v>
      </c>
      <c r="J4674" s="1">
        <v>0.59319999999999995</v>
      </c>
      <c r="K4674" s="1">
        <v>5.1799999999999999E-2</v>
      </c>
      <c r="L4674" s="1">
        <v>5.9999999999999995E-4</v>
      </c>
      <c r="M4674" s="1">
        <v>5.3499999999999999E-2</v>
      </c>
    </row>
    <row r="4675" spans="1:13">
      <c r="A4675" s="25" t="s">
        <v>192</v>
      </c>
      <c r="B4675">
        <v>10425</v>
      </c>
      <c r="C4675" t="s">
        <v>192</v>
      </c>
      <c r="D4675">
        <v>10425</v>
      </c>
      <c r="E4675" s="1">
        <v>0.14460000000000001</v>
      </c>
      <c r="F4675" s="1">
        <v>4.8999999999999998E-3</v>
      </c>
      <c r="G4675" s="1">
        <v>8.3999999999999995E-3</v>
      </c>
      <c r="H4675" s="1">
        <v>0.13</v>
      </c>
      <c r="I4675" s="1">
        <v>0.22589999999999999</v>
      </c>
      <c r="J4675" s="1">
        <v>0.61419999999999997</v>
      </c>
      <c r="K4675" s="1">
        <v>3.1199999999999999E-2</v>
      </c>
      <c r="L4675" s="1">
        <v>1.1999999999999999E-3</v>
      </c>
      <c r="M4675" s="1">
        <v>4.41E-2</v>
      </c>
    </row>
    <row r="4677" spans="1:13" ht="43.5">
      <c r="A4677" s="25" t="s">
        <v>1372</v>
      </c>
    </row>
    <row r="4678" spans="1:13">
      <c r="A4678" s="25" t="s">
        <v>182</v>
      </c>
      <c r="B4678" t="s">
        <v>219</v>
      </c>
      <c r="C4678" t="s">
        <v>181</v>
      </c>
      <c r="D4678" t="s">
        <v>188</v>
      </c>
      <c r="E4678" t="s">
        <v>241</v>
      </c>
      <c r="F4678" t="s">
        <v>220</v>
      </c>
      <c r="G4678" t="s">
        <v>243</v>
      </c>
      <c r="H4678" t="s">
        <v>221</v>
      </c>
    </row>
    <row r="4679" spans="1:13">
      <c r="A4679" s="25" t="s">
        <v>190</v>
      </c>
      <c r="B4679">
        <v>4900</v>
      </c>
      <c r="C4679" t="s">
        <v>189</v>
      </c>
      <c r="D4679">
        <v>10425</v>
      </c>
      <c r="E4679" s="1">
        <v>1.2999999999999999E-3</v>
      </c>
      <c r="F4679" s="1">
        <v>0.8095</v>
      </c>
      <c r="G4679" s="1">
        <v>8.9999999999999998E-4</v>
      </c>
      <c r="H4679" s="1">
        <v>0.1883</v>
      </c>
    </row>
    <row r="4680" spans="1:13">
      <c r="A4680" s="25" t="s">
        <v>191</v>
      </c>
      <c r="B4680">
        <v>5468</v>
      </c>
      <c r="C4680" t="s">
        <v>189</v>
      </c>
      <c r="D4680">
        <v>10425</v>
      </c>
      <c r="E4680" s="1">
        <v>2.5999999999999999E-3</v>
      </c>
      <c r="F4680" s="1">
        <v>0.78290000000000004</v>
      </c>
      <c r="H4680" s="1">
        <v>0.2145</v>
      </c>
    </row>
    <row r="4681" spans="1:13">
      <c r="A4681" s="25" t="s">
        <v>192</v>
      </c>
      <c r="B4681">
        <v>10425</v>
      </c>
      <c r="C4681" t="s">
        <v>192</v>
      </c>
      <c r="D4681">
        <v>10425</v>
      </c>
      <c r="E4681" s="1">
        <v>2.0999999999999999E-3</v>
      </c>
      <c r="F4681" s="1">
        <v>0.79300000000000004</v>
      </c>
      <c r="G4681" s="1">
        <v>4.0000000000000002E-4</v>
      </c>
      <c r="H4681" s="1">
        <v>0.2046</v>
      </c>
    </row>
    <row r="4683" spans="1:13" ht="43.5">
      <c r="A4683" s="25" t="s">
        <v>1373</v>
      </c>
    </row>
    <row r="4684" spans="1:13">
      <c r="A4684" s="25" t="s">
        <v>182</v>
      </c>
      <c r="B4684" t="s">
        <v>219</v>
      </c>
      <c r="C4684" t="s">
        <v>181</v>
      </c>
      <c r="D4684" t="s">
        <v>188</v>
      </c>
      <c r="E4684" t="s">
        <v>241</v>
      </c>
      <c r="F4684" t="s">
        <v>220</v>
      </c>
      <c r="G4684" t="s">
        <v>243</v>
      </c>
      <c r="H4684" t="s">
        <v>221</v>
      </c>
    </row>
    <row r="4685" spans="1:13" ht="29.1">
      <c r="A4685" s="25" t="s">
        <v>194</v>
      </c>
      <c r="B4685">
        <v>5952</v>
      </c>
      <c r="C4685" t="s">
        <v>189</v>
      </c>
      <c r="D4685">
        <v>10425</v>
      </c>
      <c r="E4685" s="1">
        <v>1.2999999999999999E-3</v>
      </c>
      <c r="F4685" s="1">
        <v>0.78820000000000001</v>
      </c>
      <c r="G4685" s="1">
        <v>5.0000000000000001E-4</v>
      </c>
      <c r="H4685" s="1">
        <v>0.21</v>
      </c>
    </row>
    <row r="4686" spans="1:13" ht="29.1">
      <c r="A4686" s="25" t="s">
        <v>195</v>
      </c>
      <c r="B4686">
        <v>2702</v>
      </c>
      <c r="C4686" t="s">
        <v>189</v>
      </c>
      <c r="D4686">
        <v>10425</v>
      </c>
      <c r="E4686" s="1">
        <v>3.5000000000000001E-3</v>
      </c>
      <c r="F4686" s="1">
        <v>0.81589999999999996</v>
      </c>
      <c r="H4686" s="1">
        <v>0.18049999999999999</v>
      </c>
    </row>
    <row r="4687" spans="1:13" ht="29.1">
      <c r="A4687" s="25" t="s">
        <v>196</v>
      </c>
      <c r="B4687">
        <v>1714</v>
      </c>
      <c r="C4687" t="s">
        <v>189</v>
      </c>
      <c r="D4687">
        <v>10425</v>
      </c>
      <c r="E4687" s="1">
        <v>4.7999999999999996E-3</v>
      </c>
      <c r="F4687" s="1">
        <v>0.78320000000000001</v>
      </c>
      <c r="H4687" s="1">
        <v>0.21199999999999999</v>
      </c>
    </row>
    <row r="4688" spans="1:13">
      <c r="A4688" s="25" t="s">
        <v>192</v>
      </c>
      <c r="B4688">
        <v>10425</v>
      </c>
      <c r="C4688" t="s">
        <v>192</v>
      </c>
      <c r="D4688">
        <v>10425</v>
      </c>
      <c r="E4688" s="1">
        <v>2.0999999999999999E-3</v>
      </c>
      <c r="F4688" s="1">
        <v>0.79300000000000004</v>
      </c>
      <c r="G4688" s="1">
        <v>4.0000000000000002E-4</v>
      </c>
      <c r="H4688" s="1">
        <v>0.2046</v>
      </c>
    </row>
    <row r="4690" spans="1:8" ht="43.5">
      <c r="A4690" s="25" t="s">
        <v>1374</v>
      </c>
    </row>
    <row r="4691" spans="1:8">
      <c r="A4691" s="25" t="s">
        <v>182</v>
      </c>
      <c r="B4691" t="s">
        <v>219</v>
      </c>
      <c r="C4691" t="s">
        <v>181</v>
      </c>
      <c r="D4691" t="s">
        <v>188</v>
      </c>
      <c r="E4691" t="s">
        <v>241</v>
      </c>
      <c r="F4691" t="s">
        <v>220</v>
      </c>
      <c r="G4691" t="s">
        <v>243</v>
      </c>
      <c r="H4691" t="s">
        <v>221</v>
      </c>
    </row>
    <row r="4692" spans="1:8">
      <c r="A4692" s="25" t="s">
        <v>198</v>
      </c>
      <c r="B4692">
        <v>2262</v>
      </c>
      <c r="C4692" t="s">
        <v>189</v>
      </c>
      <c r="D4692">
        <v>10425</v>
      </c>
      <c r="E4692" s="1">
        <v>6.7999999999999996E-3</v>
      </c>
      <c r="F4692" s="1">
        <v>0.8599</v>
      </c>
      <c r="G4692" s="1">
        <v>8.0000000000000004E-4</v>
      </c>
      <c r="H4692" s="1">
        <v>0.13250000000000001</v>
      </c>
    </row>
    <row r="4693" spans="1:8">
      <c r="A4693" s="25" t="s">
        <v>199</v>
      </c>
      <c r="B4693">
        <v>8163</v>
      </c>
      <c r="C4693" t="s">
        <v>189</v>
      </c>
      <c r="D4693">
        <v>10425</v>
      </c>
      <c r="E4693" s="1">
        <v>1E-3</v>
      </c>
      <c r="F4693" s="1">
        <v>0.77790000000000004</v>
      </c>
      <c r="G4693" s="1">
        <v>2.0000000000000001E-4</v>
      </c>
      <c r="H4693" s="1">
        <v>0.2208</v>
      </c>
    </row>
    <row r="4694" spans="1:8">
      <c r="A4694" s="25" t="s">
        <v>192</v>
      </c>
      <c r="B4694">
        <v>10425</v>
      </c>
      <c r="C4694" t="s">
        <v>192</v>
      </c>
      <c r="D4694">
        <v>10425</v>
      </c>
      <c r="E4694" s="1">
        <v>2.0999999999999999E-3</v>
      </c>
      <c r="F4694" s="1">
        <v>0.79300000000000004</v>
      </c>
      <c r="G4694" s="1">
        <v>4.0000000000000002E-4</v>
      </c>
      <c r="H4694" s="1">
        <v>0.2046</v>
      </c>
    </row>
    <row r="4696" spans="1:8" ht="43.5">
      <c r="A4696" s="25" t="s">
        <v>1375</v>
      </c>
    </row>
    <row r="4697" spans="1:8">
      <c r="A4697" s="25" t="s">
        <v>182</v>
      </c>
      <c r="B4697" t="s">
        <v>219</v>
      </c>
      <c r="C4697" t="s">
        <v>181</v>
      </c>
      <c r="D4697" t="s">
        <v>188</v>
      </c>
      <c r="E4697" t="s">
        <v>241</v>
      </c>
      <c r="F4697" t="s">
        <v>220</v>
      </c>
      <c r="G4697" t="s">
        <v>243</v>
      </c>
      <c r="H4697" t="s">
        <v>221</v>
      </c>
    </row>
    <row r="4698" spans="1:8">
      <c r="A4698" s="25" t="s">
        <v>201</v>
      </c>
      <c r="B4698">
        <v>767</v>
      </c>
      <c r="C4698" t="s">
        <v>189</v>
      </c>
      <c r="D4698">
        <v>10425</v>
      </c>
      <c r="E4698" s="1">
        <v>9.5999999999999992E-3</v>
      </c>
      <c r="F4698" s="1">
        <v>0.83479999999999999</v>
      </c>
      <c r="H4698" s="1">
        <v>0.15559999999999999</v>
      </c>
    </row>
    <row r="4699" spans="1:8">
      <c r="A4699" s="25" t="s">
        <v>202</v>
      </c>
      <c r="B4699">
        <v>109</v>
      </c>
      <c r="C4699" t="s">
        <v>189</v>
      </c>
      <c r="D4699">
        <v>10425</v>
      </c>
      <c r="E4699" s="1">
        <v>2.5000000000000001E-3</v>
      </c>
      <c r="F4699" s="1">
        <v>0.66800000000000004</v>
      </c>
      <c r="H4699" s="1">
        <v>0.32950000000000002</v>
      </c>
    </row>
    <row r="4700" spans="1:8">
      <c r="A4700" s="25" t="s">
        <v>203</v>
      </c>
      <c r="B4700">
        <v>8037</v>
      </c>
      <c r="C4700" t="s">
        <v>189</v>
      </c>
      <c r="D4700">
        <v>10425</v>
      </c>
      <c r="E4700" s="1">
        <v>1.6999999999999999E-3</v>
      </c>
      <c r="F4700" s="1">
        <v>0.80769999999999997</v>
      </c>
      <c r="G4700" s="1">
        <v>5.0000000000000001E-4</v>
      </c>
      <c r="H4700" s="1">
        <v>0.19009999999999999</v>
      </c>
    </row>
    <row r="4701" spans="1:8">
      <c r="A4701" s="25" t="s">
        <v>204</v>
      </c>
      <c r="B4701">
        <v>30</v>
      </c>
      <c r="C4701" t="s">
        <v>189</v>
      </c>
      <c r="D4701">
        <v>10425</v>
      </c>
      <c r="E4701" s="1">
        <v>1.9E-3</v>
      </c>
      <c r="F4701" s="1">
        <v>0.84379999999999999</v>
      </c>
      <c r="H4701" s="1">
        <v>0.15429999999999999</v>
      </c>
    </row>
    <row r="4702" spans="1:8">
      <c r="A4702" s="25" t="s">
        <v>205</v>
      </c>
      <c r="B4702">
        <v>1482</v>
      </c>
      <c r="C4702" t="s">
        <v>189</v>
      </c>
      <c r="D4702">
        <v>10425</v>
      </c>
      <c r="E4702" s="1">
        <v>2.0000000000000001E-4</v>
      </c>
      <c r="F4702" s="1">
        <v>0.69189999999999996</v>
      </c>
      <c r="H4702" s="1">
        <v>0.30790000000000001</v>
      </c>
    </row>
    <row r="4703" spans="1:8">
      <c r="A4703" s="25" t="s">
        <v>192</v>
      </c>
      <c r="B4703">
        <v>10425</v>
      </c>
      <c r="C4703" t="s">
        <v>192</v>
      </c>
      <c r="D4703">
        <v>10425</v>
      </c>
      <c r="E4703" s="1">
        <v>2.0999999999999999E-3</v>
      </c>
      <c r="F4703" s="1">
        <v>0.79300000000000004</v>
      </c>
      <c r="G4703" s="1">
        <v>4.0000000000000002E-4</v>
      </c>
      <c r="H4703" s="1">
        <v>0.2046</v>
      </c>
    </row>
    <row r="4705" spans="1:10" ht="43.5">
      <c r="A4705" s="25" t="s">
        <v>1376</v>
      </c>
    </row>
    <row r="4706" spans="1:10">
      <c r="A4706" s="25" t="s">
        <v>182</v>
      </c>
      <c r="B4706" t="s">
        <v>219</v>
      </c>
      <c r="C4706" t="s">
        <v>181</v>
      </c>
      <c r="D4706" t="s">
        <v>188</v>
      </c>
      <c r="E4706" t="s">
        <v>241</v>
      </c>
      <c r="F4706" t="s">
        <v>220</v>
      </c>
      <c r="G4706" t="s">
        <v>243</v>
      </c>
      <c r="H4706" t="s">
        <v>221</v>
      </c>
    </row>
    <row r="4707" spans="1:10">
      <c r="A4707" s="25" t="s">
        <v>207</v>
      </c>
      <c r="B4707">
        <v>7250</v>
      </c>
      <c r="C4707" t="s">
        <v>189</v>
      </c>
      <c r="D4707">
        <v>10425</v>
      </c>
      <c r="E4707" s="1">
        <v>1.1999999999999999E-3</v>
      </c>
      <c r="F4707" s="1">
        <v>0.77170000000000005</v>
      </c>
      <c r="G4707" s="1">
        <v>2.9999999999999997E-4</v>
      </c>
      <c r="H4707" s="1">
        <v>0.22670000000000001</v>
      </c>
    </row>
    <row r="4708" spans="1:10">
      <c r="A4708" s="25" t="s">
        <v>208</v>
      </c>
      <c r="B4708">
        <v>2242</v>
      </c>
      <c r="C4708" t="s">
        <v>189</v>
      </c>
      <c r="D4708">
        <v>10425</v>
      </c>
      <c r="E4708" s="1">
        <v>5.4999999999999997E-3</v>
      </c>
      <c r="F4708" s="1">
        <v>0.88139999999999996</v>
      </c>
      <c r="G4708" s="1">
        <v>5.9999999999999995E-4</v>
      </c>
      <c r="H4708" s="1">
        <v>0.1125</v>
      </c>
    </row>
    <row r="4709" spans="1:10">
      <c r="A4709" s="25" t="s">
        <v>209</v>
      </c>
      <c r="B4709">
        <v>933</v>
      </c>
      <c r="C4709" t="s">
        <v>189</v>
      </c>
      <c r="D4709">
        <v>10425</v>
      </c>
      <c r="F4709" s="1">
        <v>0.72819999999999996</v>
      </c>
      <c r="H4709" s="1">
        <v>0.27179999999999999</v>
      </c>
    </row>
    <row r="4710" spans="1:10">
      <c r="A4710" s="25" t="s">
        <v>192</v>
      </c>
      <c r="B4710">
        <v>10425</v>
      </c>
      <c r="C4710" t="s">
        <v>192</v>
      </c>
      <c r="D4710">
        <v>10425</v>
      </c>
      <c r="E4710" s="1">
        <v>2.0999999999999999E-3</v>
      </c>
      <c r="F4710" s="1">
        <v>0.79300000000000004</v>
      </c>
      <c r="G4710" s="1">
        <v>4.0000000000000002E-4</v>
      </c>
      <c r="H4710" s="1">
        <v>0.2046</v>
      </c>
    </row>
    <row r="4712" spans="1:10" ht="43.5">
      <c r="A4712" s="25" t="s">
        <v>1377</v>
      </c>
    </row>
    <row r="4713" spans="1:10">
      <c r="A4713" s="25" t="s">
        <v>182</v>
      </c>
      <c r="B4713" t="s">
        <v>219</v>
      </c>
      <c r="C4713" t="s">
        <v>181</v>
      </c>
      <c r="D4713" t="s">
        <v>188</v>
      </c>
      <c r="E4713" t="s">
        <v>241</v>
      </c>
      <c r="F4713" t="s">
        <v>220</v>
      </c>
      <c r="G4713" t="s">
        <v>243</v>
      </c>
      <c r="H4713" t="s">
        <v>221</v>
      </c>
    </row>
    <row r="4714" spans="1:10">
      <c r="A4714" s="25" t="s">
        <v>211</v>
      </c>
      <c r="B4714">
        <v>4969</v>
      </c>
      <c r="C4714" t="s">
        <v>189</v>
      </c>
      <c r="D4714">
        <v>10425</v>
      </c>
      <c r="E4714" s="1">
        <v>5.9999999999999995E-4</v>
      </c>
      <c r="F4714" s="1">
        <v>0.752</v>
      </c>
      <c r="G4714" s="1">
        <v>5.0000000000000001E-4</v>
      </c>
      <c r="H4714" s="1">
        <v>0.247</v>
      </c>
    </row>
    <row r="4715" spans="1:10">
      <c r="A4715" s="25" t="s">
        <v>212</v>
      </c>
      <c r="B4715">
        <v>3374</v>
      </c>
      <c r="C4715" t="s">
        <v>189</v>
      </c>
      <c r="D4715">
        <v>10425</v>
      </c>
      <c r="E4715" s="1">
        <v>4.1999999999999997E-3</v>
      </c>
      <c r="F4715" s="1">
        <v>0.87990000000000002</v>
      </c>
      <c r="H4715" s="1">
        <v>0.1159</v>
      </c>
    </row>
    <row r="4716" spans="1:10">
      <c r="A4716" s="25" t="s">
        <v>213</v>
      </c>
      <c r="B4716">
        <v>2082</v>
      </c>
      <c r="C4716" t="s">
        <v>189</v>
      </c>
      <c r="D4716">
        <v>10425</v>
      </c>
      <c r="E4716" s="1">
        <v>2.3E-3</v>
      </c>
      <c r="F4716" s="1">
        <v>0.75739999999999996</v>
      </c>
      <c r="G4716" s="1">
        <v>5.9999999999999995E-4</v>
      </c>
      <c r="H4716" s="1">
        <v>0.23960000000000001</v>
      </c>
    </row>
    <row r="4717" spans="1:10">
      <c r="A4717" s="25" t="s">
        <v>192</v>
      </c>
      <c r="B4717">
        <v>10425</v>
      </c>
      <c r="C4717" t="s">
        <v>192</v>
      </c>
      <c r="D4717">
        <v>10425</v>
      </c>
      <c r="E4717" s="1">
        <v>2.0999999999999999E-3</v>
      </c>
      <c r="F4717" s="1">
        <v>0.79300000000000004</v>
      </c>
      <c r="G4717" s="1">
        <v>4.0000000000000002E-4</v>
      </c>
      <c r="H4717" s="1">
        <v>0.2046</v>
      </c>
    </row>
    <row r="4719" spans="1:10" ht="29.1">
      <c r="A4719" s="25" t="s">
        <v>1378</v>
      </c>
    </row>
    <row r="4720" spans="1:10">
      <c r="A4720" s="25" t="s">
        <v>182</v>
      </c>
      <c r="B4720" t="s">
        <v>219</v>
      </c>
      <c r="C4720" t="s">
        <v>181</v>
      </c>
      <c r="D4720" t="s">
        <v>188</v>
      </c>
      <c r="E4720" t="s">
        <v>1379</v>
      </c>
      <c r="F4720" t="s">
        <v>241</v>
      </c>
      <c r="G4720" t="s">
        <v>1380</v>
      </c>
      <c r="H4720" t="s">
        <v>1381</v>
      </c>
      <c r="I4720" t="s">
        <v>243</v>
      </c>
      <c r="J4720" t="s">
        <v>1382</v>
      </c>
    </row>
    <row r="4721" spans="1:10">
      <c r="A4721" s="25" t="s">
        <v>190</v>
      </c>
      <c r="B4721">
        <v>4903</v>
      </c>
      <c r="C4721" t="s">
        <v>189</v>
      </c>
      <c r="D4721">
        <v>10434</v>
      </c>
      <c r="E4721" s="1">
        <v>0.36709999999999998</v>
      </c>
      <c r="F4721" s="1">
        <v>2.7099999999999999E-2</v>
      </c>
      <c r="G4721" s="1">
        <v>0.17330000000000001</v>
      </c>
      <c r="H4721" s="1">
        <v>0.33650000000000002</v>
      </c>
      <c r="I4721" s="1">
        <v>6.9999999999999999E-4</v>
      </c>
      <c r="J4721" s="1">
        <v>9.5299999999999996E-2</v>
      </c>
    </row>
    <row r="4722" spans="1:10">
      <c r="A4722" s="25" t="s">
        <v>191</v>
      </c>
      <c r="B4722">
        <v>5474</v>
      </c>
      <c r="C4722" t="s">
        <v>189</v>
      </c>
      <c r="D4722">
        <v>10434</v>
      </c>
      <c r="E4722" s="1">
        <v>0.45119999999999999</v>
      </c>
      <c r="F4722" s="1">
        <v>1.61E-2</v>
      </c>
      <c r="G4722" s="1">
        <v>9.5100000000000004E-2</v>
      </c>
      <c r="H4722" s="1">
        <v>0.37169999999999997</v>
      </c>
      <c r="I4722" s="1">
        <v>2.0000000000000001E-4</v>
      </c>
      <c r="J4722" s="1">
        <v>6.5600000000000006E-2</v>
      </c>
    </row>
    <row r="4723" spans="1:10">
      <c r="A4723" s="25" t="s">
        <v>192</v>
      </c>
      <c r="B4723">
        <v>10434</v>
      </c>
      <c r="C4723" t="s">
        <v>192</v>
      </c>
      <c r="D4723">
        <v>10434</v>
      </c>
      <c r="E4723" s="1">
        <v>0.41930000000000001</v>
      </c>
      <c r="F4723" s="1">
        <v>2.0299999999999999E-2</v>
      </c>
      <c r="G4723" s="1">
        <v>0.12479999999999999</v>
      </c>
      <c r="H4723" s="1">
        <v>0.35820000000000002</v>
      </c>
      <c r="I4723" s="1">
        <v>4.0000000000000002E-4</v>
      </c>
      <c r="J4723" s="1">
        <v>7.6999999999999999E-2</v>
      </c>
    </row>
    <row r="4725" spans="1:10" ht="43.5">
      <c r="A4725" s="25" t="s">
        <v>1383</v>
      </c>
    </row>
    <row r="4726" spans="1:10">
      <c r="A4726" s="25" t="s">
        <v>182</v>
      </c>
      <c r="B4726" t="s">
        <v>219</v>
      </c>
      <c r="C4726" t="s">
        <v>181</v>
      </c>
      <c r="D4726" t="s">
        <v>188</v>
      </c>
      <c r="E4726" t="s">
        <v>1379</v>
      </c>
      <c r="F4726" t="s">
        <v>241</v>
      </c>
      <c r="G4726" t="s">
        <v>1380</v>
      </c>
      <c r="H4726" t="s">
        <v>1381</v>
      </c>
      <c r="I4726" t="s">
        <v>243</v>
      </c>
      <c r="J4726" t="s">
        <v>1382</v>
      </c>
    </row>
    <row r="4727" spans="1:10" ht="29.1">
      <c r="A4727" s="25" t="s">
        <v>194</v>
      </c>
      <c r="B4727">
        <v>5954</v>
      </c>
      <c r="C4727" t="s">
        <v>189</v>
      </c>
      <c r="D4727">
        <v>10434</v>
      </c>
      <c r="E4727" s="1">
        <v>0.40010000000000001</v>
      </c>
      <c r="F4727" s="1">
        <v>2.2599999999999999E-2</v>
      </c>
      <c r="G4727" s="1">
        <v>0.1331</v>
      </c>
      <c r="H4727" s="1">
        <v>0.36399999999999999</v>
      </c>
      <c r="I4727" s="1">
        <v>2.9999999999999997E-4</v>
      </c>
      <c r="J4727" s="1">
        <v>7.9899999999999999E-2</v>
      </c>
    </row>
    <row r="4728" spans="1:10" ht="29.1">
      <c r="A4728" s="25" t="s">
        <v>195</v>
      </c>
      <c r="B4728">
        <v>2703</v>
      </c>
      <c r="C4728" t="s">
        <v>189</v>
      </c>
      <c r="D4728">
        <v>10434</v>
      </c>
      <c r="E4728" s="1">
        <v>0.51939999999999997</v>
      </c>
      <c r="F4728" s="1">
        <v>1.67E-2</v>
      </c>
      <c r="G4728" s="1">
        <v>0.11269999999999999</v>
      </c>
      <c r="H4728" s="1">
        <v>0.28420000000000001</v>
      </c>
      <c r="I4728" s="1">
        <v>8.0000000000000004E-4</v>
      </c>
      <c r="J4728" s="1">
        <v>6.6199999999999995E-2</v>
      </c>
    </row>
    <row r="4729" spans="1:10" ht="29.1">
      <c r="A4729" s="25" t="s">
        <v>196</v>
      </c>
      <c r="B4729">
        <v>1720</v>
      </c>
      <c r="C4729" t="s">
        <v>189</v>
      </c>
      <c r="D4729">
        <v>10434</v>
      </c>
      <c r="E4729" s="1">
        <v>0.35859999999999997</v>
      </c>
      <c r="F4729" s="1">
        <v>1.06E-2</v>
      </c>
      <c r="G4729" s="1">
        <v>8.77E-2</v>
      </c>
      <c r="H4729" s="1">
        <v>0.46629999999999999</v>
      </c>
      <c r="I4729" s="1">
        <v>1E-4</v>
      </c>
      <c r="J4729" s="1">
        <v>7.6600000000000001E-2</v>
      </c>
    </row>
    <row r="4730" spans="1:10">
      <c r="A4730" s="25" t="s">
        <v>192</v>
      </c>
      <c r="B4730">
        <v>10434</v>
      </c>
      <c r="C4730" t="s">
        <v>192</v>
      </c>
      <c r="D4730">
        <v>10434</v>
      </c>
      <c r="E4730" s="1">
        <v>0.41930000000000001</v>
      </c>
      <c r="F4730" s="1">
        <v>2.0299999999999999E-2</v>
      </c>
      <c r="G4730" s="1">
        <v>0.12479999999999999</v>
      </c>
      <c r="H4730" s="1">
        <v>0.35820000000000002</v>
      </c>
      <c r="I4730" s="1">
        <v>4.0000000000000002E-4</v>
      </c>
      <c r="J4730" s="1">
        <v>7.6999999999999999E-2</v>
      </c>
    </row>
    <row r="4732" spans="1:10" ht="43.5">
      <c r="A4732" s="25" t="s">
        <v>1384</v>
      </c>
    </row>
    <row r="4733" spans="1:10">
      <c r="A4733" s="25" t="s">
        <v>182</v>
      </c>
      <c r="B4733" t="s">
        <v>219</v>
      </c>
      <c r="C4733" t="s">
        <v>181</v>
      </c>
      <c r="D4733" t="s">
        <v>188</v>
      </c>
      <c r="E4733" t="s">
        <v>1379</v>
      </c>
      <c r="F4733" t="s">
        <v>241</v>
      </c>
      <c r="G4733" t="s">
        <v>1380</v>
      </c>
      <c r="H4733" t="s">
        <v>1381</v>
      </c>
      <c r="I4733" t="s">
        <v>243</v>
      </c>
      <c r="J4733" t="s">
        <v>1382</v>
      </c>
    </row>
    <row r="4734" spans="1:10">
      <c r="A4734" s="25" t="s">
        <v>198</v>
      </c>
      <c r="B4734">
        <v>2264</v>
      </c>
      <c r="C4734" t="s">
        <v>189</v>
      </c>
      <c r="D4734">
        <v>10434</v>
      </c>
      <c r="E4734" s="1">
        <v>0.29920000000000002</v>
      </c>
      <c r="F4734" s="1">
        <v>4.7500000000000001E-2</v>
      </c>
      <c r="G4734" s="1">
        <v>0.23069999999999999</v>
      </c>
      <c r="H4734" s="1">
        <v>0.32790000000000002</v>
      </c>
      <c r="I4734" s="1">
        <v>1E-4</v>
      </c>
      <c r="J4734" s="1">
        <v>9.4600000000000004E-2</v>
      </c>
    </row>
    <row r="4735" spans="1:10">
      <c r="A4735" s="25" t="s">
        <v>199</v>
      </c>
      <c r="B4735">
        <v>8170</v>
      </c>
      <c r="C4735" t="s">
        <v>189</v>
      </c>
      <c r="D4735">
        <v>10434</v>
      </c>
      <c r="E4735" s="1">
        <v>0.44619999999999999</v>
      </c>
      <c r="F4735" s="1">
        <v>1.4200000000000001E-2</v>
      </c>
      <c r="G4735" s="1">
        <v>0.1011</v>
      </c>
      <c r="H4735" s="1">
        <v>0.36499999999999999</v>
      </c>
      <c r="I4735" s="1">
        <v>5.0000000000000001E-4</v>
      </c>
      <c r="J4735" s="1">
        <v>7.2999999999999995E-2</v>
      </c>
    </row>
    <row r="4736" spans="1:10">
      <c r="A4736" s="25" t="s">
        <v>192</v>
      </c>
      <c r="B4736">
        <v>10434</v>
      </c>
      <c r="C4736" t="s">
        <v>192</v>
      </c>
      <c r="D4736">
        <v>10434</v>
      </c>
      <c r="E4736" s="1">
        <v>0.41930000000000001</v>
      </c>
      <c r="F4736" s="1">
        <v>2.0299999999999999E-2</v>
      </c>
      <c r="G4736" s="1">
        <v>0.12479999999999999</v>
      </c>
      <c r="H4736" s="1">
        <v>0.35820000000000002</v>
      </c>
      <c r="I4736" s="1">
        <v>4.0000000000000002E-4</v>
      </c>
      <c r="J4736" s="1">
        <v>7.6999999999999999E-2</v>
      </c>
    </row>
    <row r="4738" spans="1:10" ht="43.5">
      <c r="A4738" s="25" t="s">
        <v>1385</v>
      </c>
    </row>
    <row r="4739" spans="1:10">
      <c r="A4739" s="25" t="s">
        <v>182</v>
      </c>
      <c r="B4739" t="s">
        <v>219</v>
      </c>
      <c r="C4739" t="s">
        <v>181</v>
      </c>
      <c r="D4739" t="s">
        <v>188</v>
      </c>
      <c r="E4739" t="s">
        <v>1379</v>
      </c>
      <c r="F4739" t="s">
        <v>241</v>
      </c>
      <c r="G4739" t="s">
        <v>1380</v>
      </c>
      <c r="H4739" t="s">
        <v>1381</v>
      </c>
      <c r="I4739" t="s">
        <v>243</v>
      </c>
      <c r="J4739" t="s">
        <v>1382</v>
      </c>
    </row>
    <row r="4740" spans="1:10">
      <c r="A4740" s="25" t="s">
        <v>201</v>
      </c>
      <c r="B4740">
        <v>767</v>
      </c>
      <c r="C4740" t="s">
        <v>189</v>
      </c>
      <c r="D4740">
        <v>10434</v>
      </c>
      <c r="E4740" s="1">
        <v>0.38140000000000002</v>
      </c>
      <c r="F4740" s="1">
        <v>3.1399999999999997E-2</v>
      </c>
      <c r="G4740" s="1">
        <v>3.27E-2</v>
      </c>
      <c r="H4740" s="1">
        <v>0.4667</v>
      </c>
      <c r="J4740" s="1">
        <v>8.7800000000000003E-2</v>
      </c>
    </row>
    <row r="4741" spans="1:10">
      <c r="A4741" s="25" t="s">
        <v>202</v>
      </c>
      <c r="B4741">
        <v>110</v>
      </c>
      <c r="C4741" t="s">
        <v>189</v>
      </c>
      <c r="D4741">
        <v>10434</v>
      </c>
      <c r="E4741" s="1">
        <v>0.48170000000000002</v>
      </c>
      <c r="F4741" s="1">
        <v>1.06E-2</v>
      </c>
      <c r="G4741" s="1">
        <v>4.1599999999999998E-2</v>
      </c>
      <c r="H4741" s="1">
        <v>0.3548</v>
      </c>
      <c r="J4741" s="1">
        <v>0.1113</v>
      </c>
    </row>
    <row r="4742" spans="1:10">
      <c r="A4742" s="25" t="s">
        <v>203</v>
      </c>
      <c r="B4742">
        <v>8042</v>
      </c>
      <c r="C4742" t="s">
        <v>189</v>
      </c>
      <c r="D4742">
        <v>10434</v>
      </c>
      <c r="E4742" s="1">
        <v>0.41830000000000001</v>
      </c>
      <c r="F4742" s="1">
        <v>2.2100000000000002E-2</v>
      </c>
      <c r="G4742" s="1">
        <v>0.15010000000000001</v>
      </c>
      <c r="H4742" s="1">
        <v>0.33600000000000002</v>
      </c>
      <c r="I4742" s="1">
        <v>5.0000000000000001E-4</v>
      </c>
      <c r="J4742" s="1">
        <v>7.3099999999999998E-2</v>
      </c>
    </row>
    <row r="4743" spans="1:10">
      <c r="A4743" s="25" t="s">
        <v>204</v>
      </c>
      <c r="B4743">
        <v>31</v>
      </c>
      <c r="C4743" t="s">
        <v>189</v>
      </c>
      <c r="D4743">
        <v>10434</v>
      </c>
      <c r="E4743" s="1">
        <v>0.48780000000000001</v>
      </c>
      <c r="F4743" s="1">
        <v>5.33E-2</v>
      </c>
      <c r="G4743" s="1">
        <v>1.0800000000000001E-2</v>
      </c>
      <c r="H4743" s="1">
        <v>0.3871</v>
      </c>
      <c r="J4743" s="1">
        <v>6.0999999999999999E-2</v>
      </c>
    </row>
    <row r="4744" spans="1:10">
      <c r="A4744" s="25" t="s">
        <v>205</v>
      </c>
      <c r="B4744">
        <v>1484</v>
      </c>
      <c r="C4744" t="s">
        <v>189</v>
      </c>
      <c r="D4744">
        <v>10434</v>
      </c>
      <c r="E4744" s="1">
        <v>0.44080000000000003</v>
      </c>
      <c r="F4744" s="1">
        <v>4.4999999999999997E-3</v>
      </c>
      <c r="G4744" s="1">
        <v>3.2099999999999997E-2</v>
      </c>
      <c r="H4744" s="1">
        <v>0.43</v>
      </c>
      <c r="J4744" s="1">
        <v>9.2499999999999999E-2</v>
      </c>
    </row>
    <row r="4745" spans="1:10">
      <c r="A4745" s="25" t="s">
        <v>192</v>
      </c>
      <c r="B4745">
        <v>10434</v>
      </c>
      <c r="C4745" t="s">
        <v>192</v>
      </c>
      <c r="D4745">
        <v>10434</v>
      </c>
      <c r="E4745" s="1">
        <v>0.41930000000000001</v>
      </c>
      <c r="F4745" s="1">
        <v>2.0299999999999999E-2</v>
      </c>
      <c r="G4745" s="1">
        <v>0.12479999999999999</v>
      </c>
      <c r="H4745" s="1">
        <v>0.35820000000000002</v>
      </c>
      <c r="I4745" s="1">
        <v>4.0000000000000002E-4</v>
      </c>
      <c r="J4745" s="1">
        <v>7.6999999999999999E-2</v>
      </c>
    </row>
    <row r="4747" spans="1:10" ht="43.5">
      <c r="A4747" s="25" t="s">
        <v>1386</v>
      </c>
    </row>
    <row r="4748" spans="1:10">
      <c r="A4748" s="25" t="s">
        <v>182</v>
      </c>
      <c r="B4748" t="s">
        <v>219</v>
      </c>
      <c r="C4748" t="s">
        <v>181</v>
      </c>
      <c r="D4748" t="s">
        <v>188</v>
      </c>
      <c r="E4748" t="s">
        <v>1379</v>
      </c>
      <c r="F4748" t="s">
        <v>241</v>
      </c>
      <c r="G4748" t="s">
        <v>1380</v>
      </c>
      <c r="H4748" t="s">
        <v>1381</v>
      </c>
      <c r="I4748" t="s">
        <v>243</v>
      </c>
      <c r="J4748" t="s">
        <v>1382</v>
      </c>
    </row>
    <row r="4749" spans="1:10">
      <c r="A4749" s="25" t="s">
        <v>207</v>
      </c>
      <c r="B4749">
        <v>7254</v>
      </c>
      <c r="C4749" t="s">
        <v>189</v>
      </c>
      <c r="D4749">
        <v>10434</v>
      </c>
      <c r="E4749" s="1">
        <v>0.45240000000000002</v>
      </c>
      <c r="F4749" s="1">
        <v>1.67E-2</v>
      </c>
      <c r="G4749" s="1">
        <v>7.0400000000000004E-2</v>
      </c>
      <c r="H4749" s="1">
        <v>0.3785</v>
      </c>
      <c r="I4749" s="1">
        <v>4.0000000000000002E-4</v>
      </c>
      <c r="J4749" s="1">
        <v>8.1600000000000006E-2</v>
      </c>
    </row>
    <row r="4750" spans="1:10">
      <c r="A4750" s="25" t="s">
        <v>208</v>
      </c>
      <c r="B4750">
        <v>2245</v>
      </c>
      <c r="C4750" t="s">
        <v>189</v>
      </c>
      <c r="D4750">
        <v>10434</v>
      </c>
      <c r="E4750" s="1">
        <v>0.2984</v>
      </c>
      <c r="F4750" s="1">
        <v>3.3599999999999998E-2</v>
      </c>
      <c r="G4750" s="1">
        <v>0.3332</v>
      </c>
      <c r="H4750" s="1">
        <v>0.2742</v>
      </c>
      <c r="I4750" s="1">
        <v>4.0000000000000002E-4</v>
      </c>
      <c r="J4750" s="1">
        <v>6.0100000000000001E-2</v>
      </c>
    </row>
    <row r="4751" spans="1:10">
      <c r="A4751" s="25" t="s">
        <v>209</v>
      </c>
      <c r="B4751">
        <v>935</v>
      </c>
      <c r="C4751" t="s">
        <v>189</v>
      </c>
      <c r="D4751">
        <v>10434</v>
      </c>
      <c r="E4751" s="1">
        <v>0.47189999999999999</v>
      </c>
      <c r="F4751" s="1">
        <v>1.47E-2</v>
      </c>
      <c r="G4751" s="1">
        <v>1.0999999999999999E-2</v>
      </c>
      <c r="H4751" s="1">
        <v>0.41860000000000003</v>
      </c>
      <c r="J4751" s="1">
        <v>8.3699999999999997E-2</v>
      </c>
    </row>
    <row r="4752" spans="1:10">
      <c r="A4752" s="25" t="s">
        <v>192</v>
      </c>
      <c r="B4752">
        <v>10434</v>
      </c>
      <c r="C4752" t="s">
        <v>192</v>
      </c>
      <c r="D4752">
        <v>10434</v>
      </c>
      <c r="E4752" s="1">
        <v>0.41930000000000001</v>
      </c>
      <c r="F4752" s="1">
        <v>2.0299999999999999E-2</v>
      </c>
      <c r="G4752" s="1">
        <v>0.12479999999999999</v>
      </c>
      <c r="H4752" s="1">
        <v>0.35820000000000002</v>
      </c>
      <c r="I4752" s="1">
        <v>4.0000000000000002E-4</v>
      </c>
      <c r="J4752" s="1">
        <v>7.6999999999999999E-2</v>
      </c>
    </row>
    <row r="4754" spans="1:14" ht="43.5">
      <c r="A4754" s="25" t="s">
        <v>1387</v>
      </c>
    </row>
    <row r="4755" spans="1:14">
      <c r="A4755" s="25" t="s">
        <v>182</v>
      </c>
      <c r="B4755" t="s">
        <v>219</v>
      </c>
      <c r="C4755" t="s">
        <v>181</v>
      </c>
      <c r="D4755" t="s">
        <v>188</v>
      </c>
      <c r="E4755" t="s">
        <v>1379</v>
      </c>
      <c r="F4755" t="s">
        <v>241</v>
      </c>
      <c r="G4755" t="s">
        <v>1380</v>
      </c>
      <c r="H4755" t="s">
        <v>1381</v>
      </c>
      <c r="I4755" t="s">
        <v>243</v>
      </c>
      <c r="J4755" t="s">
        <v>1382</v>
      </c>
    </row>
    <row r="4756" spans="1:14">
      <c r="A4756" s="25" t="s">
        <v>211</v>
      </c>
      <c r="B4756">
        <v>4972</v>
      </c>
      <c r="C4756" t="s">
        <v>189</v>
      </c>
      <c r="D4756">
        <v>10434</v>
      </c>
      <c r="E4756" s="1">
        <v>0.4491</v>
      </c>
      <c r="F4756" s="1">
        <v>1.4E-2</v>
      </c>
      <c r="G4756" s="1">
        <v>5.9900000000000002E-2</v>
      </c>
      <c r="H4756" s="1">
        <v>0.38740000000000002</v>
      </c>
      <c r="I4756" s="1">
        <v>5.9999999999999995E-4</v>
      </c>
      <c r="J4756" s="1">
        <v>8.8999999999999996E-2</v>
      </c>
    </row>
    <row r="4757" spans="1:14">
      <c r="A4757" s="25" t="s">
        <v>212</v>
      </c>
      <c r="B4757">
        <v>3376</v>
      </c>
      <c r="C4757" t="s">
        <v>189</v>
      </c>
      <c r="D4757">
        <v>10434</v>
      </c>
      <c r="E4757" s="1">
        <v>0.35699999999999998</v>
      </c>
      <c r="F4757" s="1">
        <v>2.8899999999999999E-2</v>
      </c>
      <c r="G4757" s="1">
        <v>0.21809999999999999</v>
      </c>
      <c r="H4757" s="1">
        <v>0.32479999999999998</v>
      </c>
      <c r="I4757" s="1">
        <v>4.0000000000000002E-4</v>
      </c>
      <c r="J4757" s="1">
        <v>7.0800000000000002E-2</v>
      </c>
    </row>
    <row r="4758" spans="1:14">
      <c r="A4758" s="25" t="s">
        <v>213</v>
      </c>
      <c r="B4758">
        <v>2086</v>
      </c>
      <c r="C4758" t="s">
        <v>189</v>
      </c>
      <c r="D4758">
        <v>10434</v>
      </c>
      <c r="E4758" s="1">
        <v>0.44379999999999997</v>
      </c>
      <c r="F4758" s="1">
        <v>2.1600000000000001E-2</v>
      </c>
      <c r="G4758" s="1">
        <v>0.13170000000000001</v>
      </c>
      <c r="H4758" s="1">
        <v>0.34289999999999998</v>
      </c>
      <c r="J4758" s="1">
        <v>5.9900000000000002E-2</v>
      </c>
    </row>
    <row r="4759" spans="1:14">
      <c r="A4759" s="25" t="s">
        <v>192</v>
      </c>
      <c r="B4759">
        <v>10434</v>
      </c>
      <c r="C4759" t="s">
        <v>192</v>
      </c>
      <c r="D4759">
        <v>10434</v>
      </c>
      <c r="E4759" s="1">
        <v>0.41930000000000001</v>
      </c>
      <c r="F4759" s="1">
        <v>2.0299999999999999E-2</v>
      </c>
      <c r="G4759" s="1">
        <v>0.12479999999999999</v>
      </c>
      <c r="H4759" s="1">
        <v>0.35820000000000002</v>
      </c>
      <c r="I4759" s="1">
        <v>4.0000000000000002E-4</v>
      </c>
      <c r="J4759" s="1">
        <v>7.6999999999999999E-2</v>
      </c>
    </row>
    <row r="4761" spans="1:14" ht="43.5">
      <c r="A4761" s="25" t="s">
        <v>1388</v>
      </c>
    </row>
    <row r="4762" spans="1:14">
      <c r="A4762" s="25" t="s">
        <v>182</v>
      </c>
      <c r="B4762" t="s">
        <v>219</v>
      </c>
      <c r="C4762" t="s">
        <v>181</v>
      </c>
      <c r="D4762" t="s">
        <v>188</v>
      </c>
      <c r="E4762" t="s">
        <v>1389</v>
      </c>
      <c r="F4762" t="s">
        <v>1390</v>
      </c>
      <c r="G4762" t="s">
        <v>241</v>
      </c>
      <c r="H4762" t="s">
        <v>1391</v>
      </c>
      <c r="I4762" t="s">
        <v>1392</v>
      </c>
      <c r="J4762" t="s">
        <v>1393</v>
      </c>
      <c r="K4762" t="s">
        <v>324</v>
      </c>
      <c r="L4762" t="s">
        <v>269</v>
      </c>
      <c r="M4762" t="s">
        <v>1394</v>
      </c>
      <c r="N4762" t="s">
        <v>243</v>
      </c>
    </row>
    <row r="4763" spans="1:14">
      <c r="A4763" s="25" t="s">
        <v>190</v>
      </c>
      <c r="B4763">
        <v>3939</v>
      </c>
      <c r="C4763" t="s">
        <v>189</v>
      </c>
      <c r="D4763">
        <v>8794</v>
      </c>
      <c r="E4763" s="1">
        <v>1.6999999999999999E-3</v>
      </c>
      <c r="F4763" s="1">
        <v>2.9999999999999997E-4</v>
      </c>
      <c r="G4763" s="1">
        <v>8.9999999999999998E-4</v>
      </c>
      <c r="H4763" s="1">
        <v>0.70279999999999998</v>
      </c>
      <c r="I4763" s="1">
        <v>0.83709999999999996</v>
      </c>
      <c r="J4763" s="1">
        <v>3.6499999999999998E-2</v>
      </c>
      <c r="K4763" s="1">
        <v>6.0000000000000001E-3</v>
      </c>
      <c r="L4763" s="1">
        <v>5.0000000000000001E-4</v>
      </c>
      <c r="M4763" s="1">
        <v>2E-3</v>
      </c>
      <c r="N4763" s="1">
        <v>1E-4</v>
      </c>
    </row>
    <row r="4764" spans="1:14">
      <c r="A4764" s="25" t="s">
        <v>191</v>
      </c>
      <c r="B4764">
        <v>4801</v>
      </c>
      <c r="C4764" t="s">
        <v>189</v>
      </c>
      <c r="D4764">
        <v>8794</v>
      </c>
      <c r="E4764" s="1">
        <v>5.3E-3</v>
      </c>
      <c r="F4764" s="1">
        <v>6.9999999999999999E-4</v>
      </c>
      <c r="G4764" s="1">
        <v>5.9999999999999995E-4</v>
      </c>
      <c r="H4764" s="1">
        <v>0.81420000000000003</v>
      </c>
      <c r="I4764" s="1">
        <v>0.83109999999999995</v>
      </c>
      <c r="J4764" s="1">
        <v>8.6900000000000005E-2</v>
      </c>
      <c r="K4764" s="1">
        <v>2.3E-3</v>
      </c>
      <c r="L4764" s="1">
        <v>1.6999999999999999E-3</v>
      </c>
      <c r="M4764" s="1">
        <v>6.1000000000000004E-3</v>
      </c>
    </row>
    <row r="4765" spans="1:14">
      <c r="A4765" s="25" t="s">
        <v>192</v>
      </c>
      <c r="B4765">
        <v>8794</v>
      </c>
      <c r="C4765" t="s">
        <v>192</v>
      </c>
      <c r="D4765">
        <v>8794</v>
      </c>
      <c r="E4765" s="1">
        <v>4.0000000000000001E-3</v>
      </c>
      <c r="F4765" s="1">
        <v>5.0000000000000001E-4</v>
      </c>
      <c r="G4765" s="1">
        <v>6.9999999999999999E-4</v>
      </c>
      <c r="H4765" s="1">
        <v>0.77459999999999996</v>
      </c>
      <c r="I4765" s="1">
        <v>0.83260000000000001</v>
      </c>
      <c r="J4765" s="1">
        <v>6.88E-2</v>
      </c>
      <c r="K4765" s="1">
        <v>3.5999999999999999E-3</v>
      </c>
      <c r="L4765" s="1">
        <v>1.1999999999999999E-3</v>
      </c>
      <c r="M4765" s="1">
        <v>4.7000000000000002E-3</v>
      </c>
      <c r="N4765" s="1">
        <v>0</v>
      </c>
    </row>
    <row r="4767" spans="1:14" ht="43.5">
      <c r="A4767" s="25" t="s">
        <v>1395</v>
      </c>
    </row>
    <row r="4768" spans="1:14">
      <c r="A4768" s="25" t="s">
        <v>182</v>
      </c>
      <c r="B4768" t="s">
        <v>219</v>
      </c>
      <c r="C4768" t="s">
        <v>181</v>
      </c>
      <c r="D4768" t="s">
        <v>188</v>
      </c>
      <c r="E4768" t="s">
        <v>1389</v>
      </c>
      <c r="F4768" t="s">
        <v>1390</v>
      </c>
      <c r="G4768" t="s">
        <v>241</v>
      </c>
      <c r="H4768" t="s">
        <v>1391</v>
      </c>
      <c r="I4768" t="s">
        <v>1392</v>
      </c>
      <c r="J4768" t="s">
        <v>1393</v>
      </c>
      <c r="K4768" t="s">
        <v>324</v>
      </c>
      <c r="L4768" t="s">
        <v>269</v>
      </c>
      <c r="M4768" t="s">
        <v>1394</v>
      </c>
      <c r="N4768" t="s">
        <v>243</v>
      </c>
    </row>
    <row r="4769" spans="1:14" ht="29.1">
      <c r="A4769" s="25" t="s">
        <v>194</v>
      </c>
      <c r="B4769">
        <v>4896</v>
      </c>
      <c r="C4769" t="s">
        <v>189</v>
      </c>
      <c r="D4769">
        <v>8794</v>
      </c>
      <c r="E4769" s="1">
        <v>4.7999999999999996E-3</v>
      </c>
      <c r="F4769" s="1">
        <v>6.9999999999999999E-4</v>
      </c>
      <c r="G4769" s="1">
        <v>2.9999999999999997E-4</v>
      </c>
      <c r="H4769" s="1">
        <v>0.76629999999999998</v>
      </c>
      <c r="I4769" s="1">
        <v>0.85289999999999999</v>
      </c>
      <c r="J4769" s="1">
        <v>7.46E-2</v>
      </c>
      <c r="K4769" s="1">
        <v>4.8999999999999998E-3</v>
      </c>
      <c r="L4769" s="1">
        <v>1.6999999999999999E-3</v>
      </c>
      <c r="M4769" s="1">
        <v>5.1000000000000004E-3</v>
      </c>
      <c r="N4769" s="1">
        <v>0</v>
      </c>
    </row>
    <row r="4770" spans="1:14" ht="29.1">
      <c r="A4770" s="25" t="s">
        <v>195</v>
      </c>
      <c r="B4770">
        <v>2311</v>
      </c>
      <c r="C4770" t="s">
        <v>189</v>
      </c>
      <c r="D4770">
        <v>8794</v>
      </c>
      <c r="E4770" s="1">
        <v>5.9999999999999995E-4</v>
      </c>
      <c r="F4770" s="1">
        <v>1E-4</v>
      </c>
      <c r="G4770" s="1">
        <v>2.5000000000000001E-3</v>
      </c>
      <c r="H4770" s="1">
        <v>0.78990000000000005</v>
      </c>
      <c r="I4770" s="1">
        <v>0.7994</v>
      </c>
      <c r="J4770" s="1">
        <v>7.1599999999999997E-2</v>
      </c>
      <c r="K4770" s="1">
        <v>6.9999999999999999E-4</v>
      </c>
      <c r="L4770" s="1">
        <v>2.9999999999999997E-4</v>
      </c>
      <c r="M4770" s="1">
        <v>3.8999999999999998E-3</v>
      </c>
    </row>
    <row r="4771" spans="1:14" ht="29.1">
      <c r="A4771" s="25" t="s">
        <v>196</v>
      </c>
      <c r="B4771">
        <v>1533</v>
      </c>
      <c r="C4771" t="s">
        <v>189</v>
      </c>
      <c r="D4771">
        <v>8794</v>
      </c>
      <c r="E4771" s="1">
        <v>5.0000000000000001E-3</v>
      </c>
      <c r="F4771" s="1">
        <v>2.9999999999999997E-4</v>
      </c>
      <c r="G4771" s="1">
        <v>2.0000000000000001E-4</v>
      </c>
      <c r="H4771" s="1">
        <v>0.8024</v>
      </c>
      <c r="I4771" s="1">
        <v>0.76039999999999996</v>
      </c>
      <c r="J4771" s="1">
        <v>2.3300000000000001E-2</v>
      </c>
      <c r="K4771" s="1">
        <v>4.0000000000000002E-4</v>
      </c>
      <c r="M4771" s="1">
        <v>3.2000000000000002E-3</v>
      </c>
    </row>
    <row r="4772" spans="1:14">
      <c r="A4772" s="25" t="s">
        <v>192</v>
      </c>
      <c r="B4772">
        <v>8794</v>
      </c>
      <c r="C4772" t="s">
        <v>192</v>
      </c>
      <c r="D4772">
        <v>8794</v>
      </c>
      <c r="E4772" s="1">
        <v>4.0000000000000001E-3</v>
      </c>
      <c r="F4772" s="1">
        <v>5.0000000000000001E-4</v>
      </c>
      <c r="G4772" s="1">
        <v>6.9999999999999999E-4</v>
      </c>
      <c r="H4772" s="1">
        <v>0.77459999999999996</v>
      </c>
      <c r="I4772" s="1">
        <v>0.83260000000000001</v>
      </c>
      <c r="J4772" s="1">
        <v>6.88E-2</v>
      </c>
      <c r="K4772" s="1">
        <v>3.5999999999999999E-3</v>
      </c>
      <c r="L4772" s="1">
        <v>1.1999999999999999E-3</v>
      </c>
      <c r="M4772" s="1">
        <v>4.7000000000000002E-3</v>
      </c>
      <c r="N4772" s="1">
        <v>0</v>
      </c>
    </row>
    <row r="4774" spans="1:14" ht="43.5">
      <c r="A4774" s="25" t="s">
        <v>1396</v>
      </c>
    </row>
    <row r="4775" spans="1:14">
      <c r="A4775" s="25" t="s">
        <v>182</v>
      </c>
      <c r="B4775" t="s">
        <v>219</v>
      </c>
      <c r="C4775" t="s">
        <v>181</v>
      </c>
      <c r="D4775" t="s">
        <v>188</v>
      </c>
      <c r="E4775" t="s">
        <v>1389</v>
      </c>
      <c r="F4775" t="s">
        <v>1390</v>
      </c>
      <c r="G4775" t="s">
        <v>241</v>
      </c>
      <c r="H4775" t="s">
        <v>1391</v>
      </c>
      <c r="I4775" t="s">
        <v>1392</v>
      </c>
      <c r="J4775" t="s">
        <v>1393</v>
      </c>
      <c r="K4775" t="s">
        <v>324</v>
      </c>
      <c r="L4775" t="s">
        <v>269</v>
      </c>
      <c r="M4775" t="s">
        <v>1394</v>
      </c>
      <c r="N4775" t="s">
        <v>243</v>
      </c>
    </row>
    <row r="4776" spans="1:14">
      <c r="A4776" s="25" t="s">
        <v>198</v>
      </c>
      <c r="B4776">
        <v>1655</v>
      </c>
      <c r="C4776" t="s">
        <v>189</v>
      </c>
      <c r="D4776">
        <v>8794</v>
      </c>
      <c r="E4776" s="1">
        <v>4.3E-3</v>
      </c>
      <c r="F4776" s="1">
        <v>1E-4</v>
      </c>
      <c r="G4776" s="1">
        <v>6.9999999999999999E-4</v>
      </c>
      <c r="H4776" s="1">
        <v>0.70179999999999998</v>
      </c>
      <c r="I4776" s="1">
        <v>0.7923</v>
      </c>
      <c r="J4776" s="1">
        <v>2.8299999999999999E-2</v>
      </c>
      <c r="K4776" s="1">
        <v>9.7000000000000003E-3</v>
      </c>
      <c r="M4776" s="1">
        <v>3.0000000000000001E-3</v>
      </c>
      <c r="N4776" s="1">
        <v>2.0000000000000001E-4</v>
      </c>
    </row>
    <row r="4777" spans="1:14">
      <c r="A4777" s="25" t="s">
        <v>199</v>
      </c>
      <c r="B4777">
        <v>7139</v>
      </c>
      <c r="C4777" t="s">
        <v>189</v>
      </c>
      <c r="D4777">
        <v>8794</v>
      </c>
      <c r="E4777" s="1">
        <v>3.8999999999999998E-3</v>
      </c>
      <c r="F4777" s="1">
        <v>5.9999999999999995E-4</v>
      </c>
      <c r="G4777" s="1">
        <v>6.9999999999999999E-4</v>
      </c>
      <c r="H4777" s="1">
        <v>0.78790000000000004</v>
      </c>
      <c r="I4777" s="1">
        <v>0.84</v>
      </c>
      <c r="J4777" s="1">
        <v>7.6300000000000007E-2</v>
      </c>
      <c r="K4777" s="1">
        <v>2.5000000000000001E-3</v>
      </c>
      <c r="L4777" s="1">
        <v>1.5E-3</v>
      </c>
      <c r="M4777" s="1">
        <v>5.0000000000000001E-3</v>
      </c>
    </row>
    <row r="4778" spans="1:14">
      <c r="A4778" s="25" t="s">
        <v>192</v>
      </c>
      <c r="B4778">
        <v>8794</v>
      </c>
      <c r="C4778" t="s">
        <v>192</v>
      </c>
      <c r="D4778">
        <v>8794</v>
      </c>
      <c r="E4778" s="1">
        <v>4.0000000000000001E-3</v>
      </c>
      <c r="F4778" s="1">
        <v>5.0000000000000001E-4</v>
      </c>
      <c r="G4778" s="1">
        <v>6.9999999999999999E-4</v>
      </c>
      <c r="H4778" s="1">
        <v>0.77459999999999996</v>
      </c>
      <c r="I4778" s="1">
        <v>0.83260000000000001</v>
      </c>
      <c r="J4778" s="1">
        <v>6.88E-2</v>
      </c>
      <c r="K4778" s="1">
        <v>3.5999999999999999E-3</v>
      </c>
      <c r="L4778" s="1">
        <v>1.1999999999999999E-3</v>
      </c>
      <c r="M4778" s="1">
        <v>4.7000000000000002E-3</v>
      </c>
      <c r="N4778" s="1">
        <v>0</v>
      </c>
    </row>
    <row r="4780" spans="1:14" ht="43.5">
      <c r="A4780" s="25" t="s">
        <v>1397</v>
      </c>
    </row>
    <row r="4781" spans="1:14">
      <c r="A4781" s="25" t="s">
        <v>182</v>
      </c>
      <c r="B4781" t="s">
        <v>219</v>
      </c>
      <c r="C4781" t="s">
        <v>181</v>
      </c>
      <c r="D4781" t="s">
        <v>188</v>
      </c>
      <c r="E4781" t="s">
        <v>1389</v>
      </c>
      <c r="F4781" t="s">
        <v>1390</v>
      </c>
      <c r="G4781" t="s">
        <v>241</v>
      </c>
      <c r="H4781" t="s">
        <v>1391</v>
      </c>
      <c r="I4781" t="s">
        <v>1392</v>
      </c>
      <c r="J4781" t="s">
        <v>1393</v>
      </c>
      <c r="K4781" t="s">
        <v>324</v>
      </c>
      <c r="L4781" t="s">
        <v>269</v>
      </c>
      <c r="M4781" t="s">
        <v>1394</v>
      </c>
      <c r="N4781" t="s">
        <v>243</v>
      </c>
    </row>
    <row r="4782" spans="1:14">
      <c r="A4782" s="25" t="s">
        <v>201</v>
      </c>
      <c r="B4782">
        <v>709</v>
      </c>
      <c r="C4782" t="s">
        <v>189</v>
      </c>
      <c r="D4782">
        <v>8794</v>
      </c>
      <c r="E4782" s="1">
        <v>1.49E-2</v>
      </c>
      <c r="G4782" s="1">
        <v>4.7000000000000002E-3</v>
      </c>
      <c r="H4782" s="1">
        <v>0.80169999999999997</v>
      </c>
      <c r="I4782" s="1">
        <v>0.80649999999999999</v>
      </c>
      <c r="J4782" s="1">
        <v>7.6600000000000001E-2</v>
      </c>
    </row>
    <row r="4783" spans="1:14">
      <c r="A4783" s="25" t="s">
        <v>202</v>
      </c>
      <c r="B4783">
        <v>103</v>
      </c>
      <c r="C4783" t="s">
        <v>189</v>
      </c>
      <c r="D4783">
        <v>8794</v>
      </c>
      <c r="E4783" s="1">
        <v>3.2099999999999997E-2</v>
      </c>
      <c r="G4783" s="1">
        <v>4.0000000000000001E-3</v>
      </c>
      <c r="H4783" s="1">
        <v>0.82509999999999994</v>
      </c>
      <c r="I4783" s="1">
        <v>0.77329999999999999</v>
      </c>
      <c r="J4783" s="1">
        <v>3.5299999999999998E-2</v>
      </c>
    </row>
    <row r="4784" spans="1:14">
      <c r="A4784" s="25" t="s">
        <v>203</v>
      </c>
      <c r="B4784">
        <v>6547</v>
      </c>
      <c r="C4784" t="s">
        <v>189</v>
      </c>
      <c r="D4784">
        <v>8794</v>
      </c>
      <c r="E4784" s="1">
        <v>2.5999999999999999E-3</v>
      </c>
      <c r="F4784" s="1">
        <v>4.0000000000000002E-4</v>
      </c>
      <c r="G4784" s="1">
        <v>4.0000000000000002E-4</v>
      </c>
      <c r="H4784" s="1">
        <v>0.75260000000000005</v>
      </c>
      <c r="I4784" s="1">
        <v>0.83960000000000001</v>
      </c>
      <c r="J4784" s="1">
        <v>6.9599999999999995E-2</v>
      </c>
      <c r="K4784" s="1">
        <v>4.5999999999999999E-3</v>
      </c>
      <c r="L4784" s="1">
        <v>5.9999999999999995E-4</v>
      </c>
      <c r="M4784" s="1">
        <v>4.1000000000000003E-3</v>
      </c>
      <c r="N4784" s="1">
        <v>0</v>
      </c>
    </row>
    <row r="4785" spans="1:14">
      <c r="A4785" s="25" t="s">
        <v>204</v>
      </c>
      <c r="B4785">
        <v>29</v>
      </c>
      <c r="C4785" t="s">
        <v>189</v>
      </c>
      <c r="D4785">
        <v>8794</v>
      </c>
      <c r="H4785" s="1">
        <v>0.57430000000000003</v>
      </c>
      <c r="I4785" s="1">
        <v>0.88770000000000004</v>
      </c>
      <c r="J4785" s="1">
        <v>1.7500000000000002E-2</v>
      </c>
    </row>
    <row r="4786" spans="1:14">
      <c r="A4786" s="25" t="s">
        <v>205</v>
      </c>
      <c r="B4786">
        <v>1406</v>
      </c>
      <c r="C4786" t="s">
        <v>189</v>
      </c>
      <c r="D4786">
        <v>8794</v>
      </c>
      <c r="E4786" s="1">
        <v>4.3E-3</v>
      </c>
      <c r="F4786" s="1">
        <v>1.5E-3</v>
      </c>
      <c r="H4786" s="1">
        <v>0.86939999999999995</v>
      </c>
      <c r="I4786" s="1">
        <v>0.81269999999999998</v>
      </c>
      <c r="J4786" s="1">
        <v>6.3299999999999995E-2</v>
      </c>
      <c r="K4786" s="1">
        <v>6.9999999999999999E-4</v>
      </c>
      <c r="L4786" s="1">
        <v>5.1999999999999998E-3</v>
      </c>
      <c r="M4786" s="1">
        <v>1.01E-2</v>
      </c>
    </row>
    <row r="4787" spans="1:14">
      <c r="A4787" s="25" t="s">
        <v>192</v>
      </c>
      <c r="B4787">
        <v>8794</v>
      </c>
      <c r="C4787" t="s">
        <v>192</v>
      </c>
      <c r="D4787">
        <v>8794</v>
      </c>
      <c r="E4787" s="1">
        <v>4.0000000000000001E-3</v>
      </c>
      <c r="F4787" s="1">
        <v>5.0000000000000001E-4</v>
      </c>
      <c r="G4787" s="1">
        <v>6.9999999999999999E-4</v>
      </c>
      <c r="H4787" s="1">
        <v>0.77459999999999996</v>
      </c>
      <c r="I4787" s="1">
        <v>0.83260000000000001</v>
      </c>
      <c r="J4787" s="1">
        <v>6.88E-2</v>
      </c>
      <c r="K4787" s="1">
        <v>3.5999999999999999E-3</v>
      </c>
      <c r="L4787" s="1">
        <v>1.1999999999999999E-3</v>
      </c>
      <c r="M4787" s="1">
        <v>4.7000000000000002E-3</v>
      </c>
      <c r="N4787" s="1">
        <v>0</v>
      </c>
    </row>
    <row r="4789" spans="1:14" ht="43.5">
      <c r="A4789" s="25" t="s">
        <v>1398</v>
      </c>
    </row>
    <row r="4790" spans="1:14">
      <c r="A4790" s="25" t="s">
        <v>182</v>
      </c>
      <c r="B4790" t="s">
        <v>219</v>
      </c>
      <c r="C4790" t="s">
        <v>181</v>
      </c>
      <c r="D4790" t="s">
        <v>188</v>
      </c>
      <c r="E4790" t="s">
        <v>1389</v>
      </c>
      <c r="F4790" t="s">
        <v>1390</v>
      </c>
      <c r="G4790" t="s">
        <v>241</v>
      </c>
      <c r="H4790" t="s">
        <v>1391</v>
      </c>
      <c r="I4790" t="s">
        <v>1392</v>
      </c>
      <c r="J4790" t="s">
        <v>1393</v>
      </c>
      <c r="K4790" t="s">
        <v>324</v>
      </c>
      <c r="L4790" t="s">
        <v>269</v>
      </c>
      <c r="M4790" t="s">
        <v>1394</v>
      </c>
      <c r="N4790" t="s">
        <v>243</v>
      </c>
    </row>
    <row r="4791" spans="1:14">
      <c r="A4791" s="25" t="s">
        <v>207</v>
      </c>
      <c r="B4791">
        <v>6527</v>
      </c>
      <c r="C4791" t="s">
        <v>189</v>
      </c>
      <c r="D4791">
        <v>8794</v>
      </c>
      <c r="E4791" s="1">
        <v>4.3E-3</v>
      </c>
      <c r="F4791" s="1">
        <v>4.0000000000000002E-4</v>
      </c>
      <c r="G4791" s="1">
        <v>8.9999999999999998E-4</v>
      </c>
      <c r="H4791" s="1">
        <v>0.79949999999999999</v>
      </c>
      <c r="I4791" s="1">
        <v>0.83709999999999996</v>
      </c>
      <c r="J4791" s="1">
        <v>7.5899999999999995E-2</v>
      </c>
      <c r="K4791" s="1">
        <v>1.8E-3</v>
      </c>
      <c r="L4791" s="1">
        <v>2.9999999999999997E-4</v>
      </c>
      <c r="M4791" s="1">
        <v>2.7000000000000001E-3</v>
      </c>
      <c r="N4791" s="1">
        <v>0</v>
      </c>
    </row>
    <row r="4792" spans="1:14">
      <c r="A4792" s="25" t="s">
        <v>208</v>
      </c>
      <c r="B4792">
        <v>1356</v>
      </c>
      <c r="C4792" t="s">
        <v>189</v>
      </c>
      <c r="D4792">
        <v>8794</v>
      </c>
      <c r="E4792" s="1">
        <v>3.8999999999999998E-3</v>
      </c>
      <c r="F4792" s="1">
        <v>1.2999999999999999E-3</v>
      </c>
      <c r="G4792" s="1">
        <v>1E-4</v>
      </c>
      <c r="H4792" s="1">
        <v>0.5998</v>
      </c>
      <c r="I4792" s="1">
        <v>0.8125</v>
      </c>
      <c r="J4792" s="1">
        <v>5.4100000000000002E-2</v>
      </c>
      <c r="K4792" s="1">
        <v>1.15E-2</v>
      </c>
      <c r="L4792" s="1">
        <v>6.1999999999999998E-3</v>
      </c>
      <c r="M4792" s="1">
        <v>1.29E-2</v>
      </c>
    </row>
    <row r="4793" spans="1:14">
      <c r="A4793" s="25" t="s">
        <v>209</v>
      </c>
      <c r="B4793">
        <v>911</v>
      </c>
      <c r="C4793" t="s">
        <v>189</v>
      </c>
      <c r="D4793">
        <v>8794</v>
      </c>
      <c r="E4793" s="1">
        <v>1E-3</v>
      </c>
      <c r="G4793" s="1">
        <v>4.0000000000000002E-4</v>
      </c>
      <c r="H4793" s="1">
        <v>0.89239999999999997</v>
      </c>
      <c r="I4793" s="1">
        <v>0.83299999999999996</v>
      </c>
      <c r="J4793" s="1">
        <v>3.7600000000000001E-2</v>
      </c>
      <c r="K4793" s="1">
        <v>3.7000000000000002E-3</v>
      </c>
      <c r="M4793" s="1">
        <v>5.4999999999999997E-3</v>
      </c>
    </row>
    <row r="4794" spans="1:14">
      <c r="A4794" s="25" t="s">
        <v>192</v>
      </c>
      <c r="B4794">
        <v>8794</v>
      </c>
      <c r="C4794" t="s">
        <v>192</v>
      </c>
      <c r="D4794">
        <v>8794</v>
      </c>
      <c r="E4794" s="1">
        <v>4.0000000000000001E-3</v>
      </c>
      <c r="F4794" s="1">
        <v>5.0000000000000001E-4</v>
      </c>
      <c r="G4794" s="1">
        <v>6.9999999999999999E-4</v>
      </c>
      <c r="H4794" s="1">
        <v>0.77459999999999996</v>
      </c>
      <c r="I4794" s="1">
        <v>0.83260000000000001</v>
      </c>
      <c r="J4794" s="1">
        <v>6.88E-2</v>
      </c>
      <c r="K4794" s="1">
        <v>3.5999999999999999E-3</v>
      </c>
      <c r="L4794" s="1">
        <v>1.1999999999999999E-3</v>
      </c>
      <c r="M4794" s="1">
        <v>4.7000000000000002E-3</v>
      </c>
      <c r="N4794" s="1">
        <v>0</v>
      </c>
    </row>
    <row r="4796" spans="1:14" ht="43.5">
      <c r="A4796" s="25" t="s">
        <v>1399</v>
      </c>
    </row>
    <row r="4797" spans="1:14">
      <c r="A4797" s="25" t="s">
        <v>182</v>
      </c>
      <c r="B4797" t="s">
        <v>219</v>
      </c>
      <c r="C4797" t="s">
        <v>181</v>
      </c>
      <c r="D4797" t="s">
        <v>188</v>
      </c>
      <c r="E4797" t="s">
        <v>1389</v>
      </c>
      <c r="F4797" t="s">
        <v>1390</v>
      </c>
      <c r="G4797" t="s">
        <v>241</v>
      </c>
      <c r="H4797" t="s">
        <v>1391</v>
      </c>
      <c r="I4797" t="s">
        <v>1392</v>
      </c>
      <c r="J4797" t="s">
        <v>1393</v>
      </c>
      <c r="K4797" t="s">
        <v>324</v>
      </c>
      <c r="L4797" t="s">
        <v>269</v>
      </c>
      <c r="M4797" t="s">
        <v>1394</v>
      </c>
      <c r="N4797" t="s">
        <v>243</v>
      </c>
    </row>
    <row r="4798" spans="1:14">
      <c r="A4798" s="25" t="s">
        <v>211</v>
      </c>
      <c r="B4798">
        <v>4538</v>
      </c>
      <c r="C4798" t="s">
        <v>189</v>
      </c>
      <c r="D4798">
        <v>8794</v>
      </c>
      <c r="E4798" s="1">
        <v>3.3E-3</v>
      </c>
      <c r="F4798" s="1">
        <v>4.0000000000000002E-4</v>
      </c>
      <c r="G4798" s="1">
        <v>1E-3</v>
      </c>
      <c r="H4798" s="1">
        <v>0.80879999999999996</v>
      </c>
      <c r="I4798" s="1">
        <v>0.8458</v>
      </c>
      <c r="J4798" s="1">
        <v>6.5699999999999995E-2</v>
      </c>
      <c r="K4798" s="1">
        <v>1.6000000000000001E-3</v>
      </c>
      <c r="L4798" s="1">
        <v>4.0000000000000002E-4</v>
      </c>
      <c r="M4798" s="1">
        <v>3.3999999999999998E-3</v>
      </c>
      <c r="N4798" s="1">
        <v>1E-4</v>
      </c>
    </row>
    <row r="4799" spans="1:14">
      <c r="A4799" s="25" t="s">
        <v>212</v>
      </c>
      <c r="B4799">
        <v>2544</v>
      </c>
      <c r="C4799" t="s">
        <v>189</v>
      </c>
      <c r="D4799">
        <v>8794</v>
      </c>
      <c r="E4799" s="1">
        <v>5.4999999999999997E-3</v>
      </c>
      <c r="F4799" s="1">
        <v>8.0000000000000004E-4</v>
      </c>
      <c r="G4799" s="1">
        <v>8.0000000000000004E-4</v>
      </c>
      <c r="H4799" s="1">
        <v>0.6845</v>
      </c>
      <c r="I4799" s="1">
        <v>0.82079999999999997</v>
      </c>
      <c r="J4799" s="1">
        <v>4.87E-2</v>
      </c>
      <c r="K4799" s="1">
        <v>7.0000000000000001E-3</v>
      </c>
      <c r="L4799" s="1">
        <v>3.8E-3</v>
      </c>
      <c r="M4799" s="1">
        <v>8.5000000000000006E-3</v>
      </c>
    </row>
    <row r="4800" spans="1:14">
      <c r="A4800" s="25" t="s">
        <v>213</v>
      </c>
      <c r="B4800">
        <v>1712</v>
      </c>
      <c r="C4800" t="s">
        <v>189</v>
      </c>
      <c r="D4800">
        <v>8794</v>
      </c>
      <c r="E4800" s="1">
        <v>3.5000000000000001E-3</v>
      </c>
      <c r="F4800" s="1">
        <v>5.0000000000000001E-4</v>
      </c>
      <c r="H4800" s="1">
        <v>0.80789999999999995</v>
      </c>
      <c r="I4800" s="1">
        <v>0.8165</v>
      </c>
      <c r="J4800" s="1">
        <v>0.10150000000000001</v>
      </c>
      <c r="K4800" s="1">
        <v>4.1000000000000003E-3</v>
      </c>
      <c r="L4800" s="1">
        <v>1E-4</v>
      </c>
      <c r="M4800" s="1">
        <v>2.7000000000000001E-3</v>
      </c>
    </row>
    <row r="4801" spans="1:14">
      <c r="A4801" s="25" t="s">
        <v>192</v>
      </c>
      <c r="B4801">
        <v>8794</v>
      </c>
      <c r="C4801" t="s">
        <v>192</v>
      </c>
      <c r="D4801">
        <v>8794</v>
      </c>
      <c r="E4801" s="1">
        <v>4.0000000000000001E-3</v>
      </c>
      <c r="F4801" s="1">
        <v>5.0000000000000001E-4</v>
      </c>
      <c r="G4801" s="1">
        <v>6.9999999999999999E-4</v>
      </c>
      <c r="H4801" s="1">
        <v>0.77459999999999996</v>
      </c>
      <c r="I4801" s="1">
        <v>0.83260000000000001</v>
      </c>
      <c r="J4801" s="1">
        <v>6.88E-2</v>
      </c>
      <c r="K4801" s="1">
        <v>3.5999999999999999E-3</v>
      </c>
      <c r="L4801" s="1">
        <v>1.1999999999999999E-3</v>
      </c>
      <c r="M4801" s="1">
        <v>4.7000000000000002E-3</v>
      </c>
      <c r="N4801" s="1">
        <v>0</v>
      </c>
    </row>
    <row r="4803" spans="1:14" ht="43.5">
      <c r="A4803" s="25" t="s">
        <v>1400</v>
      </c>
    </row>
    <row r="4804" spans="1:14">
      <c r="A4804" s="25" t="s">
        <v>182</v>
      </c>
      <c r="B4804" t="s">
        <v>219</v>
      </c>
      <c r="C4804" t="s">
        <v>181</v>
      </c>
      <c r="D4804" t="s">
        <v>188</v>
      </c>
      <c r="E4804" t="s">
        <v>1401</v>
      </c>
      <c r="F4804" t="s">
        <v>243</v>
      </c>
      <c r="G4804" t="s">
        <v>1402</v>
      </c>
      <c r="H4804" t="s">
        <v>1403</v>
      </c>
      <c r="I4804" t="s">
        <v>1404</v>
      </c>
    </row>
    <row r="4805" spans="1:14">
      <c r="A4805" s="25" t="s">
        <v>190</v>
      </c>
      <c r="B4805">
        <v>4903</v>
      </c>
      <c r="C4805" t="s">
        <v>189</v>
      </c>
      <c r="D4805">
        <v>10434</v>
      </c>
      <c r="E4805" s="1">
        <v>0.2266</v>
      </c>
      <c r="F4805" s="1">
        <v>2.8999999999999998E-3</v>
      </c>
      <c r="G4805" s="1">
        <v>0.3039</v>
      </c>
      <c r="H4805" s="1">
        <v>0.1739</v>
      </c>
      <c r="I4805" s="1">
        <v>0.29260000000000003</v>
      </c>
    </row>
    <row r="4806" spans="1:14">
      <c r="A4806" s="25" t="s">
        <v>191</v>
      </c>
      <c r="B4806">
        <v>5474</v>
      </c>
      <c r="C4806" t="s">
        <v>189</v>
      </c>
      <c r="D4806">
        <v>10434</v>
      </c>
      <c r="E4806" s="1">
        <v>0.19739999999999999</v>
      </c>
      <c r="F4806" s="1">
        <v>8.0000000000000004E-4</v>
      </c>
      <c r="G4806" s="1">
        <v>0.29780000000000001</v>
      </c>
      <c r="H4806" s="1">
        <v>0.4214</v>
      </c>
      <c r="I4806" s="1">
        <v>8.2600000000000007E-2</v>
      </c>
    </row>
    <row r="4807" spans="1:14">
      <c r="A4807" s="25" t="s">
        <v>192</v>
      </c>
      <c r="B4807">
        <v>10434</v>
      </c>
      <c r="C4807" t="s">
        <v>192</v>
      </c>
      <c r="D4807">
        <v>10434</v>
      </c>
      <c r="E4807" s="1">
        <v>0.20849999999999999</v>
      </c>
      <c r="F4807" s="1">
        <v>1.6000000000000001E-3</v>
      </c>
      <c r="G4807" s="1">
        <v>0.30009999999999998</v>
      </c>
      <c r="H4807" s="1">
        <v>0.32690000000000002</v>
      </c>
      <c r="I4807" s="1">
        <v>0.16289999999999999</v>
      </c>
    </row>
    <row r="4809" spans="1:14" ht="43.5">
      <c r="A4809" s="25" t="s">
        <v>1405</v>
      </c>
    </row>
    <row r="4810" spans="1:14">
      <c r="A4810" s="25" t="s">
        <v>182</v>
      </c>
      <c r="B4810" t="s">
        <v>219</v>
      </c>
      <c r="C4810" t="s">
        <v>181</v>
      </c>
      <c r="D4810" t="s">
        <v>188</v>
      </c>
      <c r="E4810" t="s">
        <v>1401</v>
      </c>
      <c r="F4810" t="s">
        <v>243</v>
      </c>
      <c r="G4810" t="s">
        <v>1402</v>
      </c>
      <c r="H4810" t="s">
        <v>1403</v>
      </c>
      <c r="I4810" t="s">
        <v>1404</v>
      </c>
    </row>
    <row r="4811" spans="1:14" ht="29.1">
      <c r="A4811" s="25" t="s">
        <v>194</v>
      </c>
      <c r="B4811">
        <v>5954</v>
      </c>
      <c r="C4811" t="s">
        <v>189</v>
      </c>
      <c r="D4811">
        <v>10434</v>
      </c>
      <c r="E4811" s="1">
        <v>0.20899999999999999</v>
      </c>
      <c r="F4811" s="1">
        <v>2.0999999999999999E-3</v>
      </c>
      <c r="G4811" s="1">
        <v>0.28889999999999999</v>
      </c>
      <c r="H4811" s="1">
        <v>0.34460000000000002</v>
      </c>
      <c r="I4811" s="1">
        <v>0.15540000000000001</v>
      </c>
    </row>
    <row r="4812" spans="1:14" ht="29.1">
      <c r="A4812" s="25" t="s">
        <v>195</v>
      </c>
      <c r="B4812">
        <v>2703</v>
      </c>
      <c r="C4812" t="s">
        <v>189</v>
      </c>
      <c r="D4812">
        <v>10434</v>
      </c>
      <c r="E4812" s="1">
        <v>0.21479999999999999</v>
      </c>
      <c r="F4812" s="1">
        <v>2.9999999999999997E-4</v>
      </c>
      <c r="G4812" s="1">
        <v>0.31080000000000002</v>
      </c>
      <c r="H4812" s="1">
        <v>0.27710000000000001</v>
      </c>
      <c r="I4812" s="1">
        <v>0.19700000000000001</v>
      </c>
    </row>
    <row r="4813" spans="1:14" ht="29.1">
      <c r="A4813" s="25" t="s">
        <v>196</v>
      </c>
      <c r="B4813">
        <v>1720</v>
      </c>
      <c r="C4813" t="s">
        <v>189</v>
      </c>
      <c r="D4813">
        <v>10434</v>
      </c>
      <c r="E4813" s="1">
        <v>0.1925</v>
      </c>
      <c r="F4813" s="1">
        <v>4.0000000000000002E-4</v>
      </c>
      <c r="G4813" s="1">
        <v>0.36330000000000001</v>
      </c>
      <c r="H4813" s="1">
        <v>0.29559999999999997</v>
      </c>
      <c r="I4813" s="1">
        <v>0.14829999999999999</v>
      </c>
    </row>
    <row r="4814" spans="1:14">
      <c r="A4814" s="25" t="s">
        <v>192</v>
      </c>
      <c r="B4814">
        <v>10434</v>
      </c>
      <c r="C4814" t="s">
        <v>192</v>
      </c>
      <c r="D4814">
        <v>10434</v>
      </c>
      <c r="E4814" s="1">
        <v>0.20849999999999999</v>
      </c>
      <c r="F4814" s="1">
        <v>1.6000000000000001E-3</v>
      </c>
      <c r="G4814" s="1">
        <v>0.30009999999999998</v>
      </c>
      <c r="H4814" s="1">
        <v>0.32690000000000002</v>
      </c>
      <c r="I4814" s="1">
        <v>0.16289999999999999</v>
      </c>
    </row>
    <row r="4816" spans="1:14" ht="43.5">
      <c r="A4816" s="25" t="s">
        <v>1406</v>
      </c>
    </row>
    <row r="4817" spans="1:9">
      <c r="A4817" s="25" t="s">
        <v>182</v>
      </c>
      <c r="B4817" t="s">
        <v>219</v>
      </c>
      <c r="C4817" t="s">
        <v>181</v>
      </c>
      <c r="D4817" t="s">
        <v>188</v>
      </c>
      <c r="E4817" t="s">
        <v>1401</v>
      </c>
      <c r="F4817" t="s">
        <v>243</v>
      </c>
      <c r="G4817" t="s">
        <v>1402</v>
      </c>
      <c r="H4817" t="s">
        <v>1403</v>
      </c>
      <c r="I4817" t="s">
        <v>1404</v>
      </c>
    </row>
    <row r="4818" spans="1:9">
      <c r="A4818" s="25" t="s">
        <v>198</v>
      </c>
      <c r="B4818">
        <v>2264</v>
      </c>
      <c r="C4818" t="s">
        <v>189</v>
      </c>
      <c r="D4818">
        <v>10434</v>
      </c>
      <c r="E4818" s="1">
        <v>0.24729999999999999</v>
      </c>
      <c r="F4818" s="1">
        <v>5.0000000000000001E-4</v>
      </c>
      <c r="G4818" s="1">
        <v>0.29559999999999997</v>
      </c>
      <c r="H4818" s="1">
        <v>0.23369999999999999</v>
      </c>
      <c r="I4818" s="1">
        <v>0.223</v>
      </c>
    </row>
    <row r="4819" spans="1:9">
      <c r="A4819" s="25" t="s">
        <v>199</v>
      </c>
      <c r="B4819">
        <v>8170</v>
      </c>
      <c r="C4819" t="s">
        <v>189</v>
      </c>
      <c r="D4819">
        <v>10434</v>
      </c>
      <c r="E4819" s="1">
        <v>0.19980000000000001</v>
      </c>
      <c r="F4819" s="1">
        <v>1.8E-3</v>
      </c>
      <c r="G4819" s="1">
        <v>0.30120000000000002</v>
      </c>
      <c r="H4819" s="1">
        <v>0.3478</v>
      </c>
      <c r="I4819" s="1">
        <v>0.14940000000000001</v>
      </c>
    </row>
    <row r="4820" spans="1:9">
      <c r="A4820" s="25" t="s">
        <v>192</v>
      </c>
      <c r="B4820">
        <v>10434</v>
      </c>
      <c r="C4820" t="s">
        <v>192</v>
      </c>
      <c r="D4820">
        <v>10434</v>
      </c>
      <c r="E4820" s="1">
        <v>0.20849999999999999</v>
      </c>
      <c r="F4820" s="1">
        <v>1.6000000000000001E-3</v>
      </c>
      <c r="G4820" s="1">
        <v>0.30009999999999998</v>
      </c>
      <c r="H4820" s="1">
        <v>0.32690000000000002</v>
      </c>
      <c r="I4820" s="1">
        <v>0.16289999999999999</v>
      </c>
    </row>
    <row r="4822" spans="1:9" ht="43.5">
      <c r="A4822" s="25" t="s">
        <v>1407</v>
      </c>
    </row>
    <row r="4823" spans="1:9">
      <c r="A4823" s="25" t="s">
        <v>182</v>
      </c>
      <c r="B4823" t="s">
        <v>219</v>
      </c>
      <c r="C4823" t="s">
        <v>181</v>
      </c>
      <c r="D4823" t="s">
        <v>188</v>
      </c>
      <c r="E4823" t="s">
        <v>1401</v>
      </c>
      <c r="F4823" t="s">
        <v>243</v>
      </c>
      <c r="G4823" t="s">
        <v>1402</v>
      </c>
      <c r="H4823" t="s">
        <v>1403</v>
      </c>
      <c r="I4823" t="s">
        <v>1404</v>
      </c>
    </row>
    <row r="4824" spans="1:9">
      <c r="A4824" s="25" t="s">
        <v>201</v>
      </c>
      <c r="B4824">
        <v>767</v>
      </c>
      <c r="C4824" t="s">
        <v>189</v>
      </c>
      <c r="D4824">
        <v>10434</v>
      </c>
      <c r="E4824" s="1">
        <v>0.29459999999999997</v>
      </c>
      <c r="G4824" s="1">
        <v>0.2021</v>
      </c>
      <c r="H4824" s="1">
        <v>0.39650000000000002</v>
      </c>
      <c r="I4824" s="1">
        <v>0.1069</v>
      </c>
    </row>
    <row r="4825" spans="1:9">
      <c r="A4825" s="25" t="s">
        <v>202</v>
      </c>
      <c r="B4825">
        <v>110</v>
      </c>
      <c r="C4825" t="s">
        <v>189</v>
      </c>
      <c r="D4825">
        <v>10434</v>
      </c>
      <c r="E4825" s="1">
        <v>0.32450000000000001</v>
      </c>
      <c r="F4825" s="1">
        <v>2.5999999999999999E-3</v>
      </c>
      <c r="G4825" s="1">
        <v>0.25690000000000002</v>
      </c>
      <c r="H4825" s="1">
        <v>0.28189999999999998</v>
      </c>
      <c r="I4825" s="1">
        <v>0.1341</v>
      </c>
    </row>
    <row r="4826" spans="1:9">
      <c r="A4826" s="25" t="s">
        <v>203</v>
      </c>
      <c r="B4826">
        <v>8042</v>
      </c>
      <c r="C4826" t="s">
        <v>189</v>
      </c>
      <c r="D4826">
        <v>10434</v>
      </c>
      <c r="E4826" s="1">
        <v>0.2107</v>
      </c>
      <c r="F4826" s="1">
        <v>1.6000000000000001E-3</v>
      </c>
      <c r="G4826" s="1">
        <v>0.30659999999999998</v>
      </c>
      <c r="H4826" s="1">
        <v>0.30170000000000002</v>
      </c>
      <c r="I4826" s="1">
        <v>0.17949999999999999</v>
      </c>
    </row>
    <row r="4827" spans="1:9">
      <c r="A4827" s="25" t="s">
        <v>204</v>
      </c>
      <c r="B4827">
        <v>31</v>
      </c>
      <c r="C4827" t="s">
        <v>189</v>
      </c>
      <c r="D4827">
        <v>10434</v>
      </c>
      <c r="E4827" s="1">
        <v>0.33479999999999999</v>
      </c>
      <c r="F4827" s="1">
        <v>7.2400000000000006E-2</v>
      </c>
      <c r="G4827" s="1">
        <v>0.2485</v>
      </c>
      <c r="H4827" s="1">
        <v>0.16689999999999999</v>
      </c>
      <c r="I4827" s="1">
        <v>0.1774</v>
      </c>
    </row>
    <row r="4828" spans="1:9">
      <c r="A4828" s="25" t="s">
        <v>205</v>
      </c>
      <c r="B4828">
        <v>1484</v>
      </c>
      <c r="C4828" t="s">
        <v>189</v>
      </c>
      <c r="D4828">
        <v>10434</v>
      </c>
      <c r="E4828" s="1">
        <v>0.1462</v>
      </c>
      <c r="F4828" s="1">
        <v>1.2999999999999999E-3</v>
      </c>
      <c r="G4828" s="1">
        <v>0.31530000000000002</v>
      </c>
      <c r="H4828" s="1">
        <v>0.43990000000000001</v>
      </c>
      <c r="I4828" s="1">
        <v>9.74E-2</v>
      </c>
    </row>
    <row r="4829" spans="1:9">
      <c r="A4829" s="25" t="s">
        <v>192</v>
      </c>
      <c r="B4829">
        <v>10434</v>
      </c>
      <c r="C4829" t="s">
        <v>192</v>
      </c>
      <c r="D4829">
        <v>10434</v>
      </c>
      <c r="E4829" s="1">
        <v>0.20849999999999999</v>
      </c>
      <c r="F4829" s="1">
        <v>1.6000000000000001E-3</v>
      </c>
      <c r="G4829" s="1">
        <v>0.30009999999999998</v>
      </c>
      <c r="H4829" s="1">
        <v>0.32690000000000002</v>
      </c>
      <c r="I4829" s="1">
        <v>0.16289999999999999</v>
      </c>
    </row>
    <row r="4831" spans="1:9" ht="43.5">
      <c r="A4831" s="25" t="s">
        <v>1408</v>
      </c>
    </row>
    <row r="4832" spans="1:9">
      <c r="A4832" s="25" t="s">
        <v>182</v>
      </c>
      <c r="B4832" t="s">
        <v>219</v>
      </c>
      <c r="C4832" t="s">
        <v>181</v>
      </c>
      <c r="D4832" t="s">
        <v>188</v>
      </c>
      <c r="E4832" t="s">
        <v>1401</v>
      </c>
      <c r="F4832" t="s">
        <v>243</v>
      </c>
      <c r="G4832" t="s">
        <v>1402</v>
      </c>
      <c r="H4832" t="s">
        <v>1403</v>
      </c>
      <c r="I4832" t="s">
        <v>1404</v>
      </c>
    </row>
    <row r="4833" spans="1:13">
      <c r="A4833" s="25" t="s">
        <v>207</v>
      </c>
      <c r="B4833">
        <v>7254</v>
      </c>
      <c r="C4833" t="s">
        <v>189</v>
      </c>
      <c r="D4833">
        <v>10434</v>
      </c>
      <c r="E4833" s="1">
        <v>0.19589999999999999</v>
      </c>
      <c r="F4833" s="1">
        <v>2.0999999999999999E-3</v>
      </c>
      <c r="G4833" s="1">
        <v>0.31080000000000002</v>
      </c>
      <c r="H4833" s="1">
        <v>0.33479999999999999</v>
      </c>
      <c r="I4833" s="1">
        <v>0.15640000000000001</v>
      </c>
    </row>
    <row r="4834" spans="1:13">
      <c r="A4834" s="25" t="s">
        <v>208</v>
      </c>
      <c r="B4834">
        <v>2245</v>
      </c>
      <c r="C4834" t="s">
        <v>189</v>
      </c>
      <c r="D4834">
        <v>10434</v>
      </c>
      <c r="E4834" s="1">
        <v>0.26939999999999997</v>
      </c>
      <c r="F4834" s="1">
        <v>2.9999999999999997E-4</v>
      </c>
      <c r="G4834" s="1">
        <v>0.25430000000000003</v>
      </c>
      <c r="H4834" s="1">
        <v>0.32029999999999997</v>
      </c>
      <c r="I4834" s="1">
        <v>0.15559999999999999</v>
      </c>
    </row>
    <row r="4835" spans="1:13">
      <c r="A4835" s="25" t="s">
        <v>209</v>
      </c>
      <c r="B4835">
        <v>935</v>
      </c>
      <c r="C4835" t="s">
        <v>189</v>
      </c>
      <c r="D4835">
        <v>10434</v>
      </c>
      <c r="E4835" s="1">
        <v>0.14649999999999999</v>
      </c>
      <c r="F4835" s="1">
        <v>6.9999999999999999E-4</v>
      </c>
      <c r="G4835" s="1">
        <v>0.3362</v>
      </c>
      <c r="H4835" s="1">
        <v>0.27589999999999998</v>
      </c>
      <c r="I4835" s="1">
        <v>0.2407</v>
      </c>
    </row>
    <row r="4836" spans="1:13">
      <c r="A4836" s="25" t="s">
        <v>192</v>
      </c>
      <c r="B4836">
        <v>10434</v>
      </c>
      <c r="C4836" t="s">
        <v>192</v>
      </c>
      <c r="D4836">
        <v>10434</v>
      </c>
      <c r="E4836" s="1">
        <v>0.20849999999999999</v>
      </c>
      <c r="F4836" s="1">
        <v>1.6000000000000001E-3</v>
      </c>
      <c r="G4836" s="1">
        <v>0.30009999999999998</v>
      </c>
      <c r="H4836" s="1">
        <v>0.32690000000000002</v>
      </c>
      <c r="I4836" s="1">
        <v>0.16289999999999999</v>
      </c>
    </row>
    <row r="4838" spans="1:13" ht="43.5">
      <c r="A4838" s="25" t="s">
        <v>1409</v>
      </c>
    </row>
    <row r="4839" spans="1:13">
      <c r="A4839" s="25" t="s">
        <v>182</v>
      </c>
      <c r="B4839" t="s">
        <v>219</v>
      </c>
      <c r="C4839" t="s">
        <v>181</v>
      </c>
      <c r="D4839" t="s">
        <v>188</v>
      </c>
      <c r="E4839" t="s">
        <v>1401</v>
      </c>
      <c r="F4839" t="s">
        <v>243</v>
      </c>
      <c r="G4839" t="s">
        <v>1402</v>
      </c>
      <c r="H4839" t="s">
        <v>1403</v>
      </c>
      <c r="I4839" t="s">
        <v>1404</v>
      </c>
    </row>
    <row r="4840" spans="1:13">
      <c r="A4840" s="25" t="s">
        <v>211</v>
      </c>
      <c r="B4840">
        <v>4972</v>
      </c>
      <c r="C4840" t="s">
        <v>189</v>
      </c>
      <c r="D4840">
        <v>10434</v>
      </c>
      <c r="E4840" s="1">
        <v>0.18160000000000001</v>
      </c>
      <c r="F4840" s="1">
        <v>2E-3</v>
      </c>
      <c r="G4840" s="1">
        <v>0.30690000000000001</v>
      </c>
      <c r="H4840" s="1">
        <v>0.34899999999999998</v>
      </c>
      <c r="I4840" s="1">
        <v>0.16059999999999999</v>
      </c>
    </row>
    <row r="4841" spans="1:13">
      <c r="A4841" s="25" t="s">
        <v>212</v>
      </c>
      <c r="B4841">
        <v>3376</v>
      </c>
      <c r="C4841" t="s">
        <v>189</v>
      </c>
      <c r="D4841">
        <v>10434</v>
      </c>
      <c r="E4841" s="1">
        <v>0.2205</v>
      </c>
      <c r="F4841" s="1">
        <v>5.9999999999999995E-4</v>
      </c>
      <c r="G4841" s="1">
        <v>0.3014</v>
      </c>
      <c r="H4841" s="1">
        <v>0.30669999999999997</v>
      </c>
      <c r="I4841" s="1">
        <v>0.17069999999999999</v>
      </c>
    </row>
    <row r="4842" spans="1:13">
      <c r="A4842" s="25" t="s">
        <v>213</v>
      </c>
      <c r="B4842">
        <v>2086</v>
      </c>
      <c r="C4842" t="s">
        <v>189</v>
      </c>
      <c r="D4842">
        <v>10434</v>
      </c>
      <c r="E4842" s="1">
        <v>0.24929999999999999</v>
      </c>
      <c r="F4842" s="1">
        <v>2E-3</v>
      </c>
      <c r="G4842" s="1">
        <v>0.2838</v>
      </c>
      <c r="H4842" s="1">
        <v>0.30819999999999997</v>
      </c>
      <c r="I4842" s="1">
        <v>0.15670000000000001</v>
      </c>
    </row>
    <row r="4843" spans="1:13">
      <c r="A4843" s="25" t="s">
        <v>192</v>
      </c>
      <c r="B4843">
        <v>10434</v>
      </c>
      <c r="C4843" t="s">
        <v>192</v>
      </c>
      <c r="D4843">
        <v>10434</v>
      </c>
      <c r="E4843" s="1">
        <v>0.20849999999999999</v>
      </c>
      <c r="F4843" s="1">
        <v>1.6000000000000001E-3</v>
      </c>
      <c r="G4843" s="1">
        <v>0.30009999999999998</v>
      </c>
      <c r="H4843" s="1">
        <v>0.32690000000000002</v>
      </c>
      <c r="I4843" s="1">
        <v>0.16289999999999999</v>
      </c>
    </row>
    <row r="4845" spans="1:13" ht="43.5">
      <c r="A4845" s="25" t="s">
        <v>1410</v>
      </c>
    </row>
    <row r="4846" spans="1:13">
      <c r="A4846" s="25" t="s">
        <v>182</v>
      </c>
      <c r="B4846" t="s">
        <v>219</v>
      </c>
      <c r="C4846" t="s">
        <v>181</v>
      </c>
      <c r="D4846" t="s">
        <v>188</v>
      </c>
      <c r="E4846" t="s">
        <v>241</v>
      </c>
      <c r="F4846" t="s">
        <v>1299</v>
      </c>
      <c r="G4846" t="s">
        <v>1411</v>
      </c>
      <c r="H4846" t="s">
        <v>324</v>
      </c>
      <c r="I4846" t="s">
        <v>269</v>
      </c>
      <c r="J4846" t="s">
        <v>243</v>
      </c>
      <c r="K4846" t="s">
        <v>1300</v>
      </c>
      <c r="L4846" t="s">
        <v>1301</v>
      </c>
      <c r="M4846" t="s">
        <v>1302</v>
      </c>
    </row>
    <row r="4847" spans="1:13">
      <c r="A4847" s="25" t="s">
        <v>190</v>
      </c>
      <c r="B4847">
        <v>4900</v>
      </c>
      <c r="C4847" t="s">
        <v>189</v>
      </c>
      <c r="D4847">
        <v>10430</v>
      </c>
      <c r="E4847" s="1">
        <v>4.0000000000000001E-3</v>
      </c>
      <c r="F4847" s="1">
        <v>2.2100000000000002E-2</v>
      </c>
      <c r="G4847" s="1">
        <v>0.84289999999999998</v>
      </c>
      <c r="H4847" s="1">
        <v>0.1142</v>
      </c>
      <c r="I4847" s="1">
        <v>1.6000000000000001E-3</v>
      </c>
      <c r="J4847" s="1">
        <v>1.1000000000000001E-3</v>
      </c>
      <c r="K4847" s="1">
        <v>2.63E-2</v>
      </c>
      <c r="L4847" s="1">
        <v>2.3900000000000001E-2</v>
      </c>
      <c r="M4847" s="1">
        <v>3.1600000000000003E-2</v>
      </c>
    </row>
    <row r="4848" spans="1:13">
      <c r="A4848" s="25" t="s">
        <v>191</v>
      </c>
      <c r="B4848">
        <v>5473</v>
      </c>
      <c r="C4848" t="s">
        <v>189</v>
      </c>
      <c r="D4848">
        <v>10430</v>
      </c>
      <c r="E4848" s="1">
        <v>1.12E-2</v>
      </c>
      <c r="F4848" s="1">
        <v>3.7499999999999999E-2</v>
      </c>
      <c r="G4848" s="1">
        <v>0.7944</v>
      </c>
      <c r="H4848" s="1">
        <v>0.125</v>
      </c>
      <c r="I4848" s="1">
        <v>5.0000000000000001E-4</v>
      </c>
      <c r="J4848" s="1">
        <v>1.1000000000000001E-3</v>
      </c>
      <c r="K4848" s="1">
        <v>0.04</v>
      </c>
      <c r="L4848" s="1">
        <v>4.1099999999999998E-2</v>
      </c>
      <c r="M4848" s="1">
        <v>6.4299999999999996E-2</v>
      </c>
    </row>
    <row r="4849" spans="1:13">
      <c r="A4849" s="25" t="s">
        <v>192</v>
      </c>
      <c r="B4849">
        <v>10430</v>
      </c>
      <c r="C4849" t="s">
        <v>192</v>
      </c>
      <c r="D4849">
        <v>10430</v>
      </c>
      <c r="E4849" s="1">
        <v>8.5000000000000006E-3</v>
      </c>
      <c r="F4849" s="1">
        <v>3.1699999999999999E-2</v>
      </c>
      <c r="G4849" s="1">
        <v>0.81230000000000002</v>
      </c>
      <c r="H4849" s="1">
        <v>0.12130000000000001</v>
      </c>
      <c r="I4849" s="1">
        <v>8.9999999999999998E-4</v>
      </c>
      <c r="J4849" s="1">
        <v>1.1000000000000001E-3</v>
      </c>
      <c r="K4849" s="1">
        <v>3.4799999999999998E-2</v>
      </c>
      <c r="L4849" s="1">
        <v>3.4599999999999999E-2</v>
      </c>
      <c r="M4849" s="1">
        <v>5.1900000000000002E-2</v>
      </c>
    </row>
    <row r="4851" spans="1:13" ht="57.95">
      <c r="A4851" s="25" t="s">
        <v>1412</v>
      </c>
    </row>
    <row r="4852" spans="1:13">
      <c r="A4852" s="25" t="s">
        <v>182</v>
      </c>
      <c r="B4852" t="s">
        <v>219</v>
      </c>
      <c r="C4852" t="s">
        <v>181</v>
      </c>
      <c r="D4852" t="s">
        <v>188</v>
      </c>
      <c r="E4852" t="s">
        <v>241</v>
      </c>
      <c r="F4852" t="s">
        <v>1299</v>
      </c>
      <c r="G4852" t="s">
        <v>1411</v>
      </c>
      <c r="H4852" t="s">
        <v>324</v>
      </c>
      <c r="I4852" t="s">
        <v>269</v>
      </c>
      <c r="J4852" t="s">
        <v>243</v>
      </c>
      <c r="K4852" t="s">
        <v>1300</v>
      </c>
      <c r="L4852" t="s">
        <v>1301</v>
      </c>
      <c r="M4852" t="s">
        <v>1302</v>
      </c>
    </row>
    <row r="4853" spans="1:13" ht="29.1">
      <c r="A4853" s="25" t="s">
        <v>194</v>
      </c>
      <c r="B4853">
        <v>5952</v>
      </c>
      <c r="C4853" t="s">
        <v>189</v>
      </c>
      <c r="D4853">
        <v>10430</v>
      </c>
      <c r="E4853" s="1">
        <v>6.7999999999999996E-3</v>
      </c>
      <c r="F4853" s="1">
        <v>2.4400000000000002E-2</v>
      </c>
      <c r="G4853" s="1">
        <v>0.84499999999999997</v>
      </c>
      <c r="H4853" s="1">
        <v>0.1095</v>
      </c>
      <c r="I4853" s="1">
        <v>6.9999999999999999E-4</v>
      </c>
      <c r="J4853" s="1">
        <v>6.9999999999999999E-4</v>
      </c>
      <c r="K4853" s="1">
        <v>2.41E-2</v>
      </c>
      <c r="L4853" s="1">
        <v>2.75E-2</v>
      </c>
      <c r="M4853" s="1">
        <v>3.6200000000000003E-2</v>
      </c>
    </row>
    <row r="4854" spans="1:13" ht="29.1">
      <c r="A4854" s="25" t="s">
        <v>195</v>
      </c>
      <c r="B4854">
        <v>2701</v>
      </c>
      <c r="C4854" t="s">
        <v>189</v>
      </c>
      <c r="D4854">
        <v>10430</v>
      </c>
      <c r="E4854" s="1">
        <v>7.4000000000000003E-3</v>
      </c>
      <c r="F4854" s="1">
        <v>3.7699999999999997E-2</v>
      </c>
      <c r="G4854" s="1">
        <v>0.83399999999999996</v>
      </c>
      <c r="H4854" s="1">
        <v>8.3699999999999997E-2</v>
      </c>
      <c r="I4854" s="1">
        <v>1.1000000000000001E-3</v>
      </c>
      <c r="J4854" s="1">
        <v>8.0000000000000004E-4</v>
      </c>
      <c r="K4854" s="1">
        <v>4.6800000000000001E-2</v>
      </c>
      <c r="L4854" s="1">
        <v>4.07E-2</v>
      </c>
      <c r="M4854" s="1">
        <v>6.2799999999999995E-2</v>
      </c>
    </row>
    <row r="4855" spans="1:13" ht="29.1">
      <c r="A4855" s="25" t="s">
        <v>196</v>
      </c>
      <c r="B4855">
        <v>1720</v>
      </c>
      <c r="C4855" t="s">
        <v>189</v>
      </c>
      <c r="D4855">
        <v>10430</v>
      </c>
      <c r="E4855" s="1">
        <v>2.29E-2</v>
      </c>
      <c r="F4855" s="1">
        <v>7.4099999999999999E-2</v>
      </c>
      <c r="G4855" s="1">
        <v>0.52559999999999996</v>
      </c>
      <c r="H4855" s="1">
        <v>0.28289999999999998</v>
      </c>
      <c r="I4855" s="1">
        <v>2.7000000000000001E-3</v>
      </c>
      <c r="J4855" s="1">
        <v>4.5999999999999999E-3</v>
      </c>
      <c r="K4855" s="1">
        <v>9.0899999999999995E-2</v>
      </c>
      <c r="L4855" s="1">
        <v>7.5300000000000006E-2</v>
      </c>
      <c r="M4855" s="1">
        <v>0.14760000000000001</v>
      </c>
    </row>
    <row r="4856" spans="1:13">
      <c r="A4856" s="25" t="s">
        <v>192</v>
      </c>
      <c r="B4856">
        <v>10430</v>
      </c>
      <c r="C4856" t="s">
        <v>192</v>
      </c>
      <c r="D4856">
        <v>10430</v>
      </c>
      <c r="E4856" s="1">
        <v>8.5000000000000006E-3</v>
      </c>
      <c r="F4856" s="1">
        <v>3.1699999999999999E-2</v>
      </c>
      <c r="G4856" s="1">
        <v>0.81230000000000002</v>
      </c>
      <c r="H4856" s="1">
        <v>0.12130000000000001</v>
      </c>
      <c r="I4856" s="1">
        <v>8.9999999999999998E-4</v>
      </c>
      <c r="J4856" s="1">
        <v>1.1000000000000001E-3</v>
      </c>
      <c r="K4856" s="1">
        <v>3.4799999999999998E-2</v>
      </c>
      <c r="L4856" s="1">
        <v>3.4599999999999999E-2</v>
      </c>
      <c r="M4856" s="1">
        <v>5.1900000000000002E-2</v>
      </c>
    </row>
    <row r="4858" spans="1:13" ht="43.5">
      <c r="A4858" s="25" t="s">
        <v>1413</v>
      </c>
    </row>
    <row r="4859" spans="1:13">
      <c r="A4859" s="25" t="s">
        <v>182</v>
      </c>
      <c r="B4859" t="s">
        <v>219</v>
      </c>
      <c r="C4859" t="s">
        <v>181</v>
      </c>
      <c r="D4859" t="s">
        <v>188</v>
      </c>
      <c r="E4859" t="s">
        <v>241</v>
      </c>
      <c r="F4859" t="s">
        <v>1299</v>
      </c>
      <c r="G4859" t="s">
        <v>1411</v>
      </c>
      <c r="H4859" t="s">
        <v>324</v>
      </c>
      <c r="I4859" t="s">
        <v>269</v>
      </c>
      <c r="J4859" t="s">
        <v>243</v>
      </c>
      <c r="K4859" t="s">
        <v>1300</v>
      </c>
      <c r="L4859" t="s">
        <v>1301</v>
      </c>
      <c r="M4859" t="s">
        <v>1302</v>
      </c>
    </row>
    <row r="4860" spans="1:13">
      <c r="A4860" s="25" t="s">
        <v>198</v>
      </c>
      <c r="B4860">
        <v>2263</v>
      </c>
      <c r="C4860" t="s">
        <v>189</v>
      </c>
      <c r="D4860">
        <v>10430</v>
      </c>
      <c r="E4860" s="1">
        <v>1.3599999999999999E-2</v>
      </c>
      <c r="F4860" s="1">
        <v>4.5999999999999999E-2</v>
      </c>
      <c r="G4860" s="1">
        <v>0.7742</v>
      </c>
      <c r="H4860" s="1">
        <v>0.1333</v>
      </c>
      <c r="I4860" s="1">
        <v>1.1000000000000001E-3</v>
      </c>
      <c r="J4860" s="1">
        <v>5.9999999999999995E-4</v>
      </c>
      <c r="K4860" s="1">
        <v>5.2299999999999999E-2</v>
      </c>
      <c r="L4860" s="1">
        <v>4.6300000000000001E-2</v>
      </c>
      <c r="M4860" s="1">
        <v>7.1599999999999997E-2</v>
      </c>
    </row>
    <row r="4861" spans="1:13">
      <c r="A4861" s="25" t="s">
        <v>199</v>
      </c>
      <c r="B4861">
        <v>8167</v>
      </c>
      <c r="C4861" t="s">
        <v>189</v>
      </c>
      <c r="D4861">
        <v>10430</v>
      </c>
      <c r="E4861" s="1">
        <v>7.3000000000000001E-3</v>
      </c>
      <c r="F4861" s="1">
        <v>2.8500000000000001E-2</v>
      </c>
      <c r="G4861" s="1">
        <v>0.82079999999999997</v>
      </c>
      <c r="H4861" s="1">
        <v>0.1186</v>
      </c>
      <c r="I4861" s="1">
        <v>8.9999999999999998E-4</v>
      </c>
      <c r="J4861" s="1">
        <v>1.1999999999999999E-3</v>
      </c>
      <c r="K4861" s="1">
        <v>3.09E-2</v>
      </c>
      <c r="L4861" s="1">
        <v>3.2000000000000001E-2</v>
      </c>
      <c r="M4861" s="1">
        <v>4.7500000000000001E-2</v>
      </c>
    </row>
    <row r="4862" spans="1:13">
      <c r="A4862" s="25" t="s">
        <v>192</v>
      </c>
      <c r="B4862">
        <v>10430</v>
      </c>
      <c r="C4862" t="s">
        <v>192</v>
      </c>
      <c r="D4862">
        <v>10430</v>
      </c>
      <c r="E4862" s="1">
        <v>8.5000000000000006E-3</v>
      </c>
      <c r="F4862" s="1">
        <v>3.1699999999999999E-2</v>
      </c>
      <c r="G4862" s="1">
        <v>0.81230000000000002</v>
      </c>
      <c r="H4862" s="1">
        <v>0.12130000000000001</v>
      </c>
      <c r="I4862" s="1">
        <v>8.9999999999999998E-4</v>
      </c>
      <c r="J4862" s="1">
        <v>1.1000000000000001E-3</v>
      </c>
      <c r="K4862" s="1">
        <v>3.4799999999999998E-2</v>
      </c>
      <c r="L4862" s="1">
        <v>3.4599999999999999E-2</v>
      </c>
      <c r="M4862" s="1">
        <v>5.1900000000000002E-2</v>
      </c>
    </row>
    <row r="4864" spans="1:13" ht="43.5">
      <c r="A4864" s="25" t="s">
        <v>1414</v>
      </c>
    </row>
    <row r="4865" spans="1:13">
      <c r="A4865" s="25" t="s">
        <v>182</v>
      </c>
      <c r="B4865" t="s">
        <v>219</v>
      </c>
      <c r="C4865" t="s">
        <v>181</v>
      </c>
      <c r="D4865" t="s">
        <v>188</v>
      </c>
      <c r="E4865" t="s">
        <v>241</v>
      </c>
      <c r="F4865" t="s">
        <v>1299</v>
      </c>
      <c r="G4865" t="s">
        <v>1411</v>
      </c>
      <c r="H4865" t="s">
        <v>324</v>
      </c>
      <c r="I4865" t="s">
        <v>269</v>
      </c>
      <c r="J4865" t="s">
        <v>243</v>
      </c>
      <c r="K4865" t="s">
        <v>1300</v>
      </c>
      <c r="L4865" t="s">
        <v>1301</v>
      </c>
      <c r="M4865" t="s">
        <v>1302</v>
      </c>
    </row>
    <row r="4866" spans="1:13">
      <c r="A4866" s="25" t="s">
        <v>201</v>
      </c>
      <c r="B4866">
        <v>766</v>
      </c>
      <c r="C4866" t="s">
        <v>189</v>
      </c>
      <c r="D4866">
        <v>10430</v>
      </c>
      <c r="E4866" s="1">
        <v>9.7799999999999998E-2</v>
      </c>
      <c r="F4866" s="1">
        <v>0.36330000000000001</v>
      </c>
      <c r="G4866" s="1">
        <v>6.8699999999999997E-2</v>
      </c>
      <c r="H4866" s="1">
        <v>0.2384</v>
      </c>
      <c r="I4866" s="1">
        <v>9.2999999999999992E-3</v>
      </c>
      <c r="J4866" s="1">
        <v>7.9000000000000008E-3</v>
      </c>
      <c r="K4866" s="1">
        <v>0.37790000000000001</v>
      </c>
      <c r="L4866" s="1">
        <v>0.4</v>
      </c>
      <c r="M4866" s="1">
        <v>0.5524</v>
      </c>
    </row>
    <row r="4867" spans="1:13">
      <c r="A4867" s="25" t="s">
        <v>202</v>
      </c>
      <c r="B4867">
        <v>110</v>
      </c>
      <c r="C4867" t="s">
        <v>189</v>
      </c>
      <c r="D4867">
        <v>10430</v>
      </c>
      <c r="E4867" s="1">
        <v>4.9500000000000002E-2</v>
      </c>
      <c r="F4867" s="1">
        <v>0.1384</v>
      </c>
      <c r="G4867" s="1">
        <v>0.42599999999999999</v>
      </c>
      <c r="H4867" s="1">
        <v>0.25209999999999999</v>
      </c>
      <c r="I4867" s="1">
        <v>4.0000000000000001E-3</v>
      </c>
      <c r="K4867" s="1">
        <v>0.1547</v>
      </c>
      <c r="L4867" s="1">
        <v>0.155</v>
      </c>
      <c r="M4867" s="1">
        <v>0.26939999999999997</v>
      </c>
    </row>
    <row r="4868" spans="1:13">
      <c r="A4868" s="25" t="s">
        <v>203</v>
      </c>
      <c r="B4868">
        <v>8039</v>
      </c>
      <c r="C4868" t="s">
        <v>189</v>
      </c>
      <c r="D4868">
        <v>10430</v>
      </c>
      <c r="E4868" s="1">
        <v>1.2999999999999999E-3</v>
      </c>
      <c r="F4868" s="1">
        <v>2.5999999999999999E-3</v>
      </c>
      <c r="G4868" s="1">
        <v>0.88639999999999997</v>
      </c>
      <c r="H4868" s="1">
        <v>0.1041</v>
      </c>
      <c r="I4868" s="1">
        <v>2.0000000000000001E-4</v>
      </c>
      <c r="J4868" s="1">
        <v>5.0000000000000001E-4</v>
      </c>
      <c r="K4868" s="1">
        <v>5.1000000000000004E-3</v>
      </c>
      <c r="L4868" s="1">
        <v>3.5000000000000001E-3</v>
      </c>
      <c r="M4868" s="1">
        <v>5.4000000000000003E-3</v>
      </c>
    </row>
    <row r="4869" spans="1:13">
      <c r="A4869" s="25" t="s">
        <v>204</v>
      </c>
      <c r="B4869">
        <v>31</v>
      </c>
      <c r="C4869" t="s">
        <v>189</v>
      </c>
      <c r="D4869">
        <v>10430</v>
      </c>
      <c r="F4869" s="1">
        <v>4.4900000000000002E-2</v>
      </c>
      <c r="G4869" s="1">
        <v>0.63519999999999999</v>
      </c>
      <c r="H4869" s="1">
        <v>0.29620000000000002</v>
      </c>
      <c r="J4869" s="1">
        <v>1.1599999999999999E-2</v>
      </c>
      <c r="K4869" s="1">
        <v>5.8400000000000001E-2</v>
      </c>
      <c r="L4869" s="1">
        <v>6.5500000000000003E-2</v>
      </c>
      <c r="M4869" s="1">
        <v>6.7400000000000002E-2</v>
      </c>
    </row>
    <row r="4870" spans="1:13">
      <c r="A4870" s="25" t="s">
        <v>205</v>
      </c>
      <c r="B4870">
        <v>1484</v>
      </c>
      <c r="C4870" t="s">
        <v>189</v>
      </c>
      <c r="D4870">
        <v>10430</v>
      </c>
      <c r="E4870" s="1">
        <v>2.8999999999999998E-3</v>
      </c>
      <c r="F4870" s="1">
        <v>2.5399999999999999E-2</v>
      </c>
      <c r="G4870" s="1">
        <v>0.7833</v>
      </c>
      <c r="H4870" s="1">
        <v>0.15279999999999999</v>
      </c>
      <c r="I4870" s="1">
        <v>6.9999999999999999E-4</v>
      </c>
      <c r="J4870" s="1">
        <v>8.9999999999999998E-4</v>
      </c>
      <c r="K4870" s="1">
        <v>2.5999999999999999E-2</v>
      </c>
      <c r="L4870" s="1">
        <v>2.2100000000000002E-2</v>
      </c>
      <c r="M4870" s="1">
        <v>5.5199999999999999E-2</v>
      </c>
    </row>
    <row r="4871" spans="1:13">
      <c r="A4871" s="25" t="s">
        <v>192</v>
      </c>
      <c r="B4871">
        <v>10430</v>
      </c>
      <c r="C4871" t="s">
        <v>192</v>
      </c>
      <c r="D4871">
        <v>10430</v>
      </c>
      <c r="E4871" s="1">
        <v>8.5000000000000006E-3</v>
      </c>
      <c r="F4871" s="1">
        <v>3.1699999999999999E-2</v>
      </c>
      <c r="G4871" s="1">
        <v>0.81230000000000002</v>
      </c>
      <c r="H4871" s="1">
        <v>0.12130000000000001</v>
      </c>
      <c r="I4871" s="1">
        <v>8.9999999999999998E-4</v>
      </c>
      <c r="J4871" s="1">
        <v>1.1000000000000001E-3</v>
      </c>
      <c r="K4871" s="1">
        <v>3.4799999999999998E-2</v>
      </c>
      <c r="L4871" s="1">
        <v>3.4599999999999999E-2</v>
      </c>
      <c r="M4871" s="1">
        <v>5.1900000000000002E-2</v>
      </c>
    </row>
    <row r="4873" spans="1:13" ht="43.5">
      <c r="A4873" s="25" t="s">
        <v>1415</v>
      </c>
    </row>
    <row r="4874" spans="1:13">
      <c r="A4874" s="25" t="s">
        <v>182</v>
      </c>
      <c r="B4874" t="s">
        <v>219</v>
      </c>
      <c r="C4874" t="s">
        <v>181</v>
      </c>
      <c r="D4874" t="s">
        <v>188</v>
      </c>
      <c r="E4874" t="s">
        <v>241</v>
      </c>
      <c r="F4874" t="s">
        <v>1299</v>
      </c>
      <c r="G4874" t="s">
        <v>1411</v>
      </c>
      <c r="H4874" t="s">
        <v>324</v>
      </c>
      <c r="I4874" t="s">
        <v>269</v>
      </c>
      <c r="J4874" t="s">
        <v>243</v>
      </c>
      <c r="K4874" t="s">
        <v>1300</v>
      </c>
      <c r="L4874" t="s">
        <v>1301</v>
      </c>
      <c r="M4874" t="s">
        <v>1302</v>
      </c>
    </row>
    <row r="4875" spans="1:13">
      <c r="A4875" s="25" t="s">
        <v>207</v>
      </c>
      <c r="B4875">
        <v>7252</v>
      </c>
      <c r="C4875" t="s">
        <v>189</v>
      </c>
      <c r="D4875">
        <v>10430</v>
      </c>
      <c r="E4875" s="1">
        <v>9.4000000000000004E-3</v>
      </c>
      <c r="F4875" s="1">
        <v>3.4000000000000002E-2</v>
      </c>
      <c r="G4875" s="1">
        <v>0.8014</v>
      </c>
      <c r="H4875" s="1">
        <v>0.12520000000000001</v>
      </c>
      <c r="I4875" s="1">
        <v>8.9999999999999998E-4</v>
      </c>
      <c r="J4875" s="1">
        <v>1.1000000000000001E-3</v>
      </c>
      <c r="K4875" s="1">
        <v>3.7400000000000003E-2</v>
      </c>
      <c r="L4875" s="1">
        <v>3.7199999999999997E-2</v>
      </c>
      <c r="M4875" s="1">
        <v>5.8400000000000001E-2</v>
      </c>
    </row>
    <row r="4876" spans="1:13">
      <c r="A4876" s="25" t="s">
        <v>208</v>
      </c>
      <c r="B4876">
        <v>2244</v>
      </c>
      <c r="C4876" t="s">
        <v>189</v>
      </c>
      <c r="D4876">
        <v>10430</v>
      </c>
      <c r="E4876" s="1">
        <v>5.7999999999999996E-3</v>
      </c>
      <c r="F4876" s="1">
        <v>1.77E-2</v>
      </c>
      <c r="G4876" s="1">
        <v>0.86</v>
      </c>
      <c r="H4876" s="1">
        <v>0.104</v>
      </c>
      <c r="I4876" s="1">
        <v>1.1000000000000001E-3</v>
      </c>
      <c r="J4876" s="1">
        <v>1E-3</v>
      </c>
      <c r="K4876" s="1">
        <v>1.8599999999999998E-2</v>
      </c>
      <c r="L4876" s="1">
        <v>1.6799999999999999E-2</v>
      </c>
      <c r="M4876" s="1">
        <v>2.4299999999999999E-2</v>
      </c>
    </row>
    <row r="4877" spans="1:13">
      <c r="A4877" s="25" t="s">
        <v>209</v>
      </c>
      <c r="B4877">
        <v>934</v>
      </c>
      <c r="C4877" t="s">
        <v>189</v>
      </c>
      <c r="D4877">
        <v>10430</v>
      </c>
      <c r="E4877" s="1">
        <v>7.4999999999999997E-3</v>
      </c>
      <c r="F4877" s="1">
        <v>5.1400000000000001E-2</v>
      </c>
      <c r="G4877" s="1">
        <v>0.77229999999999999</v>
      </c>
      <c r="H4877" s="1">
        <v>0.13689999999999999</v>
      </c>
      <c r="I4877" s="1">
        <v>4.0000000000000002E-4</v>
      </c>
      <c r="J4877" s="1">
        <v>1E-3</v>
      </c>
      <c r="K4877" s="1">
        <v>5.8099999999999999E-2</v>
      </c>
      <c r="L4877" s="1">
        <v>6.2799999999999995E-2</v>
      </c>
      <c r="M4877" s="1">
        <v>7.2999999999999995E-2</v>
      </c>
    </row>
    <row r="4878" spans="1:13">
      <c r="A4878" s="25" t="s">
        <v>192</v>
      </c>
      <c r="B4878">
        <v>10430</v>
      </c>
      <c r="C4878" t="s">
        <v>192</v>
      </c>
      <c r="D4878">
        <v>10430</v>
      </c>
      <c r="E4878" s="1">
        <v>8.5000000000000006E-3</v>
      </c>
      <c r="F4878" s="1">
        <v>3.1699999999999999E-2</v>
      </c>
      <c r="G4878" s="1">
        <v>0.81230000000000002</v>
      </c>
      <c r="H4878" s="1">
        <v>0.12130000000000001</v>
      </c>
      <c r="I4878" s="1">
        <v>8.9999999999999998E-4</v>
      </c>
      <c r="J4878" s="1">
        <v>1.1000000000000001E-3</v>
      </c>
      <c r="K4878" s="1">
        <v>3.4799999999999998E-2</v>
      </c>
      <c r="L4878" s="1">
        <v>3.4599999999999999E-2</v>
      </c>
      <c r="M4878" s="1">
        <v>5.1900000000000002E-2</v>
      </c>
    </row>
    <row r="4880" spans="1:13" ht="43.5">
      <c r="A4880" s="25" t="s">
        <v>1416</v>
      </c>
    </row>
    <row r="4881" spans="1:13">
      <c r="A4881" s="25" t="s">
        <v>182</v>
      </c>
      <c r="B4881" t="s">
        <v>219</v>
      </c>
      <c r="C4881" t="s">
        <v>181</v>
      </c>
      <c r="D4881" t="s">
        <v>188</v>
      </c>
      <c r="E4881" t="s">
        <v>241</v>
      </c>
      <c r="F4881" t="s">
        <v>1299</v>
      </c>
      <c r="G4881" t="s">
        <v>1411</v>
      </c>
      <c r="H4881" t="s">
        <v>324</v>
      </c>
      <c r="I4881" t="s">
        <v>269</v>
      </c>
      <c r="J4881" t="s">
        <v>243</v>
      </c>
      <c r="K4881" t="s">
        <v>1300</v>
      </c>
      <c r="L4881" t="s">
        <v>1301</v>
      </c>
      <c r="M4881" t="s">
        <v>1302</v>
      </c>
    </row>
    <row r="4882" spans="1:13">
      <c r="A4882" s="25" t="s">
        <v>211</v>
      </c>
      <c r="B4882">
        <v>4969</v>
      </c>
      <c r="C4882" t="s">
        <v>189</v>
      </c>
      <c r="D4882">
        <v>10430</v>
      </c>
      <c r="E4882" s="1">
        <v>8.2000000000000007E-3</v>
      </c>
      <c r="F4882" s="1">
        <v>2.8899999999999999E-2</v>
      </c>
      <c r="G4882" s="1">
        <v>0.80349999999999999</v>
      </c>
      <c r="H4882" s="1">
        <v>0.12909999999999999</v>
      </c>
      <c r="I4882" s="1">
        <v>8.9999999999999998E-4</v>
      </c>
      <c r="J4882" s="1">
        <v>6.9999999999999999E-4</v>
      </c>
      <c r="K4882" s="1">
        <v>3.5000000000000003E-2</v>
      </c>
      <c r="L4882" s="1">
        <v>3.4700000000000002E-2</v>
      </c>
      <c r="M4882" s="1">
        <v>5.4600000000000003E-2</v>
      </c>
    </row>
    <row r="4883" spans="1:13">
      <c r="A4883" s="25" t="s">
        <v>212</v>
      </c>
      <c r="B4883">
        <v>3375</v>
      </c>
      <c r="C4883" t="s">
        <v>189</v>
      </c>
      <c r="D4883">
        <v>10430</v>
      </c>
      <c r="E4883" s="1">
        <v>9.2999999999999992E-3</v>
      </c>
      <c r="F4883" s="1">
        <v>3.5700000000000003E-2</v>
      </c>
      <c r="G4883" s="1">
        <v>0.80289999999999995</v>
      </c>
      <c r="H4883" s="1">
        <v>0.1236</v>
      </c>
      <c r="I4883" s="1">
        <v>1.1999999999999999E-3</v>
      </c>
      <c r="J4883" s="1">
        <v>1.6000000000000001E-3</v>
      </c>
      <c r="K4883" s="1">
        <v>3.7699999999999997E-2</v>
      </c>
      <c r="L4883" s="1">
        <v>3.6799999999999999E-2</v>
      </c>
      <c r="M4883" s="1">
        <v>5.7799999999999997E-2</v>
      </c>
    </row>
    <row r="4884" spans="1:13">
      <c r="A4884" s="25" t="s">
        <v>213</v>
      </c>
      <c r="B4884">
        <v>2086</v>
      </c>
      <c r="C4884" t="s">
        <v>189</v>
      </c>
      <c r="D4884">
        <v>10430</v>
      </c>
      <c r="E4884" s="1">
        <v>7.7000000000000002E-3</v>
      </c>
      <c r="F4884" s="1">
        <v>3.2000000000000001E-2</v>
      </c>
      <c r="G4884" s="1">
        <v>0.84440000000000004</v>
      </c>
      <c r="H4884" s="1">
        <v>0.1016</v>
      </c>
      <c r="I4884" s="1">
        <v>5.0000000000000001E-4</v>
      </c>
      <c r="J4884" s="1">
        <v>1.4E-3</v>
      </c>
      <c r="K4884" s="1">
        <v>3.04E-2</v>
      </c>
      <c r="L4884" s="1">
        <v>3.1399999999999997E-2</v>
      </c>
      <c r="M4884" s="1">
        <v>3.7600000000000001E-2</v>
      </c>
    </row>
    <row r="4885" spans="1:13">
      <c r="A4885" s="25" t="s">
        <v>192</v>
      </c>
      <c r="B4885">
        <v>10430</v>
      </c>
      <c r="C4885" t="s">
        <v>192</v>
      </c>
      <c r="D4885">
        <v>10430</v>
      </c>
      <c r="E4885" s="1">
        <v>8.5000000000000006E-3</v>
      </c>
      <c r="F4885" s="1">
        <v>3.1699999999999999E-2</v>
      </c>
      <c r="G4885" s="1">
        <v>0.81230000000000002</v>
      </c>
      <c r="H4885" s="1">
        <v>0.12130000000000001</v>
      </c>
      <c r="I4885" s="1">
        <v>8.9999999999999998E-4</v>
      </c>
      <c r="J4885" s="1">
        <v>1.1000000000000001E-3</v>
      </c>
      <c r="K4885" s="1">
        <v>3.4799999999999998E-2</v>
      </c>
      <c r="L4885" s="1">
        <v>3.4599999999999999E-2</v>
      </c>
      <c r="M4885" s="1">
        <v>5.1900000000000002E-2</v>
      </c>
    </row>
    <row r="4887" spans="1:13" ht="43.5">
      <c r="A4887" s="25" t="s">
        <v>1417</v>
      </c>
    </row>
    <row r="4888" spans="1:13">
      <c r="A4888" s="25" t="s">
        <v>182</v>
      </c>
      <c r="B4888" t="s">
        <v>219</v>
      </c>
      <c r="C4888" t="s">
        <v>181</v>
      </c>
      <c r="D4888" t="s">
        <v>188</v>
      </c>
      <c r="E4888" t="s">
        <v>1309</v>
      </c>
      <c r="F4888" t="s">
        <v>241</v>
      </c>
      <c r="G4888" t="s">
        <v>1310</v>
      </c>
      <c r="H4888" t="s">
        <v>1311</v>
      </c>
      <c r="I4888" t="s">
        <v>1312</v>
      </c>
      <c r="J4888" t="s">
        <v>1313</v>
      </c>
      <c r="K4888" t="s">
        <v>243</v>
      </c>
    </row>
    <row r="4889" spans="1:13">
      <c r="A4889" s="25" t="s">
        <v>190</v>
      </c>
      <c r="B4889">
        <v>364</v>
      </c>
      <c r="C4889" t="s">
        <v>189</v>
      </c>
      <c r="D4889">
        <v>894</v>
      </c>
      <c r="E4889" s="1">
        <v>0.36270000000000002</v>
      </c>
      <c r="F4889" s="1">
        <v>1.6799999999999999E-2</v>
      </c>
      <c r="G4889" s="1">
        <v>3.9600000000000003E-2</v>
      </c>
      <c r="H4889" s="1">
        <v>0.26519999999999999</v>
      </c>
      <c r="I4889" s="1">
        <v>0.13059999999999999</v>
      </c>
      <c r="J4889" s="1">
        <v>0.18</v>
      </c>
      <c r="K4889" s="1">
        <v>5.1000000000000004E-3</v>
      </c>
    </row>
    <row r="4890" spans="1:13">
      <c r="A4890" s="25" t="s">
        <v>191</v>
      </c>
      <c r="B4890">
        <v>519</v>
      </c>
      <c r="C4890" t="s">
        <v>189</v>
      </c>
      <c r="D4890">
        <v>894</v>
      </c>
      <c r="E4890" s="1">
        <v>0.3175</v>
      </c>
      <c r="F4890" s="1">
        <v>4.2200000000000001E-2</v>
      </c>
      <c r="G4890" s="1">
        <v>1.44E-2</v>
      </c>
      <c r="H4890" s="1">
        <v>0.3463</v>
      </c>
      <c r="I4890" s="1">
        <v>0.13650000000000001</v>
      </c>
      <c r="J4890" s="1">
        <v>0.14130000000000001</v>
      </c>
      <c r="K4890" s="1">
        <v>1.6999999999999999E-3</v>
      </c>
    </row>
    <row r="4891" spans="1:13">
      <c r="A4891" s="25" t="s">
        <v>192</v>
      </c>
      <c r="B4891">
        <v>894</v>
      </c>
      <c r="C4891" t="s">
        <v>192</v>
      </c>
      <c r="D4891">
        <v>894</v>
      </c>
      <c r="E4891" s="1">
        <v>0.32919999999999999</v>
      </c>
      <c r="F4891" s="1">
        <v>3.56E-2</v>
      </c>
      <c r="G4891" s="1">
        <v>2.0799999999999999E-2</v>
      </c>
      <c r="H4891" s="1">
        <v>0.32600000000000001</v>
      </c>
      <c r="I4891" s="1">
        <v>0.1351</v>
      </c>
      <c r="J4891" s="1">
        <v>0.1507</v>
      </c>
      <c r="K4891" s="1">
        <v>2.5999999999999999E-3</v>
      </c>
    </row>
    <row r="4893" spans="1:13" ht="43.5">
      <c r="A4893" s="25" t="s">
        <v>1418</v>
      </c>
    </row>
    <row r="4894" spans="1:13">
      <c r="A4894" s="25" t="s">
        <v>182</v>
      </c>
      <c r="B4894" t="s">
        <v>219</v>
      </c>
      <c r="C4894" t="s">
        <v>181</v>
      </c>
      <c r="D4894" t="s">
        <v>188</v>
      </c>
      <c r="E4894" t="s">
        <v>1309</v>
      </c>
      <c r="F4894" t="s">
        <v>241</v>
      </c>
      <c r="G4894" t="s">
        <v>1310</v>
      </c>
      <c r="H4894" t="s">
        <v>1311</v>
      </c>
      <c r="I4894" t="s">
        <v>1312</v>
      </c>
      <c r="J4894" t="s">
        <v>1313</v>
      </c>
      <c r="K4894" t="s">
        <v>243</v>
      </c>
    </row>
    <row r="4895" spans="1:13" ht="29.1">
      <c r="A4895" s="25" t="s">
        <v>194</v>
      </c>
      <c r="B4895">
        <v>197</v>
      </c>
      <c r="C4895" t="s">
        <v>189</v>
      </c>
      <c r="D4895">
        <v>894</v>
      </c>
      <c r="E4895" s="1">
        <v>0.39340000000000003</v>
      </c>
      <c r="F4895" s="1">
        <v>6.2700000000000006E-2</v>
      </c>
      <c r="G4895" s="1">
        <v>2.01E-2</v>
      </c>
      <c r="H4895" s="1">
        <v>0.3342</v>
      </c>
      <c r="I4895" s="1">
        <v>6.7599999999999993E-2</v>
      </c>
      <c r="J4895" s="1">
        <v>0.122</v>
      </c>
    </row>
    <row r="4896" spans="1:13" ht="29.1">
      <c r="A4896" s="25" t="s">
        <v>195</v>
      </c>
      <c r="B4896">
        <v>255</v>
      </c>
      <c r="C4896" t="s">
        <v>189</v>
      </c>
      <c r="D4896">
        <v>894</v>
      </c>
      <c r="E4896" s="1">
        <v>0.26519999999999999</v>
      </c>
      <c r="F4896" s="1">
        <v>7.4000000000000003E-3</v>
      </c>
      <c r="G4896" s="1">
        <v>5.1999999999999998E-3</v>
      </c>
      <c r="H4896" s="1">
        <v>0.34460000000000002</v>
      </c>
      <c r="I4896" s="1">
        <v>0.21540000000000001</v>
      </c>
      <c r="J4896" s="1">
        <v>0.16220000000000001</v>
      </c>
    </row>
    <row r="4897" spans="1:11" ht="29.1">
      <c r="A4897" s="25" t="s">
        <v>196</v>
      </c>
      <c r="B4897">
        <v>431</v>
      </c>
      <c r="C4897" t="s">
        <v>189</v>
      </c>
      <c r="D4897">
        <v>894</v>
      </c>
      <c r="E4897" s="1">
        <v>0.2722</v>
      </c>
      <c r="F4897" s="1">
        <v>1.3599999999999999E-2</v>
      </c>
      <c r="G4897" s="1">
        <v>3.6499999999999998E-2</v>
      </c>
      <c r="H4897" s="1">
        <v>0.29310000000000003</v>
      </c>
      <c r="I4897" s="1">
        <v>0.18190000000000001</v>
      </c>
      <c r="J4897" s="1">
        <v>0.19320000000000001</v>
      </c>
      <c r="K4897" s="1">
        <v>9.5999999999999992E-3</v>
      </c>
    </row>
    <row r="4898" spans="1:11">
      <c r="A4898" s="25" t="s">
        <v>192</v>
      </c>
      <c r="B4898">
        <v>894</v>
      </c>
      <c r="C4898" t="s">
        <v>192</v>
      </c>
      <c r="D4898">
        <v>894</v>
      </c>
      <c r="E4898" s="1">
        <v>0.32919999999999999</v>
      </c>
      <c r="F4898" s="1">
        <v>3.56E-2</v>
      </c>
      <c r="G4898" s="1">
        <v>2.0799999999999999E-2</v>
      </c>
      <c r="H4898" s="1">
        <v>0.32600000000000001</v>
      </c>
      <c r="I4898" s="1">
        <v>0.1351</v>
      </c>
      <c r="J4898" s="1">
        <v>0.1507</v>
      </c>
      <c r="K4898" s="1">
        <v>2.5999999999999999E-3</v>
      </c>
    </row>
    <row r="4900" spans="1:11" ht="43.5">
      <c r="A4900" s="25" t="s">
        <v>1419</v>
      </c>
    </row>
    <row r="4901" spans="1:11">
      <c r="A4901" s="25" t="s">
        <v>182</v>
      </c>
      <c r="B4901" t="s">
        <v>219</v>
      </c>
      <c r="C4901" t="s">
        <v>181</v>
      </c>
      <c r="D4901" t="s">
        <v>188</v>
      </c>
      <c r="E4901" t="s">
        <v>1309</v>
      </c>
      <c r="F4901" t="s">
        <v>241</v>
      </c>
      <c r="G4901" t="s">
        <v>1310</v>
      </c>
      <c r="H4901" t="s">
        <v>1311</v>
      </c>
      <c r="I4901" t="s">
        <v>1312</v>
      </c>
      <c r="J4901" t="s">
        <v>1313</v>
      </c>
      <c r="K4901" t="s">
        <v>243</v>
      </c>
    </row>
    <row r="4902" spans="1:11">
      <c r="A4902" s="25" t="s">
        <v>198</v>
      </c>
      <c r="B4902">
        <v>266</v>
      </c>
      <c r="C4902" t="s">
        <v>189</v>
      </c>
      <c r="D4902">
        <v>894</v>
      </c>
      <c r="E4902" s="1">
        <v>0.3805</v>
      </c>
      <c r="F4902" s="1">
        <v>9.1000000000000004E-3</v>
      </c>
      <c r="G4902" s="1">
        <v>3.1899999999999998E-2</v>
      </c>
      <c r="H4902" s="1">
        <v>0.38129999999999997</v>
      </c>
      <c r="I4902" s="1">
        <v>7.6499999999999999E-2</v>
      </c>
      <c r="J4902" s="1">
        <v>0.1197</v>
      </c>
      <c r="K4902" s="1">
        <v>1E-3</v>
      </c>
    </row>
    <row r="4903" spans="1:11">
      <c r="A4903" s="25" t="s">
        <v>199</v>
      </c>
      <c r="B4903">
        <v>628</v>
      </c>
      <c r="C4903" t="s">
        <v>189</v>
      </c>
      <c r="D4903">
        <v>894</v>
      </c>
      <c r="E4903" s="1">
        <v>0.312</v>
      </c>
      <c r="F4903" s="1">
        <v>4.4499999999999998E-2</v>
      </c>
      <c r="G4903" s="1">
        <v>1.7000000000000001E-2</v>
      </c>
      <c r="H4903" s="1">
        <v>0.3075</v>
      </c>
      <c r="I4903" s="1">
        <v>0.15479999999999999</v>
      </c>
      <c r="J4903" s="1">
        <v>0.16109999999999999</v>
      </c>
      <c r="K4903" s="1">
        <v>3.0999999999999999E-3</v>
      </c>
    </row>
    <row r="4904" spans="1:11">
      <c r="A4904" s="25" t="s">
        <v>192</v>
      </c>
      <c r="B4904">
        <v>894</v>
      </c>
      <c r="C4904" t="s">
        <v>192</v>
      </c>
      <c r="D4904">
        <v>894</v>
      </c>
      <c r="E4904" s="1">
        <v>0.32919999999999999</v>
      </c>
      <c r="F4904" s="1">
        <v>3.56E-2</v>
      </c>
      <c r="G4904" s="1">
        <v>2.0799999999999999E-2</v>
      </c>
      <c r="H4904" s="1">
        <v>0.32600000000000001</v>
      </c>
      <c r="I4904" s="1">
        <v>0.1351</v>
      </c>
      <c r="J4904" s="1">
        <v>0.1507</v>
      </c>
      <c r="K4904" s="1">
        <v>2.5999999999999999E-3</v>
      </c>
    </row>
    <row r="4906" spans="1:11" ht="43.5">
      <c r="A4906" s="25" t="s">
        <v>1420</v>
      </c>
    </row>
    <row r="4907" spans="1:11">
      <c r="A4907" s="25" t="s">
        <v>182</v>
      </c>
      <c r="B4907" t="s">
        <v>219</v>
      </c>
      <c r="C4907" t="s">
        <v>181</v>
      </c>
      <c r="D4907" t="s">
        <v>188</v>
      </c>
      <c r="E4907" t="s">
        <v>1309</v>
      </c>
      <c r="F4907" t="s">
        <v>241</v>
      </c>
      <c r="G4907" t="s">
        <v>1310</v>
      </c>
      <c r="H4907" t="s">
        <v>1311</v>
      </c>
      <c r="I4907" t="s">
        <v>1312</v>
      </c>
      <c r="J4907" t="s">
        <v>1313</v>
      </c>
      <c r="K4907" t="s">
        <v>243</v>
      </c>
    </row>
    <row r="4908" spans="1:11">
      <c r="A4908" s="25" t="s">
        <v>201</v>
      </c>
      <c r="B4908">
        <v>449</v>
      </c>
      <c r="C4908" t="s">
        <v>189</v>
      </c>
      <c r="D4908">
        <v>894</v>
      </c>
      <c r="E4908" s="1">
        <v>0.378</v>
      </c>
      <c r="F4908" s="1">
        <v>4.2000000000000003E-2</v>
      </c>
      <c r="G4908" s="1">
        <v>9.4000000000000004E-3</v>
      </c>
      <c r="H4908" s="1">
        <v>0.33560000000000001</v>
      </c>
      <c r="I4908" s="1">
        <v>0.1172</v>
      </c>
      <c r="J4908" s="1">
        <v>0.1178</v>
      </c>
    </row>
    <row r="4909" spans="1:11">
      <c r="A4909" s="25" t="s">
        <v>202</v>
      </c>
      <c r="B4909">
        <v>48</v>
      </c>
      <c r="C4909" t="s">
        <v>189</v>
      </c>
      <c r="D4909">
        <v>894</v>
      </c>
      <c r="E4909" s="1">
        <v>0.24740000000000001</v>
      </c>
      <c r="G4909" s="1">
        <v>6.9500000000000006E-2</v>
      </c>
      <c r="H4909" s="1">
        <v>0.47739999999999999</v>
      </c>
      <c r="I4909" s="1">
        <v>0.1086</v>
      </c>
      <c r="J4909" s="1">
        <v>9.7100000000000006E-2</v>
      </c>
    </row>
    <row r="4910" spans="1:11">
      <c r="A4910" s="25" t="s">
        <v>203</v>
      </c>
      <c r="B4910">
        <v>188</v>
      </c>
      <c r="C4910" t="s">
        <v>189</v>
      </c>
      <c r="D4910">
        <v>894</v>
      </c>
      <c r="E4910" s="1">
        <v>0.17660000000000001</v>
      </c>
      <c r="F4910" s="1">
        <v>4.0300000000000002E-2</v>
      </c>
      <c r="G4910" s="1">
        <v>4.2200000000000001E-2</v>
      </c>
      <c r="H4910" s="1">
        <v>0.32490000000000002</v>
      </c>
      <c r="I4910" s="1">
        <v>0.15440000000000001</v>
      </c>
      <c r="J4910" s="1">
        <v>0.25019999999999998</v>
      </c>
      <c r="K4910" s="1">
        <v>1.1599999999999999E-2</v>
      </c>
    </row>
    <row r="4911" spans="1:11">
      <c r="A4911" s="25" t="s">
        <v>204</v>
      </c>
      <c r="B4911">
        <v>8</v>
      </c>
      <c r="C4911" t="s">
        <v>189</v>
      </c>
      <c r="D4911">
        <v>894</v>
      </c>
      <c r="E4911" s="1">
        <v>0.3538</v>
      </c>
      <c r="F4911" s="1">
        <v>0.1951</v>
      </c>
      <c r="H4911" s="1">
        <v>0.29480000000000001</v>
      </c>
      <c r="J4911" s="1">
        <v>0.15629999999999999</v>
      </c>
    </row>
    <row r="4912" spans="1:11">
      <c r="A4912" s="25" t="s">
        <v>205</v>
      </c>
      <c r="B4912">
        <v>201</v>
      </c>
      <c r="C4912" t="s">
        <v>189</v>
      </c>
      <c r="D4912">
        <v>894</v>
      </c>
      <c r="E4912" s="1">
        <v>0.21909999999999999</v>
      </c>
      <c r="F4912" s="1">
        <v>4.4999999999999997E-3</v>
      </c>
      <c r="G4912" s="1">
        <v>5.1900000000000002E-2</v>
      </c>
      <c r="H4912" s="1">
        <v>0.24940000000000001</v>
      </c>
      <c r="I4912" s="1">
        <v>0.21759999999999999</v>
      </c>
      <c r="J4912" s="1">
        <v>0.2485</v>
      </c>
      <c r="K4912" s="1">
        <v>8.9999999999999993E-3</v>
      </c>
    </row>
    <row r="4913" spans="1:11">
      <c r="A4913" s="25" t="s">
        <v>192</v>
      </c>
      <c r="B4913">
        <v>894</v>
      </c>
      <c r="C4913" t="s">
        <v>192</v>
      </c>
      <c r="D4913">
        <v>894</v>
      </c>
      <c r="E4913" s="1">
        <v>0.32919999999999999</v>
      </c>
      <c r="F4913" s="1">
        <v>3.56E-2</v>
      </c>
      <c r="G4913" s="1">
        <v>2.0799999999999999E-2</v>
      </c>
      <c r="H4913" s="1">
        <v>0.32600000000000001</v>
      </c>
      <c r="I4913" s="1">
        <v>0.1351</v>
      </c>
      <c r="J4913" s="1">
        <v>0.1507</v>
      </c>
      <c r="K4913" s="1">
        <v>2.5999999999999999E-3</v>
      </c>
    </row>
    <row r="4915" spans="1:11" ht="43.5">
      <c r="A4915" s="25" t="s">
        <v>1421</v>
      </c>
    </row>
    <row r="4916" spans="1:11">
      <c r="A4916" s="25" t="s">
        <v>182</v>
      </c>
      <c r="B4916" t="s">
        <v>219</v>
      </c>
      <c r="C4916" t="s">
        <v>181</v>
      </c>
      <c r="D4916" t="s">
        <v>188</v>
      </c>
      <c r="E4916" t="s">
        <v>1309</v>
      </c>
      <c r="F4916" t="s">
        <v>241</v>
      </c>
      <c r="G4916" t="s">
        <v>1310</v>
      </c>
      <c r="H4916" t="s">
        <v>1311</v>
      </c>
      <c r="I4916" t="s">
        <v>1312</v>
      </c>
      <c r="J4916" t="s">
        <v>1313</v>
      </c>
      <c r="K4916" t="s">
        <v>243</v>
      </c>
    </row>
    <row r="4917" spans="1:11">
      <c r="A4917" s="25" t="s">
        <v>207</v>
      </c>
      <c r="B4917">
        <v>640</v>
      </c>
      <c r="C4917" t="s">
        <v>189</v>
      </c>
      <c r="D4917">
        <v>894</v>
      </c>
      <c r="E4917" s="1">
        <v>0.31209999999999999</v>
      </c>
      <c r="F4917" s="1">
        <v>3.6999999999999998E-2</v>
      </c>
      <c r="G4917" s="1">
        <v>2.1299999999999999E-2</v>
      </c>
      <c r="H4917" s="1">
        <v>0.33260000000000001</v>
      </c>
      <c r="I4917" s="1">
        <v>0.1381</v>
      </c>
      <c r="J4917" s="1">
        <v>0.15679999999999999</v>
      </c>
      <c r="K4917" s="1">
        <v>2.0999999999999999E-3</v>
      </c>
    </row>
    <row r="4918" spans="1:11">
      <c r="A4918" s="25" t="s">
        <v>208</v>
      </c>
      <c r="B4918">
        <v>144</v>
      </c>
      <c r="C4918" t="s">
        <v>189</v>
      </c>
      <c r="D4918">
        <v>894</v>
      </c>
      <c r="E4918" s="1">
        <v>0.40910000000000002</v>
      </c>
      <c r="F4918" s="1">
        <v>4.5100000000000001E-2</v>
      </c>
      <c r="G4918" s="1">
        <v>1.3599999999999999E-2</v>
      </c>
      <c r="H4918" s="1">
        <v>0.23100000000000001</v>
      </c>
      <c r="I4918" s="1">
        <v>0.1678</v>
      </c>
      <c r="J4918" s="1">
        <v>0.12559999999999999</v>
      </c>
      <c r="K4918" s="1">
        <v>8.0000000000000002E-3</v>
      </c>
    </row>
    <row r="4919" spans="1:11">
      <c r="A4919" s="25" t="s">
        <v>209</v>
      </c>
      <c r="B4919">
        <v>110</v>
      </c>
      <c r="C4919" t="s">
        <v>189</v>
      </c>
      <c r="D4919">
        <v>894</v>
      </c>
      <c r="E4919" s="1">
        <v>0.3649</v>
      </c>
      <c r="F4919" s="1">
        <v>1.7000000000000001E-2</v>
      </c>
      <c r="G4919" s="1">
        <v>2.4299999999999999E-2</v>
      </c>
      <c r="H4919" s="1">
        <v>0.3775</v>
      </c>
      <c r="I4919" s="1">
        <v>8.1699999999999995E-2</v>
      </c>
      <c r="J4919" s="1">
        <v>0.1346</v>
      </c>
    </row>
    <row r="4920" spans="1:11">
      <c r="A4920" s="25" t="s">
        <v>192</v>
      </c>
      <c r="B4920">
        <v>894</v>
      </c>
      <c r="C4920" t="s">
        <v>192</v>
      </c>
      <c r="D4920">
        <v>894</v>
      </c>
      <c r="E4920" s="1">
        <v>0.32919999999999999</v>
      </c>
      <c r="F4920" s="1">
        <v>3.56E-2</v>
      </c>
      <c r="G4920" s="1">
        <v>2.0799999999999999E-2</v>
      </c>
      <c r="H4920" s="1">
        <v>0.32600000000000001</v>
      </c>
      <c r="I4920" s="1">
        <v>0.1351</v>
      </c>
      <c r="J4920" s="1">
        <v>0.1507</v>
      </c>
      <c r="K4920" s="1">
        <v>2.5999999999999999E-3</v>
      </c>
    </row>
    <row r="4922" spans="1:11" ht="43.5">
      <c r="A4922" s="25" t="s">
        <v>1422</v>
      </c>
    </row>
    <row r="4923" spans="1:11">
      <c r="A4923" s="25" t="s">
        <v>182</v>
      </c>
      <c r="B4923" t="s">
        <v>219</v>
      </c>
      <c r="C4923" t="s">
        <v>181</v>
      </c>
      <c r="D4923" t="s">
        <v>188</v>
      </c>
      <c r="E4923" t="s">
        <v>1309</v>
      </c>
      <c r="F4923" t="s">
        <v>241</v>
      </c>
      <c r="G4923" t="s">
        <v>1310</v>
      </c>
      <c r="H4923" t="s">
        <v>1311</v>
      </c>
      <c r="I4923" t="s">
        <v>1312</v>
      </c>
      <c r="J4923" t="s">
        <v>1313</v>
      </c>
      <c r="K4923" t="s">
        <v>243</v>
      </c>
    </row>
    <row r="4924" spans="1:11">
      <c r="A4924" s="25" t="s">
        <v>211</v>
      </c>
      <c r="B4924">
        <v>386</v>
      </c>
      <c r="C4924" t="s">
        <v>189</v>
      </c>
      <c r="D4924">
        <v>894</v>
      </c>
      <c r="E4924" s="1">
        <v>0.31690000000000002</v>
      </c>
      <c r="F4924" s="1">
        <v>5.4000000000000003E-3</v>
      </c>
      <c r="G4924" s="1">
        <v>2.63E-2</v>
      </c>
      <c r="H4924" s="1">
        <v>0.32369999999999999</v>
      </c>
      <c r="I4924" s="1">
        <v>0.15210000000000001</v>
      </c>
      <c r="J4924" s="1">
        <v>0.17480000000000001</v>
      </c>
      <c r="K4924" s="1">
        <v>8.0000000000000004E-4</v>
      </c>
    </row>
    <row r="4925" spans="1:11">
      <c r="A4925" s="25" t="s">
        <v>212</v>
      </c>
      <c r="B4925">
        <v>346</v>
      </c>
      <c r="C4925" t="s">
        <v>189</v>
      </c>
      <c r="D4925">
        <v>894</v>
      </c>
      <c r="E4925" s="1">
        <v>0.26469999999999999</v>
      </c>
      <c r="F4925" s="1">
        <v>8.7300000000000003E-2</v>
      </c>
      <c r="G4925" s="1">
        <v>7.1000000000000004E-3</v>
      </c>
      <c r="H4925" s="1">
        <v>0.37709999999999999</v>
      </c>
      <c r="I4925" s="1">
        <v>0.13750000000000001</v>
      </c>
      <c r="J4925" s="1">
        <v>0.1207</v>
      </c>
      <c r="K4925" s="1">
        <v>5.5999999999999999E-3</v>
      </c>
    </row>
    <row r="4926" spans="1:11">
      <c r="A4926" s="25" t="s">
        <v>213</v>
      </c>
      <c r="B4926">
        <v>162</v>
      </c>
      <c r="C4926" t="s">
        <v>189</v>
      </c>
      <c r="D4926">
        <v>894</v>
      </c>
      <c r="E4926" s="1">
        <v>0.49519999999999997</v>
      </c>
      <c r="F4926" s="1">
        <v>1.4800000000000001E-2</v>
      </c>
      <c r="G4926" s="1">
        <v>3.3300000000000003E-2</v>
      </c>
      <c r="H4926" s="1">
        <v>0.22819999999999999</v>
      </c>
      <c r="I4926" s="1">
        <v>8.2600000000000007E-2</v>
      </c>
      <c r="J4926" s="1">
        <v>0.1444</v>
      </c>
      <c r="K4926" s="1">
        <v>1.5E-3</v>
      </c>
    </row>
    <row r="4927" spans="1:11">
      <c r="A4927" s="25" t="s">
        <v>192</v>
      </c>
      <c r="B4927">
        <v>894</v>
      </c>
      <c r="C4927" t="s">
        <v>192</v>
      </c>
      <c r="D4927">
        <v>894</v>
      </c>
      <c r="E4927" s="1">
        <v>0.32919999999999999</v>
      </c>
      <c r="F4927" s="1">
        <v>3.56E-2</v>
      </c>
      <c r="G4927" s="1">
        <v>2.0799999999999999E-2</v>
      </c>
      <c r="H4927" s="1">
        <v>0.32600000000000001</v>
      </c>
      <c r="I4927" s="1">
        <v>0.1351</v>
      </c>
      <c r="J4927" s="1">
        <v>0.1507</v>
      </c>
      <c r="K4927" s="1">
        <v>2.5999999999999999E-3</v>
      </c>
    </row>
    <row r="4929" spans="1:23" ht="43.5">
      <c r="A4929" s="25" t="s">
        <v>1423</v>
      </c>
    </row>
    <row r="4930" spans="1:23">
      <c r="A4930" s="25" t="s">
        <v>182</v>
      </c>
      <c r="B4930" t="s">
        <v>219</v>
      </c>
      <c r="C4930" t="s">
        <v>181</v>
      </c>
      <c r="D4930" t="s">
        <v>188</v>
      </c>
      <c r="E4930" t="s">
        <v>1424</v>
      </c>
      <c r="F4930" t="s">
        <v>1425</v>
      </c>
      <c r="G4930" t="s">
        <v>241</v>
      </c>
      <c r="H4930" t="s">
        <v>1426</v>
      </c>
      <c r="I4930" t="s">
        <v>1427</v>
      </c>
      <c r="J4930" t="s">
        <v>243</v>
      </c>
      <c r="K4930" t="s">
        <v>1428</v>
      </c>
      <c r="L4930" t="s">
        <v>1429</v>
      </c>
      <c r="M4930" t="s">
        <v>1430</v>
      </c>
      <c r="N4930" t="s">
        <v>1431</v>
      </c>
      <c r="O4930" t="s">
        <v>1432</v>
      </c>
      <c r="P4930" t="s">
        <v>1433</v>
      </c>
      <c r="Q4930" t="s">
        <v>1434</v>
      </c>
      <c r="R4930" t="s">
        <v>1435</v>
      </c>
      <c r="S4930" t="s">
        <v>1436</v>
      </c>
      <c r="T4930" t="s">
        <v>1437</v>
      </c>
      <c r="U4930" t="s">
        <v>1438</v>
      </c>
      <c r="V4930" t="s">
        <v>1439</v>
      </c>
      <c r="W4930" t="s">
        <v>1440</v>
      </c>
    </row>
    <row r="4931" spans="1:23">
      <c r="A4931" s="25" t="s">
        <v>190</v>
      </c>
      <c r="B4931">
        <v>4902</v>
      </c>
      <c r="C4931" t="s">
        <v>189</v>
      </c>
      <c r="D4931">
        <v>10431</v>
      </c>
      <c r="E4931" s="1">
        <v>6.4399999999999999E-2</v>
      </c>
      <c r="G4931" s="1">
        <v>5.0000000000000001E-4</v>
      </c>
      <c r="H4931" s="1">
        <v>6.0000000000000001E-3</v>
      </c>
      <c r="I4931" s="1">
        <v>1E-3</v>
      </c>
      <c r="J4931" s="1">
        <v>1E-4</v>
      </c>
      <c r="K4931" s="1">
        <v>1.72E-2</v>
      </c>
      <c r="L4931" s="1">
        <v>0.50760000000000005</v>
      </c>
      <c r="M4931" s="1">
        <v>7.9000000000000008E-3</v>
      </c>
      <c r="N4931" s="1">
        <v>1.34E-2</v>
      </c>
      <c r="O4931" s="1">
        <v>6.9999999999999999E-4</v>
      </c>
      <c r="P4931" s="1">
        <v>0</v>
      </c>
      <c r="Q4931" s="1">
        <v>5.9999999999999995E-4</v>
      </c>
      <c r="R4931" s="1">
        <v>0.27729999999999999</v>
      </c>
      <c r="S4931" s="1">
        <v>9.4999999999999998E-3</v>
      </c>
      <c r="T4931" s="1">
        <v>2.3300000000000001E-2</v>
      </c>
      <c r="U4931" s="1">
        <v>8.9999999999999998E-4</v>
      </c>
      <c r="V4931" s="1">
        <v>5.0500000000000003E-2</v>
      </c>
      <c r="W4931" s="1">
        <v>1.9099999999999999E-2</v>
      </c>
    </row>
    <row r="4932" spans="1:23">
      <c r="A4932" s="25" t="s">
        <v>191</v>
      </c>
      <c r="B4932">
        <v>5472</v>
      </c>
      <c r="C4932" t="s">
        <v>189</v>
      </c>
      <c r="D4932">
        <v>10431</v>
      </c>
      <c r="E4932" s="1">
        <v>0.19600000000000001</v>
      </c>
      <c r="F4932" s="1">
        <v>2.0000000000000001E-4</v>
      </c>
      <c r="G4932" s="1">
        <v>1E-4</v>
      </c>
      <c r="H4932" s="1">
        <v>2.8999999999999998E-3</v>
      </c>
      <c r="I4932" s="1">
        <v>2.0000000000000001E-4</v>
      </c>
      <c r="J4932" s="1">
        <v>0</v>
      </c>
      <c r="K4932" s="1">
        <v>5.5999999999999999E-3</v>
      </c>
      <c r="L4932" s="1">
        <v>9.5500000000000002E-2</v>
      </c>
      <c r="M4932" s="1">
        <v>3.2099999999999997E-2</v>
      </c>
      <c r="N4932" s="1">
        <v>5.8999999999999999E-3</v>
      </c>
      <c r="O4932" s="1">
        <v>2.0000000000000001E-4</v>
      </c>
      <c r="Q4932" s="1">
        <v>2.9999999999999997E-4</v>
      </c>
      <c r="R4932" s="1">
        <v>0.4375</v>
      </c>
      <c r="S4932" s="1">
        <v>2.53E-2</v>
      </c>
      <c r="T4932" s="1">
        <v>1.7600000000000001E-2</v>
      </c>
      <c r="U4932" s="1">
        <v>8.0000000000000004E-4</v>
      </c>
      <c r="V4932" s="1">
        <v>6.4999999999999997E-3</v>
      </c>
      <c r="W4932" s="1">
        <v>0.1734</v>
      </c>
    </row>
    <row r="4933" spans="1:23">
      <c r="A4933" s="25" t="s">
        <v>192</v>
      </c>
      <c r="B4933">
        <v>10431</v>
      </c>
      <c r="C4933" t="s">
        <v>192</v>
      </c>
      <c r="D4933">
        <v>10431</v>
      </c>
      <c r="E4933" s="1">
        <v>0.1459</v>
      </c>
      <c r="F4933" s="1">
        <v>1E-4</v>
      </c>
      <c r="G4933" s="1">
        <v>2.0000000000000001E-4</v>
      </c>
      <c r="H4933" s="1">
        <v>4.1000000000000003E-3</v>
      </c>
      <c r="I4933" s="1">
        <v>5.0000000000000001E-4</v>
      </c>
      <c r="J4933" s="1">
        <v>1E-4</v>
      </c>
      <c r="K4933" s="1">
        <v>0.01</v>
      </c>
      <c r="L4933" s="1">
        <v>0.25269999999999998</v>
      </c>
      <c r="M4933" s="1">
        <v>2.2800000000000001E-2</v>
      </c>
      <c r="N4933" s="1">
        <v>8.8000000000000005E-3</v>
      </c>
      <c r="O4933" s="1">
        <v>4.0000000000000002E-4</v>
      </c>
      <c r="P4933" s="1">
        <v>0</v>
      </c>
      <c r="Q4933" s="1">
        <v>4.0000000000000002E-4</v>
      </c>
      <c r="R4933" s="1">
        <v>0.37630000000000002</v>
      </c>
      <c r="S4933" s="1">
        <v>1.9199999999999998E-2</v>
      </c>
      <c r="T4933" s="1">
        <v>1.9800000000000002E-2</v>
      </c>
      <c r="U4933" s="1">
        <v>8.0000000000000004E-4</v>
      </c>
      <c r="V4933" s="1">
        <v>2.3400000000000001E-2</v>
      </c>
      <c r="W4933" s="1">
        <v>0.1144</v>
      </c>
    </row>
    <row r="4935" spans="1:23" ht="43.5">
      <c r="A4935" s="25" t="s">
        <v>1441</v>
      </c>
    </row>
    <row r="4936" spans="1:23">
      <c r="A4936" s="25" t="s">
        <v>182</v>
      </c>
      <c r="B4936" t="s">
        <v>219</v>
      </c>
      <c r="C4936" t="s">
        <v>181</v>
      </c>
      <c r="D4936" t="s">
        <v>188</v>
      </c>
      <c r="E4936" t="s">
        <v>1424</v>
      </c>
      <c r="F4936" t="s">
        <v>1425</v>
      </c>
      <c r="G4936" t="s">
        <v>241</v>
      </c>
      <c r="H4936" t="s">
        <v>1426</v>
      </c>
      <c r="I4936" t="s">
        <v>1427</v>
      </c>
      <c r="J4936" t="s">
        <v>243</v>
      </c>
      <c r="K4936" t="s">
        <v>1428</v>
      </c>
      <c r="L4936" t="s">
        <v>1429</v>
      </c>
      <c r="M4936" t="s">
        <v>1430</v>
      </c>
      <c r="N4936" t="s">
        <v>1431</v>
      </c>
      <c r="O4936" t="s">
        <v>1432</v>
      </c>
      <c r="P4936" t="s">
        <v>1433</v>
      </c>
      <c r="Q4936" t="s">
        <v>1434</v>
      </c>
      <c r="R4936" t="s">
        <v>1435</v>
      </c>
      <c r="S4936" t="s">
        <v>1436</v>
      </c>
      <c r="T4936" t="s">
        <v>1437</v>
      </c>
      <c r="U4936" t="s">
        <v>1438</v>
      </c>
      <c r="V4936" t="s">
        <v>1439</v>
      </c>
      <c r="W4936" t="s">
        <v>1440</v>
      </c>
    </row>
    <row r="4937" spans="1:23" ht="29.1">
      <c r="A4937" s="25" t="s">
        <v>194</v>
      </c>
      <c r="B4937">
        <v>5951</v>
      </c>
      <c r="C4937" t="s">
        <v>189</v>
      </c>
      <c r="D4937">
        <v>10431</v>
      </c>
      <c r="E4937" s="1">
        <v>0.1227</v>
      </c>
      <c r="G4937" s="1">
        <v>2.9999999999999997E-4</v>
      </c>
      <c r="H4937" s="1">
        <v>5.3E-3</v>
      </c>
      <c r="I4937" s="1">
        <v>5.9999999999999995E-4</v>
      </c>
      <c r="J4937" s="1">
        <v>1E-4</v>
      </c>
      <c r="K4937" s="1">
        <v>9.7999999999999997E-3</v>
      </c>
      <c r="L4937" s="1">
        <v>0.2928</v>
      </c>
      <c r="M4937" s="1">
        <v>2.1000000000000001E-2</v>
      </c>
      <c r="N4937" s="1">
        <v>6.8999999999999999E-3</v>
      </c>
      <c r="O4937" s="1">
        <v>4.0000000000000002E-4</v>
      </c>
      <c r="Q4937" s="1">
        <v>5.0000000000000001E-4</v>
      </c>
      <c r="R4937" s="1">
        <v>0.38119999999999998</v>
      </c>
      <c r="S4937" s="1">
        <v>2.3099999999999999E-2</v>
      </c>
      <c r="T4937" s="1">
        <v>1.1599999999999999E-2</v>
      </c>
      <c r="U4937" s="1">
        <v>5.9999999999999995E-4</v>
      </c>
      <c r="V4937" s="1">
        <v>2.81E-2</v>
      </c>
      <c r="W4937" s="1">
        <v>9.5100000000000004E-2</v>
      </c>
    </row>
    <row r="4938" spans="1:23" ht="29.1">
      <c r="A4938" s="25" t="s">
        <v>195</v>
      </c>
      <c r="B4938">
        <v>2703</v>
      </c>
      <c r="C4938" t="s">
        <v>189</v>
      </c>
      <c r="D4938">
        <v>10431</v>
      </c>
      <c r="E4938" s="1">
        <v>0.18720000000000001</v>
      </c>
      <c r="F4938" s="1">
        <v>5.0000000000000001E-4</v>
      </c>
      <c r="H4938" s="1">
        <v>1.1999999999999999E-3</v>
      </c>
      <c r="I4938" s="1">
        <v>1E-4</v>
      </c>
      <c r="J4938" s="1">
        <v>1E-4</v>
      </c>
      <c r="K4938" s="1">
        <v>9.2999999999999992E-3</v>
      </c>
      <c r="L4938" s="1">
        <v>0.1825</v>
      </c>
      <c r="M4938" s="1">
        <v>3.8699999999999998E-2</v>
      </c>
      <c r="N4938" s="1">
        <v>1.4200000000000001E-2</v>
      </c>
      <c r="O4938" s="1">
        <v>1E-4</v>
      </c>
      <c r="Q4938" s="1">
        <v>1E-4</v>
      </c>
      <c r="R4938" s="1">
        <v>0.37359999999999999</v>
      </c>
      <c r="S4938" s="1">
        <v>3.5999999999999999E-3</v>
      </c>
      <c r="T4938" s="1">
        <v>4.3299999999999998E-2</v>
      </c>
      <c r="U4938" s="1">
        <v>2.9999999999999997E-4</v>
      </c>
      <c r="V4938" s="1">
        <v>1.21E-2</v>
      </c>
      <c r="W4938" s="1">
        <v>0.13300000000000001</v>
      </c>
    </row>
    <row r="4939" spans="1:23" ht="29.1">
      <c r="A4939" s="25" t="s">
        <v>196</v>
      </c>
      <c r="B4939">
        <v>1720</v>
      </c>
      <c r="C4939" t="s">
        <v>189</v>
      </c>
      <c r="D4939">
        <v>10431</v>
      </c>
      <c r="E4939" s="1">
        <v>0.23630000000000001</v>
      </c>
      <c r="F4939" s="1">
        <v>2.0000000000000001E-4</v>
      </c>
      <c r="G4939" s="1">
        <v>6.9999999999999999E-4</v>
      </c>
      <c r="H4939" s="1">
        <v>4.0000000000000002E-4</v>
      </c>
      <c r="I4939" s="1">
        <v>8.0000000000000004E-4</v>
      </c>
      <c r="K4939" s="1">
        <v>1.35E-2</v>
      </c>
      <c r="L4939" s="1">
        <v>9.1800000000000007E-2</v>
      </c>
      <c r="M4939" s="1">
        <v>4.5999999999999999E-3</v>
      </c>
      <c r="N4939" s="1">
        <v>1.17E-2</v>
      </c>
      <c r="O4939" s="1">
        <v>1.2999999999999999E-3</v>
      </c>
      <c r="P4939" s="1">
        <v>0</v>
      </c>
      <c r="Q4939" s="1">
        <v>0</v>
      </c>
      <c r="R4939" s="1">
        <v>0.34560000000000002</v>
      </c>
      <c r="S4939" s="1">
        <v>2.1999999999999999E-2</v>
      </c>
      <c r="T4939" s="1">
        <v>3.3399999999999999E-2</v>
      </c>
      <c r="U4939" s="1">
        <v>3.3999999999999998E-3</v>
      </c>
      <c r="V4939" s="1">
        <v>0.01</v>
      </c>
      <c r="W4939" s="1">
        <v>0.22439999999999999</v>
      </c>
    </row>
    <row r="4940" spans="1:23">
      <c r="A4940" s="25" t="s">
        <v>192</v>
      </c>
      <c r="B4940">
        <v>10431</v>
      </c>
      <c r="C4940" t="s">
        <v>192</v>
      </c>
      <c r="D4940">
        <v>10431</v>
      </c>
      <c r="E4940" s="1">
        <v>0.1459</v>
      </c>
      <c r="F4940" s="1">
        <v>1E-4</v>
      </c>
      <c r="G4940" s="1">
        <v>2.0000000000000001E-4</v>
      </c>
      <c r="H4940" s="1">
        <v>4.1000000000000003E-3</v>
      </c>
      <c r="I4940" s="1">
        <v>5.0000000000000001E-4</v>
      </c>
      <c r="J4940" s="1">
        <v>1E-4</v>
      </c>
      <c r="K4940" s="1">
        <v>0.01</v>
      </c>
      <c r="L4940" s="1">
        <v>0.25269999999999998</v>
      </c>
      <c r="M4940" s="1">
        <v>2.2800000000000001E-2</v>
      </c>
      <c r="N4940" s="1">
        <v>8.8000000000000005E-3</v>
      </c>
      <c r="O4940" s="1">
        <v>4.0000000000000002E-4</v>
      </c>
      <c r="P4940" s="1">
        <v>0</v>
      </c>
      <c r="Q4940" s="1">
        <v>4.0000000000000002E-4</v>
      </c>
      <c r="R4940" s="1">
        <v>0.37630000000000002</v>
      </c>
      <c r="S4940" s="1">
        <v>1.9199999999999998E-2</v>
      </c>
      <c r="T4940" s="1">
        <v>1.9800000000000002E-2</v>
      </c>
      <c r="U4940" s="1">
        <v>8.0000000000000004E-4</v>
      </c>
      <c r="V4940" s="1">
        <v>2.3400000000000001E-2</v>
      </c>
      <c r="W4940" s="1">
        <v>0.1144</v>
      </c>
    </row>
    <row r="4942" spans="1:23" ht="43.5">
      <c r="A4942" s="25" t="s">
        <v>1442</v>
      </c>
    </row>
    <row r="4943" spans="1:23">
      <c r="A4943" s="25" t="s">
        <v>182</v>
      </c>
      <c r="B4943" t="s">
        <v>219</v>
      </c>
      <c r="C4943" t="s">
        <v>181</v>
      </c>
      <c r="D4943" t="s">
        <v>188</v>
      </c>
      <c r="E4943" t="s">
        <v>1424</v>
      </c>
      <c r="F4943" t="s">
        <v>1425</v>
      </c>
      <c r="G4943" t="s">
        <v>241</v>
      </c>
      <c r="H4943" t="s">
        <v>1426</v>
      </c>
      <c r="I4943" t="s">
        <v>1427</v>
      </c>
      <c r="J4943" t="s">
        <v>243</v>
      </c>
      <c r="K4943" t="s">
        <v>1428</v>
      </c>
      <c r="L4943" t="s">
        <v>1429</v>
      </c>
      <c r="M4943" t="s">
        <v>1430</v>
      </c>
      <c r="N4943" t="s">
        <v>1431</v>
      </c>
      <c r="O4943" t="s">
        <v>1432</v>
      </c>
      <c r="P4943" t="s">
        <v>1433</v>
      </c>
      <c r="Q4943" t="s">
        <v>1434</v>
      </c>
      <c r="R4943" t="s">
        <v>1435</v>
      </c>
      <c r="S4943" t="s">
        <v>1436</v>
      </c>
      <c r="T4943" t="s">
        <v>1437</v>
      </c>
      <c r="U4943" t="s">
        <v>1438</v>
      </c>
      <c r="V4943" t="s">
        <v>1439</v>
      </c>
      <c r="W4943" t="s">
        <v>1440</v>
      </c>
    </row>
    <row r="4944" spans="1:23">
      <c r="A4944" s="25" t="s">
        <v>198</v>
      </c>
      <c r="B4944">
        <v>2263</v>
      </c>
      <c r="C4944" t="s">
        <v>189</v>
      </c>
      <c r="D4944">
        <v>10431</v>
      </c>
      <c r="E4944" s="1">
        <v>0.106</v>
      </c>
      <c r="G4944" s="1">
        <v>2.9999999999999997E-4</v>
      </c>
      <c r="H4944" s="1">
        <v>4.4000000000000003E-3</v>
      </c>
      <c r="I4944" s="1">
        <v>1.6000000000000001E-3</v>
      </c>
      <c r="K4944" s="1">
        <v>1.26E-2</v>
      </c>
      <c r="L4944" s="1">
        <v>0.29799999999999999</v>
      </c>
      <c r="M4944" s="1">
        <v>2.2700000000000001E-2</v>
      </c>
      <c r="N4944" s="1">
        <v>1.38E-2</v>
      </c>
      <c r="O4944" s="1">
        <v>1.8E-3</v>
      </c>
      <c r="Q4944" s="1">
        <v>1.1000000000000001E-3</v>
      </c>
      <c r="R4944" s="1">
        <v>0.39610000000000001</v>
      </c>
      <c r="S4944" s="1">
        <v>2.9499999999999998E-2</v>
      </c>
      <c r="T4944" s="1">
        <v>2.1899999999999999E-2</v>
      </c>
      <c r="U4944" s="1">
        <v>2.9999999999999997E-4</v>
      </c>
      <c r="V4944" s="1">
        <v>2.69E-2</v>
      </c>
      <c r="W4944" s="1">
        <v>6.3E-2</v>
      </c>
    </row>
    <row r="4945" spans="1:23">
      <c r="A4945" s="25" t="s">
        <v>199</v>
      </c>
      <c r="B4945">
        <v>8168</v>
      </c>
      <c r="C4945" t="s">
        <v>189</v>
      </c>
      <c r="D4945">
        <v>10431</v>
      </c>
      <c r="E4945" s="1">
        <v>0.15479999999999999</v>
      </c>
      <c r="F4945" s="1">
        <v>1E-4</v>
      </c>
      <c r="G4945" s="1">
        <v>2.0000000000000001E-4</v>
      </c>
      <c r="H4945" s="1">
        <v>4.0000000000000001E-3</v>
      </c>
      <c r="I4945" s="1">
        <v>2.9999999999999997E-4</v>
      </c>
      <c r="J4945" s="1">
        <v>1E-4</v>
      </c>
      <c r="K4945" s="1">
        <v>9.4999999999999998E-3</v>
      </c>
      <c r="L4945" s="1">
        <v>0.24260000000000001</v>
      </c>
      <c r="M4945" s="1">
        <v>2.29E-2</v>
      </c>
      <c r="N4945" s="1">
        <v>7.6E-3</v>
      </c>
      <c r="O4945" s="1">
        <v>1E-4</v>
      </c>
      <c r="P4945" s="1">
        <v>0</v>
      </c>
      <c r="Q4945" s="1">
        <v>2.0000000000000001E-4</v>
      </c>
      <c r="R4945" s="1">
        <v>0.37190000000000001</v>
      </c>
      <c r="S4945" s="1">
        <v>1.7000000000000001E-2</v>
      </c>
      <c r="T4945" s="1">
        <v>1.9300000000000001E-2</v>
      </c>
      <c r="U4945" s="1">
        <v>8.9999999999999998E-4</v>
      </c>
      <c r="V4945" s="1">
        <v>2.2599999999999999E-2</v>
      </c>
      <c r="W4945" s="1">
        <v>0.126</v>
      </c>
    </row>
    <row r="4946" spans="1:23">
      <c r="A4946" s="25" t="s">
        <v>192</v>
      </c>
      <c r="B4946">
        <v>10431</v>
      </c>
      <c r="C4946" t="s">
        <v>192</v>
      </c>
      <c r="D4946">
        <v>10431</v>
      </c>
      <c r="E4946" s="1">
        <v>0.1459</v>
      </c>
      <c r="F4946" s="1">
        <v>1E-4</v>
      </c>
      <c r="G4946" s="1">
        <v>2.0000000000000001E-4</v>
      </c>
      <c r="H4946" s="1">
        <v>4.1000000000000003E-3</v>
      </c>
      <c r="I4946" s="1">
        <v>5.0000000000000001E-4</v>
      </c>
      <c r="J4946" s="1">
        <v>1E-4</v>
      </c>
      <c r="K4946" s="1">
        <v>0.01</v>
      </c>
      <c r="L4946" s="1">
        <v>0.25269999999999998</v>
      </c>
      <c r="M4946" s="1">
        <v>2.2800000000000001E-2</v>
      </c>
      <c r="N4946" s="1">
        <v>8.8000000000000005E-3</v>
      </c>
      <c r="O4946" s="1">
        <v>4.0000000000000002E-4</v>
      </c>
      <c r="P4946" s="1">
        <v>0</v>
      </c>
      <c r="Q4946" s="1">
        <v>4.0000000000000002E-4</v>
      </c>
      <c r="R4946" s="1">
        <v>0.37630000000000002</v>
      </c>
      <c r="S4946" s="1">
        <v>1.9199999999999998E-2</v>
      </c>
      <c r="T4946" s="1">
        <v>1.9800000000000002E-2</v>
      </c>
      <c r="U4946" s="1">
        <v>8.0000000000000004E-4</v>
      </c>
      <c r="V4946" s="1">
        <v>2.3400000000000001E-2</v>
      </c>
      <c r="W4946" s="1">
        <v>0.1144</v>
      </c>
    </row>
    <row r="4948" spans="1:23" ht="43.5">
      <c r="A4948" s="25" t="s">
        <v>1443</v>
      </c>
    </row>
    <row r="4949" spans="1:23">
      <c r="A4949" s="25" t="s">
        <v>182</v>
      </c>
      <c r="B4949" t="s">
        <v>219</v>
      </c>
      <c r="C4949" t="s">
        <v>181</v>
      </c>
      <c r="D4949" t="s">
        <v>188</v>
      </c>
      <c r="E4949" t="s">
        <v>1424</v>
      </c>
      <c r="F4949" t="s">
        <v>1425</v>
      </c>
      <c r="G4949" t="s">
        <v>241</v>
      </c>
      <c r="H4949" t="s">
        <v>1426</v>
      </c>
      <c r="I4949" t="s">
        <v>1427</v>
      </c>
      <c r="J4949" t="s">
        <v>243</v>
      </c>
      <c r="K4949" t="s">
        <v>1428</v>
      </c>
      <c r="L4949" t="s">
        <v>1429</v>
      </c>
      <c r="M4949" t="s">
        <v>1430</v>
      </c>
      <c r="N4949" t="s">
        <v>1431</v>
      </c>
      <c r="O4949" t="s">
        <v>1432</v>
      </c>
      <c r="P4949" t="s">
        <v>1433</v>
      </c>
      <c r="Q4949" t="s">
        <v>1434</v>
      </c>
      <c r="R4949" t="s">
        <v>1435</v>
      </c>
      <c r="S4949" t="s">
        <v>1436</v>
      </c>
      <c r="T4949" t="s">
        <v>1437</v>
      </c>
      <c r="U4949" t="s">
        <v>1438</v>
      </c>
      <c r="V4949" t="s">
        <v>1439</v>
      </c>
      <c r="W4949" t="s">
        <v>1440</v>
      </c>
    </row>
    <row r="4950" spans="1:23">
      <c r="A4950" s="25" t="s">
        <v>201</v>
      </c>
      <c r="B4950">
        <v>767</v>
      </c>
      <c r="C4950" t="s">
        <v>189</v>
      </c>
      <c r="D4950">
        <v>10431</v>
      </c>
      <c r="E4950" s="1">
        <v>0.2596</v>
      </c>
      <c r="G4950" s="1">
        <v>2.5999999999999999E-3</v>
      </c>
      <c r="H4950" s="1">
        <v>1.2999999999999999E-3</v>
      </c>
      <c r="I4950" s="1">
        <v>5.9999999999999995E-4</v>
      </c>
      <c r="K4950" s="1">
        <v>6.7000000000000002E-3</v>
      </c>
      <c r="L4950" s="1">
        <v>0.10639999999999999</v>
      </c>
      <c r="M4950" s="1">
        <v>6.25E-2</v>
      </c>
      <c r="N4950" s="1">
        <v>8.6E-3</v>
      </c>
      <c r="Q4950" s="1">
        <v>2.9999999999999997E-4</v>
      </c>
      <c r="R4950" s="1">
        <v>0.26860000000000001</v>
      </c>
      <c r="S4950" s="1">
        <v>1.6299999999999999E-2</v>
      </c>
      <c r="T4950" s="1">
        <v>1.0800000000000001E-2</v>
      </c>
      <c r="U4950" s="1">
        <v>2E-3</v>
      </c>
      <c r="V4950" s="1">
        <v>2.6599999999999999E-2</v>
      </c>
      <c r="W4950" s="1">
        <v>0.2271</v>
      </c>
    </row>
    <row r="4951" spans="1:23">
      <c r="A4951" s="25" t="s">
        <v>202</v>
      </c>
      <c r="B4951">
        <v>110</v>
      </c>
      <c r="C4951" t="s">
        <v>189</v>
      </c>
      <c r="D4951">
        <v>10431</v>
      </c>
      <c r="E4951" s="1">
        <v>0.24729999999999999</v>
      </c>
      <c r="F4951" s="1">
        <v>3.8E-3</v>
      </c>
      <c r="L4951" s="1">
        <v>0.1736</v>
      </c>
      <c r="M4951" s="1">
        <v>4.9700000000000001E-2</v>
      </c>
      <c r="N4951" s="1">
        <v>9.2999999999999992E-3</v>
      </c>
      <c r="R4951" s="1">
        <v>0.34870000000000001</v>
      </c>
      <c r="S4951" s="1">
        <v>6.4000000000000003E-3</v>
      </c>
      <c r="T4951" s="1">
        <v>1.44E-2</v>
      </c>
      <c r="V4951" s="1">
        <v>1.7999999999999999E-2</v>
      </c>
      <c r="W4951" s="1">
        <v>0.12889999999999999</v>
      </c>
    </row>
    <row r="4952" spans="1:23">
      <c r="A4952" s="25" t="s">
        <v>203</v>
      </c>
      <c r="B4952">
        <v>8039</v>
      </c>
      <c r="C4952" t="s">
        <v>189</v>
      </c>
      <c r="D4952">
        <v>10431</v>
      </c>
      <c r="E4952" s="1">
        <v>0.1178</v>
      </c>
      <c r="F4952" s="1">
        <v>1E-4</v>
      </c>
      <c r="G4952" s="1">
        <v>1E-4</v>
      </c>
      <c r="H4952" s="1">
        <v>5.0000000000000001E-3</v>
      </c>
      <c r="I4952" s="1">
        <v>5.0000000000000001E-4</v>
      </c>
      <c r="J4952" s="1">
        <v>1E-4</v>
      </c>
      <c r="K4952" s="1">
        <v>1.12E-2</v>
      </c>
      <c r="L4952" s="1">
        <v>0.28710000000000002</v>
      </c>
      <c r="M4952" s="1">
        <v>1.8599999999999998E-2</v>
      </c>
      <c r="N4952" s="1">
        <v>9.2999999999999992E-3</v>
      </c>
      <c r="O4952" s="1">
        <v>5.0000000000000001E-4</v>
      </c>
      <c r="Q4952" s="1">
        <v>4.0000000000000002E-4</v>
      </c>
      <c r="R4952" s="1">
        <v>0.39500000000000002</v>
      </c>
      <c r="S4952" s="1">
        <v>1.84E-2</v>
      </c>
      <c r="T4952" s="1">
        <v>1.9900000000000001E-2</v>
      </c>
      <c r="U4952" s="1">
        <v>8.0000000000000004E-4</v>
      </c>
      <c r="V4952" s="1">
        <v>2.53E-2</v>
      </c>
      <c r="W4952" s="1">
        <v>8.9700000000000002E-2</v>
      </c>
    </row>
    <row r="4953" spans="1:23">
      <c r="A4953" s="25" t="s">
        <v>204</v>
      </c>
      <c r="B4953">
        <v>31</v>
      </c>
      <c r="C4953" t="s">
        <v>189</v>
      </c>
      <c r="D4953">
        <v>10431</v>
      </c>
      <c r="E4953" s="1">
        <v>0.1118</v>
      </c>
      <c r="K4953" s="1">
        <v>7.2400000000000006E-2</v>
      </c>
      <c r="L4953" s="1">
        <v>0.42699999999999999</v>
      </c>
      <c r="M4953" s="1">
        <v>4.8000000000000001E-2</v>
      </c>
      <c r="R4953" s="1">
        <v>0.26500000000000001</v>
      </c>
      <c r="T4953" s="1">
        <v>3.9100000000000003E-2</v>
      </c>
      <c r="W4953" s="1">
        <v>3.6799999999999999E-2</v>
      </c>
    </row>
    <row r="4954" spans="1:23">
      <c r="A4954" s="25" t="s">
        <v>205</v>
      </c>
      <c r="B4954">
        <v>1484</v>
      </c>
      <c r="C4954" t="s">
        <v>189</v>
      </c>
      <c r="D4954">
        <v>10431</v>
      </c>
      <c r="E4954" s="1">
        <v>0.2447</v>
      </c>
      <c r="H4954" s="1">
        <v>2.0000000000000001E-4</v>
      </c>
      <c r="I4954" s="1">
        <v>8.0000000000000004E-4</v>
      </c>
      <c r="K4954" s="1">
        <v>4.5999999999999999E-3</v>
      </c>
      <c r="L4954" s="1">
        <v>0.13109999999999999</v>
      </c>
      <c r="M4954" s="1">
        <v>2.5399999999999999E-2</v>
      </c>
      <c r="N4954" s="1">
        <v>5.8999999999999999E-3</v>
      </c>
      <c r="O4954" s="1">
        <v>1E-4</v>
      </c>
      <c r="P4954" s="1">
        <v>0</v>
      </c>
      <c r="Q4954" s="1">
        <v>0</v>
      </c>
      <c r="R4954" s="1">
        <v>0.32700000000000001</v>
      </c>
      <c r="S4954" s="1">
        <v>2.6200000000000001E-2</v>
      </c>
      <c r="T4954" s="1">
        <v>2.3300000000000001E-2</v>
      </c>
      <c r="U4954" s="1">
        <v>1E-4</v>
      </c>
      <c r="V4954" s="1">
        <v>1.14E-2</v>
      </c>
      <c r="W4954" s="1">
        <v>0.19900000000000001</v>
      </c>
    </row>
    <row r="4955" spans="1:23">
      <c r="A4955" s="25" t="s">
        <v>192</v>
      </c>
      <c r="B4955">
        <v>10431</v>
      </c>
      <c r="C4955" t="s">
        <v>192</v>
      </c>
      <c r="D4955">
        <v>10431</v>
      </c>
      <c r="E4955" s="1">
        <v>0.1459</v>
      </c>
      <c r="F4955" s="1">
        <v>1E-4</v>
      </c>
      <c r="G4955" s="1">
        <v>2.0000000000000001E-4</v>
      </c>
      <c r="H4955" s="1">
        <v>4.1000000000000003E-3</v>
      </c>
      <c r="I4955" s="1">
        <v>5.0000000000000001E-4</v>
      </c>
      <c r="J4955" s="1">
        <v>1E-4</v>
      </c>
      <c r="K4955" s="1">
        <v>0.01</v>
      </c>
      <c r="L4955" s="1">
        <v>0.25269999999999998</v>
      </c>
      <c r="M4955" s="1">
        <v>2.2800000000000001E-2</v>
      </c>
      <c r="N4955" s="1">
        <v>8.8000000000000005E-3</v>
      </c>
      <c r="O4955" s="1">
        <v>4.0000000000000002E-4</v>
      </c>
      <c r="P4955" s="1">
        <v>0</v>
      </c>
      <c r="Q4955" s="1">
        <v>4.0000000000000002E-4</v>
      </c>
      <c r="R4955" s="1">
        <v>0.37630000000000002</v>
      </c>
      <c r="S4955" s="1">
        <v>1.9199999999999998E-2</v>
      </c>
      <c r="T4955" s="1">
        <v>1.9800000000000002E-2</v>
      </c>
      <c r="U4955" s="1">
        <v>8.0000000000000004E-4</v>
      </c>
      <c r="V4955" s="1">
        <v>2.3400000000000001E-2</v>
      </c>
      <c r="W4955" s="1">
        <v>0.1144</v>
      </c>
    </row>
    <row r="4957" spans="1:23" ht="43.5">
      <c r="A4957" s="25" t="s">
        <v>1444</v>
      </c>
    </row>
    <row r="4958" spans="1:23">
      <c r="A4958" s="25" t="s">
        <v>182</v>
      </c>
      <c r="B4958" t="s">
        <v>219</v>
      </c>
      <c r="C4958" t="s">
        <v>181</v>
      </c>
      <c r="D4958" t="s">
        <v>188</v>
      </c>
      <c r="E4958" t="s">
        <v>1424</v>
      </c>
      <c r="F4958" t="s">
        <v>1425</v>
      </c>
      <c r="G4958" t="s">
        <v>241</v>
      </c>
      <c r="H4958" t="s">
        <v>1426</v>
      </c>
      <c r="I4958" t="s">
        <v>1427</v>
      </c>
      <c r="J4958" t="s">
        <v>243</v>
      </c>
      <c r="K4958" t="s">
        <v>1428</v>
      </c>
      <c r="L4958" t="s">
        <v>1429</v>
      </c>
      <c r="M4958" t="s">
        <v>1430</v>
      </c>
      <c r="N4958" t="s">
        <v>1431</v>
      </c>
      <c r="O4958" t="s">
        <v>1432</v>
      </c>
      <c r="P4958" t="s">
        <v>1433</v>
      </c>
      <c r="Q4958" t="s">
        <v>1434</v>
      </c>
      <c r="R4958" t="s">
        <v>1435</v>
      </c>
      <c r="S4958" t="s">
        <v>1436</v>
      </c>
      <c r="T4958" t="s">
        <v>1437</v>
      </c>
      <c r="U4958" t="s">
        <v>1438</v>
      </c>
      <c r="V4958" t="s">
        <v>1439</v>
      </c>
      <c r="W4958" t="s">
        <v>1440</v>
      </c>
    </row>
    <row r="4959" spans="1:23">
      <c r="A4959" s="25" t="s">
        <v>207</v>
      </c>
      <c r="B4959">
        <v>7253</v>
      </c>
      <c r="C4959" t="s">
        <v>189</v>
      </c>
      <c r="D4959">
        <v>10431</v>
      </c>
      <c r="E4959" s="1">
        <v>0.15690000000000001</v>
      </c>
      <c r="F4959" s="1">
        <v>0</v>
      </c>
      <c r="G4959" s="1">
        <v>2.9999999999999997E-4</v>
      </c>
      <c r="H4959" s="1">
        <v>4.8999999999999998E-3</v>
      </c>
      <c r="I4959" s="1">
        <v>5.0000000000000001E-4</v>
      </c>
      <c r="J4959" s="1">
        <v>0</v>
      </c>
      <c r="K4959" s="1">
        <v>0.01</v>
      </c>
      <c r="L4959" s="1">
        <v>0.24709999999999999</v>
      </c>
      <c r="M4959" s="1">
        <v>2.4500000000000001E-2</v>
      </c>
      <c r="N4959" s="1">
        <v>7.6E-3</v>
      </c>
      <c r="O4959" s="1">
        <v>2.9999999999999997E-4</v>
      </c>
      <c r="P4959" s="1">
        <v>0</v>
      </c>
      <c r="Q4959" s="1">
        <v>5.0000000000000001E-4</v>
      </c>
      <c r="R4959" s="1">
        <v>0.36459999999999998</v>
      </c>
      <c r="S4959" s="1">
        <v>1.9900000000000001E-2</v>
      </c>
      <c r="T4959" s="1">
        <v>1.9E-2</v>
      </c>
      <c r="U4959" s="1">
        <v>2.9999999999999997E-4</v>
      </c>
      <c r="V4959" s="1">
        <v>1.9900000000000001E-2</v>
      </c>
      <c r="W4959" s="1">
        <v>0.1235</v>
      </c>
    </row>
    <row r="4960" spans="1:23">
      <c r="A4960" s="25" t="s">
        <v>208</v>
      </c>
      <c r="B4960">
        <v>2243</v>
      </c>
      <c r="C4960" t="s">
        <v>189</v>
      </c>
      <c r="D4960">
        <v>10431</v>
      </c>
      <c r="E4960" s="1">
        <v>0.128</v>
      </c>
      <c r="F4960" s="1">
        <v>4.0000000000000002E-4</v>
      </c>
      <c r="G4960" s="1">
        <v>2.0000000000000001E-4</v>
      </c>
      <c r="H4960" s="1">
        <v>2.8E-3</v>
      </c>
      <c r="I4960" s="1">
        <v>8.0000000000000004E-4</v>
      </c>
      <c r="J4960" s="1">
        <v>2.0000000000000001E-4</v>
      </c>
      <c r="K4960" s="1">
        <v>9.4999999999999998E-3</v>
      </c>
      <c r="L4960" s="1">
        <v>0.2303</v>
      </c>
      <c r="M4960" s="1">
        <v>2.1000000000000001E-2</v>
      </c>
      <c r="N4960" s="1">
        <v>1.1900000000000001E-2</v>
      </c>
      <c r="O4960" s="1">
        <v>8.0000000000000004E-4</v>
      </c>
      <c r="R4960" s="1">
        <v>0.41930000000000001</v>
      </c>
      <c r="S4960" s="1">
        <v>2.06E-2</v>
      </c>
      <c r="T4960" s="1">
        <v>2.3599999999999999E-2</v>
      </c>
      <c r="U4960" s="1">
        <v>1.6999999999999999E-3</v>
      </c>
      <c r="V4960" s="1">
        <v>2.6700000000000002E-2</v>
      </c>
      <c r="W4960" s="1">
        <v>0.1021</v>
      </c>
    </row>
    <row r="4961" spans="1:23">
      <c r="A4961" s="25" t="s">
        <v>209</v>
      </c>
      <c r="B4961">
        <v>935</v>
      </c>
      <c r="C4961" t="s">
        <v>189</v>
      </c>
      <c r="D4961">
        <v>10431</v>
      </c>
      <c r="E4961" s="1">
        <v>9.98E-2</v>
      </c>
      <c r="H4961" s="1">
        <v>2.9999999999999997E-4</v>
      </c>
      <c r="I4961" s="1">
        <v>5.0000000000000001E-4</v>
      </c>
      <c r="K4961" s="1">
        <v>1.15E-2</v>
      </c>
      <c r="L4961" s="1">
        <v>0.36659999999999998</v>
      </c>
      <c r="M4961" s="1">
        <v>1.3599999999999999E-2</v>
      </c>
      <c r="N4961" s="1">
        <v>1.01E-2</v>
      </c>
      <c r="R4961" s="1">
        <v>0.3574</v>
      </c>
      <c r="S4961" s="1">
        <v>9.1000000000000004E-3</v>
      </c>
      <c r="T4961" s="1">
        <v>1.5699999999999999E-2</v>
      </c>
      <c r="U4961" s="1">
        <v>2.2000000000000001E-3</v>
      </c>
      <c r="V4961" s="1">
        <v>4.4200000000000003E-2</v>
      </c>
      <c r="W4961" s="1">
        <v>6.9099999999999995E-2</v>
      </c>
    </row>
    <row r="4962" spans="1:23">
      <c r="A4962" s="25" t="s">
        <v>192</v>
      </c>
      <c r="B4962">
        <v>10431</v>
      </c>
      <c r="C4962" t="s">
        <v>192</v>
      </c>
      <c r="D4962">
        <v>10431</v>
      </c>
      <c r="E4962" s="1">
        <v>0.1459</v>
      </c>
      <c r="F4962" s="1">
        <v>1E-4</v>
      </c>
      <c r="G4962" s="1">
        <v>2.0000000000000001E-4</v>
      </c>
      <c r="H4962" s="1">
        <v>4.1000000000000003E-3</v>
      </c>
      <c r="I4962" s="1">
        <v>5.0000000000000001E-4</v>
      </c>
      <c r="J4962" s="1">
        <v>1E-4</v>
      </c>
      <c r="K4962" s="1">
        <v>0.01</v>
      </c>
      <c r="L4962" s="1">
        <v>0.25269999999999998</v>
      </c>
      <c r="M4962" s="1">
        <v>2.2800000000000001E-2</v>
      </c>
      <c r="N4962" s="1">
        <v>8.8000000000000005E-3</v>
      </c>
      <c r="O4962" s="1">
        <v>4.0000000000000002E-4</v>
      </c>
      <c r="P4962" s="1">
        <v>0</v>
      </c>
      <c r="Q4962" s="1">
        <v>4.0000000000000002E-4</v>
      </c>
      <c r="R4962" s="1">
        <v>0.37630000000000002</v>
      </c>
      <c r="S4962" s="1">
        <v>1.9199999999999998E-2</v>
      </c>
      <c r="T4962" s="1">
        <v>1.9800000000000002E-2</v>
      </c>
      <c r="U4962" s="1">
        <v>8.0000000000000004E-4</v>
      </c>
      <c r="V4962" s="1">
        <v>2.3400000000000001E-2</v>
      </c>
      <c r="W4962" s="1">
        <v>0.1144</v>
      </c>
    </row>
    <row r="4964" spans="1:23" ht="43.5">
      <c r="A4964" s="25" t="s">
        <v>1445</v>
      </c>
    </row>
    <row r="4965" spans="1:23">
      <c r="A4965" s="25" t="s">
        <v>182</v>
      </c>
      <c r="B4965" t="s">
        <v>219</v>
      </c>
      <c r="C4965" t="s">
        <v>181</v>
      </c>
      <c r="D4965" t="s">
        <v>188</v>
      </c>
      <c r="E4965" t="s">
        <v>1424</v>
      </c>
      <c r="F4965" t="s">
        <v>1425</v>
      </c>
      <c r="G4965" t="s">
        <v>241</v>
      </c>
      <c r="H4965" t="s">
        <v>1426</v>
      </c>
      <c r="I4965" t="s">
        <v>1427</v>
      </c>
      <c r="J4965" t="s">
        <v>243</v>
      </c>
      <c r="K4965" t="s">
        <v>1428</v>
      </c>
      <c r="L4965" t="s">
        <v>1429</v>
      </c>
      <c r="M4965" t="s">
        <v>1430</v>
      </c>
      <c r="N4965" t="s">
        <v>1431</v>
      </c>
      <c r="O4965" t="s">
        <v>1432</v>
      </c>
      <c r="P4965" t="s">
        <v>1433</v>
      </c>
      <c r="Q4965" t="s">
        <v>1434</v>
      </c>
      <c r="R4965" t="s">
        <v>1435</v>
      </c>
      <c r="S4965" t="s">
        <v>1436</v>
      </c>
      <c r="T4965" t="s">
        <v>1437</v>
      </c>
      <c r="U4965" t="s">
        <v>1438</v>
      </c>
      <c r="V4965" t="s">
        <v>1439</v>
      </c>
      <c r="W4965" t="s">
        <v>1440</v>
      </c>
    </row>
    <row r="4966" spans="1:23">
      <c r="A4966" s="25" t="s">
        <v>211</v>
      </c>
      <c r="B4966">
        <v>4972</v>
      </c>
      <c r="C4966" t="s">
        <v>189</v>
      </c>
      <c r="D4966">
        <v>10431</v>
      </c>
      <c r="E4966" s="1">
        <v>0.1469</v>
      </c>
      <c r="F4966" s="1">
        <v>0</v>
      </c>
      <c r="G4966" s="1">
        <v>4.0000000000000002E-4</v>
      </c>
      <c r="H4966" s="1">
        <v>5.4999999999999997E-3</v>
      </c>
      <c r="I4966" s="1">
        <v>5.0000000000000001E-4</v>
      </c>
      <c r="K4966" s="1">
        <v>1.0200000000000001E-2</v>
      </c>
      <c r="L4966" s="1">
        <v>0.2525</v>
      </c>
      <c r="M4966" s="1">
        <v>2.1700000000000001E-2</v>
      </c>
      <c r="N4966" s="1">
        <v>7.4000000000000003E-3</v>
      </c>
      <c r="O4966" s="1">
        <v>1E-4</v>
      </c>
      <c r="Q4966" s="1">
        <v>1E-4</v>
      </c>
      <c r="R4966" s="1">
        <v>0.35730000000000001</v>
      </c>
      <c r="S4966" s="1">
        <v>2.1100000000000001E-2</v>
      </c>
      <c r="T4966" s="1">
        <v>1.7899999999999999E-2</v>
      </c>
      <c r="U4966" s="1">
        <v>6.9999999999999999E-4</v>
      </c>
      <c r="V4966" s="1">
        <v>2.6499999999999999E-2</v>
      </c>
      <c r="W4966" s="1">
        <v>0.13109999999999999</v>
      </c>
    </row>
    <row r="4967" spans="1:23">
      <c r="A4967" s="25" t="s">
        <v>212</v>
      </c>
      <c r="B4967">
        <v>3375</v>
      </c>
      <c r="C4967" t="s">
        <v>189</v>
      </c>
      <c r="D4967">
        <v>10431</v>
      </c>
      <c r="E4967" s="1">
        <v>0.1419</v>
      </c>
      <c r="H4967" s="1">
        <v>2.7000000000000001E-3</v>
      </c>
      <c r="I4967" s="1">
        <v>8.0000000000000004E-4</v>
      </c>
      <c r="J4967" s="1">
        <v>1E-4</v>
      </c>
      <c r="K4967" s="1">
        <v>9.1000000000000004E-3</v>
      </c>
      <c r="L4967" s="1">
        <v>0.2437</v>
      </c>
      <c r="M4967" s="1">
        <v>1.7999999999999999E-2</v>
      </c>
      <c r="N4967" s="1">
        <v>8.8999999999999999E-3</v>
      </c>
      <c r="O4967" s="1">
        <v>1E-3</v>
      </c>
      <c r="Q4967" s="1">
        <v>5.0000000000000001E-4</v>
      </c>
      <c r="R4967" s="1">
        <v>0.4042</v>
      </c>
      <c r="S4967" s="1">
        <v>2.1700000000000001E-2</v>
      </c>
      <c r="T4967" s="1">
        <v>2.4E-2</v>
      </c>
      <c r="U4967" s="1">
        <v>2.0000000000000001E-4</v>
      </c>
      <c r="V4967" s="1">
        <v>2.46E-2</v>
      </c>
      <c r="W4967" s="1">
        <v>9.8500000000000004E-2</v>
      </c>
    </row>
    <row r="4968" spans="1:23">
      <c r="A4968" s="25" t="s">
        <v>213</v>
      </c>
      <c r="B4968">
        <v>2084</v>
      </c>
      <c r="C4968" t="s">
        <v>189</v>
      </c>
      <c r="D4968">
        <v>10431</v>
      </c>
      <c r="E4968" s="1">
        <v>0.14940000000000001</v>
      </c>
      <c r="F4968" s="1">
        <v>4.0000000000000002E-4</v>
      </c>
      <c r="G4968" s="1">
        <v>2.0000000000000001E-4</v>
      </c>
      <c r="H4968" s="1">
        <v>2.8999999999999998E-3</v>
      </c>
      <c r="I4968" s="1">
        <v>2.9999999999999997E-4</v>
      </c>
      <c r="J4968" s="1">
        <v>2.0000000000000001E-4</v>
      </c>
      <c r="K4968" s="1">
        <v>1.09E-2</v>
      </c>
      <c r="L4968" s="1">
        <v>0.26600000000000001</v>
      </c>
      <c r="M4968" s="1">
        <v>3.2000000000000001E-2</v>
      </c>
      <c r="N4968" s="1">
        <v>1.15E-2</v>
      </c>
      <c r="O4968" s="1">
        <v>1E-4</v>
      </c>
      <c r="P4968" s="1">
        <v>0</v>
      </c>
      <c r="Q4968" s="1">
        <v>8.0000000000000004E-4</v>
      </c>
      <c r="R4968" s="1">
        <v>0.37769999999999998</v>
      </c>
      <c r="S4968" s="1">
        <v>1.18E-2</v>
      </c>
      <c r="T4968" s="1">
        <v>1.7899999999999999E-2</v>
      </c>
      <c r="U4968" s="1">
        <v>1.9E-3</v>
      </c>
      <c r="V4968" s="1">
        <v>1.49E-2</v>
      </c>
      <c r="W4968" s="1">
        <v>0.1012</v>
      </c>
    </row>
    <row r="4969" spans="1:23">
      <c r="A4969" s="25" t="s">
        <v>192</v>
      </c>
      <c r="B4969">
        <v>10431</v>
      </c>
      <c r="C4969" t="s">
        <v>192</v>
      </c>
      <c r="D4969">
        <v>10431</v>
      </c>
      <c r="E4969" s="1">
        <v>0.1459</v>
      </c>
      <c r="F4969" s="1">
        <v>1E-4</v>
      </c>
      <c r="G4969" s="1">
        <v>2.0000000000000001E-4</v>
      </c>
      <c r="H4969" s="1">
        <v>4.1000000000000003E-3</v>
      </c>
      <c r="I4969" s="1">
        <v>5.0000000000000001E-4</v>
      </c>
      <c r="J4969" s="1">
        <v>1E-4</v>
      </c>
      <c r="K4969" s="1">
        <v>0.01</v>
      </c>
      <c r="L4969" s="1">
        <v>0.25269999999999998</v>
      </c>
      <c r="M4969" s="1">
        <v>2.2800000000000001E-2</v>
      </c>
      <c r="N4969" s="1">
        <v>8.8000000000000005E-3</v>
      </c>
      <c r="O4969" s="1">
        <v>4.0000000000000002E-4</v>
      </c>
      <c r="P4969" s="1">
        <v>0</v>
      </c>
      <c r="Q4969" s="1">
        <v>4.0000000000000002E-4</v>
      </c>
      <c r="R4969" s="1">
        <v>0.37630000000000002</v>
      </c>
      <c r="S4969" s="1">
        <v>1.9199999999999998E-2</v>
      </c>
      <c r="T4969" s="1">
        <v>1.9800000000000002E-2</v>
      </c>
      <c r="U4969" s="1">
        <v>8.0000000000000004E-4</v>
      </c>
      <c r="V4969" s="1">
        <v>2.3400000000000001E-2</v>
      </c>
      <c r="W4969" s="1">
        <v>0.1144</v>
      </c>
    </row>
    <row r="4971" spans="1:23" ht="43.5">
      <c r="A4971" s="25" t="s">
        <v>1446</v>
      </c>
    </row>
    <row r="4972" spans="1:23">
      <c r="A4972" s="25" t="s">
        <v>181</v>
      </c>
      <c r="B4972" t="s">
        <v>182</v>
      </c>
      <c r="C4972" t="s">
        <v>183</v>
      </c>
      <c r="D4972" t="s">
        <v>184</v>
      </c>
      <c r="E4972" t="s">
        <v>185</v>
      </c>
      <c r="F4972" t="s">
        <v>186</v>
      </c>
      <c r="G4972" t="s">
        <v>187</v>
      </c>
      <c r="H4972" t="s">
        <v>188</v>
      </c>
    </row>
    <row r="4973" spans="1:23">
      <c r="A4973" s="25" t="s">
        <v>189</v>
      </c>
      <c r="B4973" t="s">
        <v>190</v>
      </c>
      <c r="C4973">
        <v>8.9765456429461405</v>
      </c>
      <c r="D4973">
        <v>5</v>
      </c>
      <c r="E4973">
        <v>1</v>
      </c>
      <c r="F4973">
        <v>180</v>
      </c>
      <c r="G4973">
        <v>1818</v>
      </c>
      <c r="H4973">
        <v>3811</v>
      </c>
    </row>
    <row r="4974" spans="1:23">
      <c r="A4974" s="25" t="s">
        <v>189</v>
      </c>
      <c r="B4974" t="s">
        <v>191</v>
      </c>
      <c r="C4974">
        <v>12.027012393601909</v>
      </c>
      <c r="D4974">
        <v>10</v>
      </c>
      <c r="E4974">
        <v>1</v>
      </c>
      <c r="F4974">
        <v>300</v>
      </c>
      <c r="G4974">
        <v>1971</v>
      </c>
      <c r="H4974">
        <v>3811</v>
      </c>
    </row>
    <row r="4975" spans="1:23">
      <c r="A4975" s="25" t="s">
        <v>192</v>
      </c>
      <c r="B4975" t="s">
        <v>192</v>
      </c>
      <c r="C4975">
        <v>10.96130776597966</v>
      </c>
      <c r="D4975">
        <v>5</v>
      </c>
      <c r="E4975">
        <v>1</v>
      </c>
      <c r="F4975">
        <v>300</v>
      </c>
      <c r="G4975">
        <v>3811</v>
      </c>
      <c r="H4975">
        <v>3811</v>
      </c>
    </row>
    <row r="4977" spans="1:8" ht="57.95">
      <c r="A4977" s="25" t="s">
        <v>1447</v>
      </c>
    </row>
    <row r="4978" spans="1:8">
      <c r="A4978" s="25" t="s">
        <v>181</v>
      </c>
      <c r="B4978" t="s">
        <v>182</v>
      </c>
      <c r="C4978" t="s">
        <v>183</v>
      </c>
      <c r="D4978" t="s">
        <v>184</v>
      </c>
      <c r="E4978" t="s">
        <v>185</v>
      </c>
      <c r="F4978" t="s">
        <v>186</v>
      </c>
      <c r="G4978" t="s">
        <v>187</v>
      </c>
      <c r="H4978" t="s">
        <v>188</v>
      </c>
    </row>
    <row r="4979" spans="1:8">
      <c r="A4979" s="25" t="s">
        <v>189</v>
      </c>
      <c r="B4979" t="s">
        <v>194</v>
      </c>
      <c r="C4979">
        <v>7.9410623541062337</v>
      </c>
      <c r="D4979">
        <v>5</v>
      </c>
      <c r="E4979">
        <v>1</v>
      </c>
      <c r="F4979">
        <v>180</v>
      </c>
      <c r="G4979">
        <v>1966</v>
      </c>
      <c r="H4979">
        <v>3811</v>
      </c>
    </row>
    <row r="4980" spans="1:8">
      <c r="A4980" s="25" t="s">
        <v>189</v>
      </c>
      <c r="B4980" t="s">
        <v>195</v>
      </c>
      <c r="C4980">
        <v>16.527415071861299</v>
      </c>
      <c r="D4980">
        <v>10</v>
      </c>
      <c r="E4980">
        <v>1</v>
      </c>
      <c r="F4980">
        <v>300</v>
      </c>
      <c r="G4980">
        <v>1071</v>
      </c>
      <c r="H4980">
        <v>3811</v>
      </c>
    </row>
    <row r="4981" spans="1:8">
      <c r="A4981" s="25" t="s">
        <v>189</v>
      </c>
      <c r="B4981" t="s">
        <v>196</v>
      </c>
      <c r="C4981">
        <v>18.167610678526142</v>
      </c>
      <c r="D4981">
        <v>10</v>
      </c>
      <c r="E4981">
        <v>1</v>
      </c>
      <c r="F4981">
        <v>200</v>
      </c>
      <c r="G4981">
        <v>752</v>
      </c>
      <c r="H4981">
        <v>3811</v>
      </c>
    </row>
    <row r="4982" spans="1:8">
      <c r="A4982" s="25" t="s">
        <v>192</v>
      </c>
      <c r="B4982" t="s">
        <v>192</v>
      </c>
      <c r="C4982">
        <v>10.96130776597966</v>
      </c>
      <c r="D4982">
        <v>5</v>
      </c>
      <c r="E4982">
        <v>1</v>
      </c>
      <c r="F4982">
        <v>300</v>
      </c>
      <c r="G4982">
        <v>3811</v>
      </c>
      <c r="H4982">
        <v>3811</v>
      </c>
    </row>
    <row r="4984" spans="1:8" ht="57.95">
      <c r="A4984" s="25" t="s">
        <v>1448</v>
      </c>
    </row>
    <row r="4985" spans="1:8">
      <c r="A4985" s="25" t="s">
        <v>181</v>
      </c>
      <c r="B4985" t="s">
        <v>182</v>
      </c>
      <c r="C4985" t="s">
        <v>183</v>
      </c>
      <c r="D4985" t="s">
        <v>184</v>
      </c>
      <c r="E4985" t="s">
        <v>185</v>
      </c>
      <c r="F4985" t="s">
        <v>186</v>
      </c>
      <c r="G4985" t="s">
        <v>187</v>
      </c>
      <c r="H4985" t="s">
        <v>188</v>
      </c>
    </row>
    <row r="4986" spans="1:8">
      <c r="A4986" s="25" t="s">
        <v>189</v>
      </c>
      <c r="B4986" t="s">
        <v>198</v>
      </c>
      <c r="C4986">
        <v>12.731347012518651</v>
      </c>
      <c r="D4986">
        <v>5</v>
      </c>
      <c r="E4986">
        <v>1</v>
      </c>
      <c r="F4986">
        <v>180</v>
      </c>
      <c r="G4986">
        <v>817</v>
      </c>
      <c r="H4986">
        <v>3811</v>
      </c>
    </row>
    <row r="4987" spans="1:8">
      <c r="A4987" s="25" t="s">
        <v>189</v>
      </c>
      <c r="B4987" t="s">
        <v>199</v>
      </c>
      <c r="C4987">
        <v>10.608165239705279</v>
      </c>
      <c r="D4987">
        <v>5</v>
      </c>
      <c r="E4987">
        <v>1</v>
      </c>
      <c r="F4987">
        <v>300</v>
      </c>
      <c r="G4987">
        <v>2994</v>
      </c>
      <c r="H4987">
        <v>3811</v>
      </c>
    </row>
    <row r="4988" spans="1:8">
      <c r="A4988" s="25" t="s">
        <v>192</v>
      </c>
      <c r="B4988" t="s">
        <v>192</v>
      </c>
      <c r="C4988">
        <v>10.96130776597966</v>
      </c>
      <c r="D4988">
        <v>5</v>
      </c>
      <c r="E4988">
        <v>1</v>
      </c>
      <c r="F4988">
        <v>300</v>
      </c>
      <c r="G4988">
        <v>3811</v>
      </c>
      <c r="H4988">
        <v>3811</v>
      </c>
    </row>
    <row r="4990" spans="1:8" ht="57.95">
      <c r="A4990" s="25" t="s">
        <v>1449</v>
      </c>
    </row>
    <row r="4991" spans="1:8">
      <c r="A4991" s="25" t="s">
        <v>181</v>
      </c>
      <c r="B4991" t="s">
        <v>182</v>
      </c>
      <c r="C4991" t="s">
        <v>183</v>
      </c>
      <c r="D4991" t="s">
        <v>184</v>
      </c>
      <c r="E4991" t="s">
        <v>185</v>
      </c>
      <c r="F4991" t="s">
        <v>186</v>
      </c>
      <c r="G4991" t="s">
        <v>187</v>
      </c>
      <c r="H4991" t="s">
        <v>188</v>
      </c>
    </row>
    <row r="4992" spans="1:8">
      <c r="A4992" s="25" t="s">
        <v>189</v>
      </c>
      <c r="B4992" t="s">
        <v>201</v>
      </c>
      <c r="C4992">
        <v>13.18998922887442</v>
      </c>
      <c r="D4992">
        <v>10</v>
      </c>
      <c r="E4992">
        <v>1</v>
      </c>
      <c r="F4992">
        <v>200</v>
      </c>
      <c r="G4992">
        <v>394</v>
      </c>
      <c r="H4992">
        <v>3811</v>
      </c>
    </row>
    <row r="4993" spans="1:8">
      <c r="A4993" s="25" t="s">
        <v>189</v>
      </c>
      <c r="B4993" t="s">
        <v>202</v>
      </c>
      <c r="C4993">
        <v>17.907738008630041</v>
      </c>
      <c r="D4993">
        <v>15</v>
      </c>
      <c r="E4993">
        <v>1</v>
      </c>
      <c r="F4993">
        <v>90</v>
      </c>
      <c r="G4993">
        <v>54</v>
      </c>
      <c r="H4993">
        <v>3811</v>
      </c>
    </row>
    <row r="4994" spans="1:8">
      <c r="A4994" s="25" t="s">
        <v>189</v>
      </c>
      <c r="B4994" t="s">
        <v>203</v>
      </c>
      <c r="C4994">
        <v>10.27459214374362</v>
      </c>
      <c r="D4994">
        <v>5</v>
      </c>
      <c r="E4994">
        <v>1</v>
      </c>
      <c r="F4994">
        <v>300</v>
      </c>
      <c r="G4994">
        <v>2681</v>
      </c>
      <c r="H4994">
        <v>3811</v>
      </c>
    </row>
    <row r="4995" spans="1:8">
      <c r="A4995" s="25" t="s">
        <v>189</v>
      </c>
      <c r="B4995" t="s">
        <v>204</v>
      </c>
      <c r="C4995">
        <v>6.9249711022049976</v>
      </c>
      <c r="D4995">
        <v>2</v>
      </c>
      <c r="E4995">
        <v>1</v>
      </c>
      <c r="F4995">
        <v>60</v>
      </c>
      <c r="G4995">
        <v>17</v>
      </c>
      <c r="H4995">
        <v>3811</v>
      </c>
    </row>
    <row r="4996" spans="1:8">
      <c r="A4996" s="25" t="s">
        <v>189</v>
      </c>
      <c r="B4996" t="s">
        <v>205</v>
      </c>
      <c r="C4996">
        <v>12.277822251101179</v>
      </c>
      <c r="D4996">
        <v>10</v>
      </c>
      <c r="E4996">
        <v>1</v>
      </c>
      <c r="F4996">
        <v>150</v>
      </c>
      <c r="G4996">
        <v>665</v>
      </c>
      <c r="H4996">
        <v>3811</v>
      </c>
    </row>
    <row r="4997" spans="1:8">
      <c r="A4997" s="25" t="s">
        <v>192</v>
      </c>
      <c r="B4997" t="s">
        <v>192</v>
      </c>
      <c r="C4997">
        <v>10.96130776597966</v>
      </c>
      <c r="D4997">
        <v>5</v>
      </c>
      <c r="E4997">
        <v>1</v>
      </c>
      <c r="F4997">
        <v>300</v>
      </c>
      <c r="G4997">
        <v>3811</v>
      </c>
      <c r="H4997">
        <v>3811</v>
      </c>
    </row>
    <row r="4999" spans="1:8" ht="57.95">
      <c r="A4999" s="25" t="s">
        <v>1450</v>
      </c>
    </row>
    <row r="5000" spans="1:8">
      <c r="A5000" s="25" t="s">
        <v>181</v>
      </c>
      <c r="B5000" t="s">
        <v>182</v>
      </c>
      <c r="C5000" t="s">
        <v>183</v>
      </c>
      <c r="D5000" t="s">
        <v>184</v>
      </c>
      <c r="E5000" t="s">
        <v>185</v>
      </c>
      <c r="F5000" t="s">
        <v>186</v>
      </c>
      <c r="G5000" t="s">
        <v>187</v>
      </c>
      <c r="H5000" t="s">
        <v>188</v>
      </c>
    </row>
    <row r="5001" spans="1:8">
      <c r="A5001" s="25" t="s">
        <v>189</v>
      </c>
      <c r="B5001" t="s">
        <v>207</v>
      </c>
      <c r="C5001">
        <v>10.878604396728329</v>
      </c>
      <c r="D5001">
        <v>5</v>
      </c>
      <c r="E5001">
        <v>1</v>
      </c>
      <c r="F5001">
        <v>300</v>
      </c>
      <c r="G5001">
        <v>2691</v>
      </c>
      <c r="H5001">
        <v>3811</v>
      </c>
    </row>
    <row r="5002" spans="1:8">
      <c r="A5002" s="25" t="s">
        <v>189</v>
      </c>
      <c r="B5002" t="s">
        <v>208</v>
      </c>
      <c r="C5002">
        <v>10.547825961592791</v>
      </c>
      <c r="D5002">
        <v>5</v>
      </c>
      <c r="E5002">
        <v>1</v>
      </c>
      <c r="F5002">
        <v>150</v>
      </c>
      <c r="G5002">
        <v>829</v>
      </c>
      <c r="H5002">
        <v>3811</v>
      </c>
    </row>
    <row r="5003" spans="1:8">
      <c r="A5003" s="25" t="s">
        <v>189</v>
      </c>
      <c r="B5003" t="s">
        <v>209</v>
      </c>
      <c r="C5003">
        <v>13.61990743734464</v>
      </c>
      <c r="D5003">
        <v>6</v>
      </c>
      <c r="E5003">
        <v>1</v>
      </c>
      <c r="F5003">
        <v>200</v>
      </c>
      <c r="G5003">
        <v>291</v>
      </c>
      <c r="H5003">
        <v>3811</v>
      </c>
    </row>
    <row r="5004" spans="1:8">
      <c r="A5004" s="25" t="s">
        <v>192</v>
      </c>
      <c r="B5004" t="s">
        <v>192</v>
      </c>
      <c r="C5004">
        <v>10.96130776597966</v>
      </c>
      <c r="D5004">
        <v>5</v>
      </c>
      <c r="E5004">
        <v>1</v>
      </c>
      <c r="F5004">
        <v>300</v>
      </c>
      <c r="G5004">
        <v>3811</v>
      </c>
      <c r="H5004">
        <v>3811</v>
      </c>
    </row>
    <row r="5006" spans="1:8" ht="57.95">
      <c r="A5006" s="25" t="s">
        <v>1451</v>
      </c>
    </row>
    <row r="5007" spans="1:8">
      <c r="A5007" s="25" t="s">
        <v>181</v>
      </c>
      <c r="B5007" t="s">
        <v>182</v>
      </c>
      <c r="C5007" t="s">
        <v>183</v>
      </c>
      <c r="D5007" t="s">
        <v>184</v>
      </c>
      <c r="E5007" t="s">
        <v>185</v>
      </c>
      <c r="F5007" t="s">
        <v>186</v>
      </c>
      <c r="G5007" t="s">
        <v>187</v>
      </c>
      <c r="H5007" t="s">
        <v>188</v>
      </c>
    </row>
    <row r="5008" spans="1:8">
      <c r="A5008" s="25" t="s">
        <v>189</v>
      </c>
      <c r="B5008" t="s">
        <v>211</v>
      </c>
      <c r="C5008">
        <v>11.886813750547701</v>
      </c>
      <c r="D5008">
        <v>8</v>
      </c>
      <c r="E5008">
        <v>1</v>
      </c>
      <c r="F5008">
        <v>300</v>
      </c>
      <c r="G5008">
        <v>1791</v>
      </c>
      <c r="H5008">
        <v>3811</v>
      </c>
    </row>
    <row r="5009" spans="1:11">
      <c r="A5009" s="25" t="s">
        <v>189</v>
      </c>
      <c r="B5009" t="s">
        <v>212</v>
      </c>
      <c r="C5009">
        <v>10.470022425890839</v>
      </c>
      <c r="D5009">
        <v>5</v>
      </c>
      <c r="E5009">
        <v>1</v>
      </c>
      <c r="F5009">
        <v>200</v>
      </c>
      <c r="G5009">
        <v>1251</v>
      </c>
      <c r="H5009">
        <v>3811</v>
      </c>
    </row>
    <row r="5010" spans="1:11">
      <c r="A5010" s="25" t="s">
        <v>189</v>
      </c>
      <c r="B5010" t="s">
        <v>213</v>
      </c>
      <c r="C5010">
        <v>9.7332445767983007</v>
      </c>
      <c r="D5010">
        <v>5</v>
      </c>
      <c r="E5010">
        <v>1</v>
      </c>
      <c r="F5010">
        <v>150</v>
      </c>
      <c r="G5010">
        <v>769</v>
      </c>
      <c r="H5010">
        <v>3811</v>
      </c>
    </row>
    <row r="5011" spans="1:11">
      <c r="A5011" s="25" t="s">
        <v>192</v>
      </c>
      <c r="B5011" t="s">
        <v>192</v>
      </c>
      <c r="C5011">
        <v>10.96130776597966</v>
      </c>
      <c r="D5011">
        <v>5</v>
      </c>
      <c r="E5011">
        <v>1</v>
      </c>
      <c r="F5011">
        <v>300</v>
      </c>
      <c r="G5011">
        <v>3811</v>
      </c>
      <c r="H5011">
        <v>3811</v>
      </c>
    </row>
    <row r="5013" spans="1:11" ht="43.5">
      <c r="A5013" s="25" t="s">
        <v>1452</v>
      </c>
    </row>
    <row r="5014" spans="1:11">
      <c r="A5014" s="25" t="s">
        <v>182</v>
      </c>
      <c r="B5014" t="s">
        <v>219</v>
      </c>
      <c r="C5014" t="s">
        <v>181</v>
      </c>
      <c r="D5014" t="s">
        <v>188</v>
      </c>
      <c r="E5014" t="s">
        <v>1453</v>
      </c>
      <c r="F5014" t="s">
        <v>241</v>
      </c>
      <c r="G5014" t="s">
        <v>1454</v>
      </c>
      <c r="H5014" t="s">
        <v>1455</v>
      </c>
      <c r="I5014" t="s">
        <v>243</v>
      </c>
      <c r="J5014" t="s">
        <v>1456</v>
      </c>
      <c r="K5014" t="s">
        <v>1457</v>
      </c>
    </row>
    <row r="5015" spans="1:11">
      <c r="A5015" s="25" t="s">
        <v>190</v>
      </c>
      <c r="B5015">
        <v>4903</v>
      </c>
      <c r="C5015" t="s">
        <v>189</v>
      </c>
      <c r="D5015">
        <v>10434</v>
      </c>
      <c r="E5015" s="1">
        <v>3.09E-2</v>
      </c>
      <c r="F5015" s="1">
        <v>3.3999999999999998E-3</v>
      </c>
      <c r="G5015" s="1">
        <v>0.55710000000000004</v>
      </c>
      <c r="H5015" s="1">
        <v>0.1691</v>
      </c>
      <c r="J5015" s="1">
        <v>5.1999999999999998E-3</v>
      </c>
      <c r="K5015" s="1">
        <v>0.23430000000000001</v>
      </c>
    </row>
    <row r="5016" spans="1:11">
      <c r="A5016" s="25" t="s">
        <v>191</v>
      </c>
      <c r="B5016">
        <v>5474</v>
      </c>
      <c r="C5016" t="s">
        <v>189</v>
      </c>
      <c r="D5016">
        <v>10434</v>
      </c>
      <c r="E5016" s="1">
        <v>4.4900000000000002E-2</v>
      </c>
      <c r="F5016" s="1">
        <v>3.5000000000000001E-3</v>
      </c>
      <c r="G5016" s="1">
        <v>0.56240000000000001</v>
      </c>
      <c r="H5016" s="1">
        <v>0.22850000000000001</v>
      </c>
      <c r="I5016" s="1">
        <v>1E-4</v>
      </c>
      <c r="J5016" s="1">
        <v>4.8999999999999998E-3</v>
      </c>
      <c r="K5016" s="1">
        <v>0.15570000000000001</v>
      </c>
    </row>
    <row r="5017" spans="1:11">
      <c r="A5017" s="25" t="s">
        <v>192</v>
      </c>
      <c r="B5017">
        <v>10434</v>
      </c>
      <c r="C5017" t="s">
        <v>192</v>
      </c>
      <c r="D5017">
        <v>10434</v>
      </c>
      <c r="E5017" s="1">
        <v>3.9600000000000003E-2</v>
      </c>
      <c r="F5017" s="1">
        <v>3.5000000000000001E-3</v>
      </c>
      <c r="G5017" s="1">
        <v>0.56040000000000001</v>
      </c>
      <c r="H5017" s="1">
        <v>0.20580000000000001</v>
      </c>
      <c r="I5017" s="1">
        <v>1E-4</v>
      </c>
      <c r="J5017" s="1">
        <v>5.1000000000000004E-3</v>
      </c>
      <c r="K5017" s="1">
        <v>0.18559999999999999</v>
      </c>
    </row>
    <row r="5019" spans="1:11" ht="43.5">
      <c r="A5019" s="25" t="s">
        <v>1458</v>
      </c>
    </row>
    <row r="5020" spans="1:11">
      <c r="A5020" s="25" t="s">
        <v>182</v>
      </c>
      <c r="B5020" t="s">
        <v>219</v>
      </c>
      <c r="C5020" t="s">
        <v>181</v>
      </c>
      <c r="D5020" t="s">
        <v>188</v>
      </c>
      <c r="E5020" t="s">
        <v>1453</v>
      </c>
      <c r="F5020" t="s">
        <v>241</v>
      </c>
      <c r="G5020" t="s">
        <v>1454</v>
      </c>
      <c r="H5020" t="s">
        <v>1455</v>
      </c>
      <c r="I5020" t="s">
        <v>243</v>
      </c>
      <c r="J5020" t="s">
        <v>1456</v>
      </c>
      <c r="K5020" t="s">
        <v>1457</v>
      </c>
    </row>
    <row r="5021" spans="1:11" ht="29.1">
      <c r="A5021" s="25" t="s">
        <v>194</v>
      </c>
      <c r="B5021">
        <v>5954</v>
      </c>
      <c r="C5021" t="s">
        <v>189</v>
      </c>
      <c r="D5021">
        <v>10434</v>
      </c>
      <c r="E5021" s="1">
        <v>3.8100000000000002E-2</v>
      </c>
      <c r="F5021" s="1">
        <v>2.3E-3</v>
      </c>
      <c r="G5021" s="1">
        <v>0.54849999999999999</v>
      </c>
      <c r="H5021" s="1">
        <v>0.2006</v>
      </c>
      <c r="I5021" s="1">
        <v>0</v>
      </c>
      <c r="J5021" s="1">
        <v>3.0000000000000001E-3</v>
      </c>
      <c r="K5021" s="1">
        <v>0.20749999999999999</v>
      </c>
    </row>
    <row r="5022" spans="1:11" ht="29.1">
      <c r="A5022" s="25" t="s">
        <v>195</v>
      </c>
      <c r="B5022">
        <v>2703</v>
      </c>
      <c r="C5022" t="s">
        <v>189</v>
      </c>
      <c r="D5022">
        <v>10434</v>
      </c>
      <c r="E5022" s="1">
        <v>3.95E-2</v>
      </c>
      <c r="F5022" s="1">
        <v>4.4000000000000003E-3</v>
      </c>
      <c r="G5022" s="1">
        <v>0.59299999999999997</v>
      </c>
      <c r="H5022" s="1">
        <v>0.2009</v>
      </c>
      <c r="J5022" s="1">
        <v>1.0800000000000001E-2</v>
      </c>
      <c r="K5022" s="1">
        <v>0.15140000000000001</v>
      </c>
    </row>
    <row r="5023" spans="1:11" ht="29.1">
      <c r="A5023" s="25" t="s">
        <v>196</v>
      </c>
      <c r="B5023">
        <v>1720</v>
      </c>
      <c r="C5023" t="s">
        <v>189</v>
      </c>
      <c r="D5023">
        <v>10434</v>
      </c>
      <c r="E5023" s="1">
        <v>5.0299999999999997E-2</v>
      </c>
      <c r="F5023" s="1">
        <v>1.01E-2</v>
      </c>
      <c r="G5023" s="1">
        <v>0.58409999999999995</v>
      </c>
      <c r="H5023" s="1">
        <v>0.25569999999999998</v>
      </c>
      <c r="I5023" s="1">
        <v>4.0000000000000002E-4</v>
      </c>
      <c r="J5023" s="1">
        <v>9.1999999999999998E-3</v>
      </c>
      <c r="K5023" s="1">
        <v>9.0200000000000002E-2</v>
      </c>
    </row>
    <row r="5024" spans="1:11">
      <c r="A5024" s="25" t="s">
        <v>192</v>
      </c>
      <c r="B5024">
        <v>10434</v>
      </c>
      <c r="C5024" t="s">
        <v>192</v>
      </c>
      <c r="D5024">
        <v>10434</v>
      </c>
      <c r="E5024" s="1">
        <v>3.9600000000000003E-2</v>
      </c>
      <c r="F5024" s="1">
        <v>3.5000000000000001E-3</v>
      </c>
      <c r="G5024" s="1">
        <v>0.56040000000000001</v>
      </c>
      <c r="H5024" s="1">
        <v>0.20580000000000001</v>
      </c>
      <c r="I5024" s="1">
        <v>1E-4</v>
      </c>
      <c r="J5024" s="1">
        <v>5.1000000000000004E-3</v>
      </c>
      <c r="K5024" s="1">
        <v>0.18559999999999999</v>
      </c>
    </row>
    <row r="5026" spans="1:11" ht="43.5">
      <c r="A5026" s="25" t="s">
        <v>1459</v>
      </c>
    </row>
    <row r="5027" spans="1:11">
      <c r="A5027" s="25" t="s">
        <v>182</v>
      </c>
      <c r="B5027" t="s">
        <v>219</v>
      </c>
      <c r="C5027" t="s">
        <v>181</v>
      </c>
      <c r="D5027" t="s">
        <v>188</v>
      </c>
      <c r="E5027" t="s">
        <v>1453</v>
      </c>
      <c r="F5027" t="s">
        <v>241</v>
      </c>
      <c r="G5027" t="s">
        <v>1454</v>
      </c>
      <c r="H5027" t="s">
        <v>1455</v>
      </c>
      <c r="I5027" t="s">
        <v>243</v>
      </c>
      <c r="J5027" t="s">
        <v>1456</v>
      </c>
      <c r="K5027" t="s">
        <v>1457</v>
      </c>
    </row>
    <row r="5028" spans="1:11">
      <c r="A5028" s="25" t="s">
        <v>198</v>
      </c>
      <c r="B5028">
        <v>2264</v>
      </c>
      <c r="C5028" t="s">
        <v>189</v>
      </c>
      <c r="D5028">
        <v>10434</v>
      </c>
      <c r="E5028" s="1">
        <v>7.1900000000000006E-2</v>
      </c>
      <c r="F5028" s="1">
        <v>8.6999999999999994E-3</v>
      </c>
      <c r="G5028" s="1">
        <v>0.52559999999999996</v>
      </c>
      <c r="H5028" s="1">
        <v>0.23810000000000001</v>
      </c>
      <c r="J5028" s="1">
        <v>1.3100000000000001E-2</v>
      </c>
      <c r="K5028" s="1">
        <v>0.1426</v>
      </c>
    </row>
    <row r="5029" spans="1:11">
      <c r="A5029" s="25" t="s">
        <v>199</v>
      </c>
      <c r="B5029">
        <v>8170</v>
      </c>
      <c r="C5029" t="s">
        <v>189</v>
      </c>
      <c r="D5029">
        <v>10434</v>
      </c>
      <c r="E5029" s="1">
        <v>3.2300000000000002E-2</v>
      </c>
      <c r="F5029" s="1">
        <v>2.3E-3</v>
      </c>
      <c r="G5029" s="1">
        <v>0.56820000000000004</v>
      </c>
      <c r="H5029" s="1">
        <v>0.19850000000000001</v>
      </c>
      <c r="I5029" s="1">
        <v>1E-4</v>
      </c>
      <c r="J5029" s="1">
        <v>3.3E-3</v>
      </c>
      <c r="K5029" s="1">
        <v>0.1953</v>
      </c>
    </row>
    <row r="5030" spans="1:11">
      <c r="A5030" s="25" t="s">
        <v>192</v>
      </c>
      <c r="B5030">
        <v>10434</v>
      </c>
      <c r="C5030" t="s">
        <v>192</v>
      </c>
      <c r="D5030">
        <v>10434</v>
      </c>
      <c r="E5030" s="1">
        <v>3.9600000000000003E-2</v>
      </c>
      <c r="F5030" s="1">
        <v>3.5000000000000001E-3</v>
      </c>
      <c r="G5030" s="1">
        <v>0.56040000000000001</v>
      </c>
      <c r="H5030" s="1">
        <v>0.20580000000000001</v>
      </c>
      <c r="I5030" s="1">
        <v>1E-4</v>
      </c>
      <c r="J5030" s="1">
        <v>5.1000000000000004E-3</v>
      </c>
      <c r="K5030" s="1">
        <v>0.18559999999999999</v>
      </c>
    </row>
    <row r="5032" spans="1:11" ht="43.5">
      <c r="A5032" s="25" t="s">
        <v>1460</v>
      </c>
    </row>
    <row r="5033" spans="1:11">
      <c r="A5033" s="25" t="s">
        <v>182</v>
      </c>
      <c r="B5033" t="s">
        <v>219</v>
      </c>
      <c r="C5033" t="s">
        <v>181</v>
      </c>
      <c r="D5033" t="s">
        <v>188</v>
      </c>
      <c r="E5033" t="s">
        <v>1453</v>
      </c>
      <c r="F5033" t="s">
        <v>241</v>
      </c>
      <c r="G5033" t="s">
        <v>1454</v>
      </c>
      <c r="H5033" t="s">
        <v>1455</v>
      </c>
      <c r="I5033" t="s">
        <v>243</v>
      </c>
      <c r="J5033" t="s">
        <v>1456</v>
      </c>
      <c r="K5033" t="s">
        <v>1457</v>
      </c>
    </row>
    <row r="5034" spans="1:11">
      <c r="A5034" s="25" t="s">
        <v>201</v>
      </c>
      <c r="B5034">
        <v>767</v>
      </c>
      <c r="C5034" t="s">
        <v>189</v>
      </c>
      <c r="D5034">
        <v>10434</v>
      </c>
      <c r="E5034" s="1">
        <v>3.2500000000000001E-2</v>
      </c>
      <c r="F5034" s="1">
        <v>7.9000000000000008E-3</v>
      </c>
      <c r="G5034" s="1">
        <v>0.61850000000000005</v>
      </c>
      <c r="H5034" s="1">
        <v>0.20180000000000001</v>
      </c>
      <c r="J5034" s="1">
        <v>1.6999999999999999E-3</v>
      </c>
      <c r="K5034" s="1">
        <v>0.1376</v>
      </c>
    </row>
    <row r="5035" spans="1:11">
      <c r="A5035" s="25" t="s">
        <v>202</v>
      </c>
      <c r="B5035">
        <v>110</v>
      </c>
      <c r="C5035" t="s">
        <v>189</v>
      </c>
      <c r="D5035">
        <v>10434</v>
      </c>
      <c r="E5035" s="1">
        <v>1.3299999999999999E-2</v>
      </c>
      <c r="F5035" s="1">
        <v>4.0000000000000001E-3</v>
      </c>
      <c r="G5035" s="1">
        <v>0.49559999999999998</v>
      </c>
      <c r="H5035" s="1">
        <v>0.2334</v>
      </c>
      <c r="J5035" s="1">
        <v>4.0000000000000001E-3</v>
      </c>
      <c r="K5035" s="1">
        <v>0.24970000000000001</v>
      </c>
    </row>
    <row r="5036" spans="1:11">
      <c r="A5036" s="25" t="s">
        <v>203</v>
      </c>
      <c r="B5036">
        <v>8042</v>
      </c>
      <c r="C5036" t="s">
        <v>189</v>
      </c>
      <c r="D5036">
        <v>10434</v>
      </c>
      <c r="E5036" s="1">
        <v>3.8199999999999998E-2</v>
      </c>
      <c r="F5036" s="1">
        <v>3.0999999999999999E-3</v>
      </c>
      <c r="G5036" s="1">
        <v>0.55579999999999996</v>
      </c>
      <c r="H5036" s="1">
        <v>0.20810000000000001</v>
      </c>
      <c r="I5036" s="1">
        <v>0</v>
      </c>
      <c r="J5036" s="1">
        <v>4.4999999999999997E-3</v>
      </c>
      <c r="K5036" s="1">
        <v>0.1903</v>
      </c>
    </row>
    <row r="5037" spans="1:11">
      <c r="A5037" s="25" t="s">
        <v>204</v>
      </c>
      <c r="B5037">
        <v>31</v>
      </c>
      <c r="C5037" t="s">
        <v>189</v>
      </c>
      <c r="D5037">
        <v>10434</v>
      </c>
      <c r="G5037" s="1">
        <v>0.49409999999999998</v>
      </c>
      <c r="H5037" s="1">
        <v>0.1515</v>
      </c>
      <c r="J5037" s="1">
        <v>2.87E-2</v>
      </c>
      <c r="K5037" s="1">
        <v>0.32579999999999998</v>
      </c>
    </row>
    <row r="5038" spans="1:11">
      <c r="A5038" s="25" t="s">
        <v>205</v>
      </c>
      <c r="B5038">
        <v>1484</v>
      </c>
      <c r="C5038" t="s">
        <v>189</v>
      </c>
      <c r="D5038">
        <v>10434</v>
      </c>
      <c r="E5038" s="1">
        <v>5.2499999999999998E-2</v>
      </c>
      <c r="F5038" s="1">
        <v>3.2000000000000002E-3</v>
      </c>
      <c r="G5038" s="1">
        <v>0.56100000000000005</v>
      </c>
      <c r="H5038" s="1">
        <v>0.19420000000000001</v>
      </c>
      <c r="I5038" s="1">
        <v>2.9999999999999997E-4</v>
      </c>
      <c r="J5038" s="1">
        <v>9.9000000000000008E-3</v>
      </c>
      <c r="K5038" s="1">
        <v>0.1789</v>
      </c>
    </row>
    <row r="5039" spans="1:11">
      <c r="A5039" s="25" t="s">
        <v>192</v>
      </c>
      <c r="B5039">
        <v>10434</v>
      </c>
      <c r="C5039" t="s">
        <v>192</v>
      </c>
      <c r="D5039">
        <v>10434</v>
      </c>
      <c r="E5039" s="1">
        <v>3.9600000000000003E-2</v>
      </c>
      <c r="F5039" s="1">
        <v>3.5000000000000001E-3</v>
      </c>
      <c r="G5039" s="1">
        <v>0.56040000000000001</v>
      </c>
      <c r="H5039" s="1">
        <v>0.20580000000000001</v>
      </c>
      <c r="I5039" s="1">
        <v>1E-4</v>
      </c>
      <c r="J5039" s="1">
        <v>5.1000000000000004E-3</v>
      </c>
      <c r="K5039" s="1">
        <v>0.18559999999999999</v>
      </c>
    </row>
    <row r="5041" spans="1:11" ht="43.5">
      <c r="A5041" s="25" t="s">
        <v>1461</v>
      </c>
    </row>
    <row r="5042" spans="1:11">
      <c r="A5042" s="25" t="s">
        <v>182</v>
      </c>
      <c r="B5042" t="s">
        <v>219</v>
      </c>
      <c r="C5042" t="s">
        <v>181</v>
      </c>
      <c r="D5042" t="s">
        <v>188</v>
      </c>
      <c r="E5042" t="s">
        <v>1453</v>
      </c>
      <c r="F5042" t="s">
        <v>241</v>
      </c>
      <c r="G5042" t="s">
        <v>1454</v>
      </c>
      <c r="H5042" t="s">
        <v>1455</v>
      </c>
      <c r="I5042" t="s">
        <v>243</v>
      </c>
      <c r="J5042" t="s">
        <v>1456</v>
      </c>
      <c r="K5042" t="s">
        <v>1457</v>
      </c>
    </row>
    <row r="5043" spans="1:11">
      <c r="A5043" s="25" t="s">
        <v>207</v>
      </c>
      <c r="B5043">
        <v>7254</v>
      </c>
      <c r="C5043" t="s">
        <v>189</v>
      </c>
      <c r="D5043">
        <v>10434</v>
      </c>
      <c r="E5043" s="1">
        <v>3.5099999999999999E-2</v>
      </c>
      <c r="F5043" s="1">
        <v>2.8999999999999998E-3</v>
      </c>
      <c r="G5043" s="1">
        <v>0.56479999999999997</v>
      </c>
      <c r="H5043" s="1">
        <v>0.20269999999999999</v>
      </c>
      <c r="I5043" s="1">
        <v>1E-4</v>
      </c>
      <c r="J5043" s="1">
        <v>4.4999999999999997E-3</v>
      </c>
      <c r="K5043" s="1">
        <v>0.19</v>
      </c>
    </row>
    <row r="5044" spans="1:11">
      <c r="A5044" s="25" t="s">
        <v>208</v>
      </c>
      <c r="B5044">
        <v>2245</v>
      </c>
      <c r="C5044" t="s">
        <v>189</v>
      </c>
      <c r="D5044">
        <v>10434</v>
      </c>
      <c r="E5044" s="1">
        <v>5.62E-2</v>
      </c>
      <c r="F5044" s="1">
        <v>5.1000000000000004E-3</v>
      </c>
      <c r="G5044" s="1">
        <v>0.54590000000000005</v>
      </c>
      <c r="H5044" s="1">
        <v>0.2235</v>
      </c>
      <c r="J5044" s="1">
        <v>7.1999999999999998E-3</v>
      </c>
      <c r="K5044" s="1">
        <v>0.16209999999999999</v>
      </c>
    </row>
    <row r="5045" spans="1:11">
      <c r="A5045" s="25" t="s">
        <v>209</v>
      </c>
      <c r="B5045">
        <v>935</v>
      </c>
      <c r="C5045" t="s">
        <v>189</v>
      </c>
      <c r="D5045">
        <v>10434</v>
      </c>
      <c r="E5045" s="1">
        <v>3.1199999999999999E-2</v>
      </c>
      <c r="F5045" s="1">
        <v>4.1000000000000003E-3</v>
      </c>
      <c r="G5045" s="1">
        <v>0.56359999999999999</v>
      </c>
      <c r="H5045" s="1">
        <v>0.18279999999999999</v>
      </c>
      <c r="J5045" s="1">
        <v>3.5999999999999999E-3</v>
      </c>
      <c r="K5045" s="1">
        <v>0.2147</v>
      </c>
    </row>
    <row r="5046" spans="1:11">
      <c r="A5046" s="25" t="s">
        <v>192</v>
      </c>
      <c r="B5046">
        <v>10434</v>
      </c>
      <c r="C5046" t="s">
        <v>192</v>
      </c>
      <c r="D5046">
        <v>10434</v>
      </c>
      <c r="E5046" s="1">
        <v>3.9600000000000003E-2</v>
      </c>
      <c r="F5046" s="1">
        <v>3.5000000000000001E-3</v>
      </c>
      <c r="G5046" s="1">
        <v>0.56040000000000001</v>
      </c>
      <c r="H5046" s="1">
        <v>0.20580000000000001</v>
      </c>
      <c r="I5046" s="1">
        <v>1E-4</v>
      </c>
      <c r="J5046" s="1">
        <v>5.1000000000000004E-3</v>
      </c>
      <c r="K5046" s="1">
        <v>0.18559999999999999</v>
      </c>
    </row>
    <row r="5048" spans="1:11" ht="43.5">
      <c r="A5048" s="25" t="s">
        <v>1462</v>
      </c>
    </row>
    <row r="5049" spans="1:11">
      <c r="A5049" s="25" t="s">
        <v>182</v>
      </c>
      <c r="B5049" t="s">
        <v>219</v>
      </c>
      <c r="C5049" t="s">
        <v>181</v>
      </c>
      <c r="D5049" t="s">
        <v>188</v>
      </c>
      <c r="E5049" t="s">
        <v>1453</v>
      </c>
      <c r="F5049" t="s">
        <v>241</v>
      </c>
      <c r="G5049" t="s">
        <v>1454</v>
      </c>
      <c r="H5049" t="s">
        <v>1455</v>
      </c>
      <c r="I5049" t="s">
        <v>243</v>
      </c>
      <c r="J5049" t="s">
        <v>1456</v>
      </c>
      <c r="K5049" t="s">
        <v>1457</v>
      </c>
    </row>
    <row r="5050" spans="1:11">
      <c r="A5050" s="25" t="s">
        <v>211</v>
      </c>
      <c r="B5050">
        <v>4972</v>
      </c>
      <c r="C5050" t="s">
        <v>189</v>
      </c>
      <c r="D5050">
        <v>10434</v>
      </c>
      <c r="E5050" s="1">
        <v>3.5499999999999997E-2</v>
      </c>
      <c r="F5050" s="1">
        <v>1.8E-3</v>
      </c>
      <c r="G5050" s="1">
        <v>0.58550000000000002</v>
      </c>
      <c r="H5050" s="1">
        <v>0.1895</v>
      </c>
      <c r="I5050" s="1">
        <v>1E-4</v>
      </c>
      <c r="J5050" s="1">
        <v>4.7999999999999996E-3</v>
      </c>
      <c r="K5050" s="1">
        <v>0.1827</v>
      </c>
    </row>
    <row r="5051" spans="1:11">
      <c r="A5051" s="25" t="s">
        <v>212</v>
      </c>
      <c r="B5051">
        <v>3376</v>
      </c>
      <c r="C5051" t="s">
        <v>189</v>
      </c>
      <c r="D5051">
        <v>10434</v>
      </c>
      <c r="E5051" s="1">
        <v>5.2600000000000001E-2</v>
      </c>
      <c r="F5051" s="1">
        <v>3.3E-3</v>
      </c>
      <c r="G5051" s="1">
        <v>0.54259999999999997</v>
      </c>
      <c r="H5051" s="1">
        <v>0.2402</v>
      </c>
      <c r="J5051" s="1">
        <v>5.1000000000000004E-3</v>
      </c>
      <c r="K5051" s="1">
        <v>0.15609999999999999</v>
      </c>
    </row>
    <row r="5052" spans="1:11">
      <c r="A5052" s="25" t="s">
        <v>213</v>
      </c>
      <c r="B5052">
        <v>2086</v>
      </c>
      <c r="C5052" t="s">
        <v>189</v>
      </c>
      <c r="D5052">
        <v>10434</v>
      </c>
      <c r="E5052" s="1">
        <v>2.9700000000000001E-2</v>
      </c>
      <c r="F5052" s="1">
        <v>7.1000000000000004E-3</v>
      </c>
      <c r="G5052" s="1">
        <v>0.53190000000000004</v>
      </c>
      <c r="H5052" s="1">
        <v>0.1918</v>
      </c>
      <c r="I5052" s="1">
        <v>1E-4</v>
      </c>
      <c r="J5052" s="1">
        <v>5.5999999999999999E-3</v>
      </c>
      <c r="K5052" s="1">
        <v>0.23380000000000001</v>
      </c>
    </row>
    <row r="5053" spans="1:11">
      <c r="A5053" s="25" t="s">
        <v>192</v>
      </c>
      <c r="B5053">
        <v>10434</v>
      </c>
      <c r="C5053" t="s">
        <v>192</v>
      </c>
      <c r="D5053">
        <v>10434</v>
      </c>
      <c r="E5053" s="1">
        <v>3.9600000000000003E-2</v>
      </c>
      <c r="F5053" s="1">
        <v>3.5000000000000001E-3</v>
      </c>
      <c r="G5053" s="1">
        <v>0.56040000000000001</v>
      </c>
      <c r="H5053" s="1">
        <v>0.20580000000000001</v>
      </c>
      <c r="I5053" s="1">
        <v>1E-4</v>
      </c>
      <c r="J5053" s="1">
        <v>5.1000000000000004E-3</v>
      </c>
      <c r="K5053" s="1">
        <v>0.18559999999999999</v>
      </c>
    </row>
    <row r="5055" spans="1:11" ht="43.5">
      <c r="A5055" s="25" t="s">
        <v>1463</v>
      </c>
    </row>
    <row r="5056" spans="1:11">
      <c r="A5056" s="25" t="s">
        <v>182</v>
      </c>
      <c r="B5056" t="s">
        <v>219</v>
      </c>
      <c r="C5056" t="s">
        <v>181</v>
      </c>
      <c r="D5056" t="s">
        <v>188</v>
      </c>
      <c r="E5056" t="s">
        <v>241</v>
      </c>
      <c r="F5056" t="s">
        <v>1464</v>
      </c>
      <c r="G5056" t="s">
        <v>1465</v>
      </c>
      <c r="H5056" t="s">
        <v>243</v>
      </c>
      <c r="I5056" t="s">
        <v>221</v>
      </c>
    </row>
    <row r="5057" spans="1:9">
      <c r="A5057" s="25" t="s">
        <v>190</v>
      </c>
      <c r="B5057">
        <v>4903</v>
      </c>
      <c r="C5057" t="s">
        <v>189</v>
      </c>
      <c r="D5057">
        <v>10434</v>
      </c>
      <c r="E5057" s="1">
        <v>2E-3</v>
      </c>
      <c r="F5057" s="1">
        <v>0.1009</v>
      </c>
      <c r="G5057" s="1">
        <v>0.71679999999999999</v>
      </c>
      <c r="H5057" s="1">
        <v>8.0000000000000004E-4</v>
      </c>
      <c r="I5057" s="1">
        <v>0.17949999999999999</v>
      </c>
    </row>
    <row r="5058" spans="1:9">
      <c r="A5058" s="25" t="s">
        <v>191</v>
      </c>
      <c r="B5058">
        <v>5474</v>
      </c>
      <c r="C5058" t="s">
        <v>189</v>
      </c>
      <c r="D5058">
        <v>10434</v>
      </c>
      <c r="E5058" s="1">
        <v>2.0000000000000001E-4</v>
      </c>
      <c r="F5058" s="1">
        <v>8.5300000000000001E-2</v>
      </c>
      <c r="G5058" s="1">
        <v>0.62380000000000002</v>
      </c>
      <c r="H5058" s="1">
        <v>2.2000000000000001E-3</v>
      </c>
      <c r="I5058" s="1">
        <v>0.28849999999999998</v>
      </c>
    </row>
    <row r="5059" spans="1:9">
      <c r="A5059" s="25" t="s">
        <v>192</v>
      </c>
      <c r="B5059">
        <v>10434</v>
      </c>
      <c r="C5059" t="s">
        <v>192</v>
      </c>
      <c r="D5059">
        <v>10434</v>
      </c>
      <c r="E5059" s="1">
        <v>8.9999999999999998E-4</v>
      </c>
      <c r="F5059" s="1">
        <v>9.1200000000000003E-2</v>
      </c>
      <c r="G5059" s="1">
        <v>0.65910000000000002</v>
      </c>
      <c r="H5059" s="1">
        <v>1.6999999999999999E-3</v>
      </c>
      <c r="I5059" s="1">
        <v>0.24709999999999999</v>
      </c>
    </row>
    <row r="5061" spans="1:9" ht="43.5">
      <c r="A5061" s="25" t="s">
        <v>1466</v>
      </c>
    </row>
    <row r="5062" spans="1:9">
      <c r="A5062" s="25" t="s">
        <v>182</v>
      </c>
      <c r="B5062" t="s">
        <v>219</v>
      </c>
      <c r="C5062" t="s">
        <v>181</v>
      </c>
      <c r="D5062" t="s">
        <v>188</v>
      </c>
      <c r="E5062" t="s">
        <v>241</v>
      </c>
      <c r="F5062" t="s">
        <v>1464</v>
      </c>
      <c r="G5062" t="s">
        <v>1465</v>
      </c>
      <c r="H5062" t="s">
        <v>243</v>
      </c>
      <c r="I5062" t="s">
        <v>221</v>
      </c>
    </row>
    <row r="5063" spans="1:9" ht="29.1">
      <c r="A5063" s="25" t="s">
        <v>194</v>
      </c>
      <c r="B5063">
        <v>5954</v>
      </c>
      <c r="C5063" t="s">
        <v>189</v>
      </c>
      <c r="D5063">
        <v>10434</v>
      </c>
      <c r="E5063" s="1">
        <v>8.9999999999999998E-4</v>
      </c>
      <c r="F5063" s="1">
        <v>8.9899999999999994E-2</v>
      </c>
      <c r="G5063" s="1">
        <v>0.67200000000000004</v>
      </c>
      <c r="H5063" s="1">
        <v>2E-3</v>
      </c>
      <c r="I5063" s="1">
        <v>0.2351</v>
      </c>
    </row>
    <row r="5064" spans="1:9" ht="29.1">
      <c r="A5064" s="25" t="s">
        <v>195</v>
      </c>
      <c r="B5064">
        <v>2703</v>
      </c>
      <c r="C5064" t="s">
        <v>189</v>
      </c>
      <c r="D5064">
        <v>10434</v>
      </c>
      <c r="E5064" s="1">
        <v>5.0000000000000001E-4</v>
      </c>
      <c r="F5064" s="1">
        <v>8.1100000000000005E-2</v>
      </c>
      <c r="G5064" s="1">
        <v>0.63449999999999995</v>
      </c>
      <c r="H5064" s="1">
        <v>5.0000000000000001E-4</v>
      </c>
      <c r="I5064" s="1">
        <v>0.28349999999999997</v>
      </c>
    </row>
    <row r="5065" spans="1:9" ht="29.1">
      <c r="A5065" s="25" t="s">
        <v>196</v>
      </c>
      <c r="B5065">
        <v>1720</v>
      </c>
      <c r="C5065" t="s">
        <v>189</v>
      </c>
      <c r="D5065">
        <v>10434</v>
      </c>
      <c r="E5065" s="1">
        <v>1.6000000000000001E-3</v>
      </c>
      <c r="F5065" s="1">
        <v>0.12230000000000001</v>
      </c>
      <c r="G5065" s="1">
        <v>0.6129</v>
      </c>
      <c r="H5065" s="1">
        <v>1.4E-3</v>
      </c>
      <c r="I5065" s="1">
        <v>0.26179999999999998</v>
      </c>
    </row>
    <row r="5066" spans="1:9">
      <c r="A5066" s="25" t="s">
        <v>192</v>
      </c>
      <c r="B5066">
        <v>10434</v>
      </c>
      <c r="C5066" t="s">
        <v>192</v>
      </c>
      <c r="D5066">
        <v>10434</v>
      </c>
      <c r="E5066" s="1">
        <v>8.9999999999999998E-4</v>
      </c>
      <c r="F5066" s="1">
        <v>9.1200000000000003E-2</v>
      </c>
      <c r="G5066" s="1">
        <v>0.65910000000000002</v>
      </c>
      <c r="H5066" s="1">
        <v>1.6999999999999999E-3</v>
      </c>
      <c r="I5066" s="1">
        <v>0.24709999999999999</v>
      </c>
    </row>
    <row r="5068" spans="1:9" ht="43.5">
      <c r="A5068" s="25" t="s">
        <v>1467</v>
      </c>
    </row>
    <row r="5069" spans="1:9">
      <c r="A5069" s="25" t="s">
        <v>182</v>
      </c>
      <c r="B5069" t="s">
        <v>219</v>
      </c>
      <c r="C5069" t="s">
        <v>181</v>
      </c>
      <c r="D5069" t="s">
        <v>188</v>
      </c>
      <c r="E5069" t="s">
        <v>241</v>
      </c>
      <c r="F5069" t="s">
        <v>1464</v>
      </c>
      <c r="G5069" t="s">
        <v>1465</v>
      </c>
      <c r="H5069" t="s">
        <v>243</v>
      </c>
      <c r="I5069" t="s">
        <v>221</v>
      </c>
    </row>
    <row r="5070" spans="1:9">
      <c r="A5070" s="25" t="s">
        <v>198</v>
      </c>
      <c r="B5070">
        <v>2264</v>
      </c>
      <c r="C5070" t="s">
        <v>189</v>
      </c>
      <c r="D5070">
        <v>10434</v>
      </c>
      <c r="E5070" s="1">
        <v>1E-3</v>
      </c>
      <c r="F5070" s="1">
        <v>0.15160000000000001</v>
      </c>
      <c r="G5070" s="1">
        <v>0.59660000000000002</v>
      </c>
      <c r="H5070" s="1">
        <v>2.5999999999999999E-3</v>
      </c>
      <c r="I5070" s="1">
        <v>0.2482</v>
      </c>
    </row>
    <row r="5071" spans="1:9">
      <c r="A5071" s="25" t="s">
        <v>199</v>
      </c>
      <c r="B5071">
        <v>8170</v>
      </c>
      <c r="C5071" t="s">
        <v>189</v>
      </c>
      <c r="D5071">
        <v>10434</v>
      </c>
      <c r="E5071" s="1">
        <v>8.9999999999999998E-4</v>
      </c>
      <c r="F5071" s="1">
        <v>7.7700000000000005E-2</v>
      </c>
      <c r="G5071" s="1">
        <v>0.67310000000000003</v>
      </c>
      <c r="H5071" s="1">
        <v>1.5E-3</v>
      </c>
      <c r="I5071" s="1">
        <v>0.24690000000000001</v>
      </c>
    </row>
    <row r="5072" spans="1:9">
      <c r="A5072" s="25" t="s">
        <v>192</v>
      </c>
      <c r="B5072">
        <v>10434</v>
      </c>
      <c r="C5072" t="s">
        <v>192</v>
      </c>
      <c r="D5072">
        <v>10434</v>
      </c>
      <c r="E5072" s="1">
        <v>8.9999999999999998E-4</v>
      </c>
      <c r="F5072" s="1">
        <v>9.1200000000000003E-2</v>
      </c>
      <c r="G5072" s="1">
        <v>0.65910000000000002</v>
      </c>
      <c r="H5072" s="1">
        <v>1.6999999999999999E-3</v>
      </c>
      <c r="I5072" s="1">
        <v>0.24709999999999999</v>
      </c>
    </row>
    <row r="5074" spans="1:9" ht="43.5">
      <c r="A5074" s="25" t="s">
        <v>1468</v>
      </c>
    </row>
    <row r="5075" spans="1:9">
      <c r="A5075" s="25" t="s">
        <v>182</v>
      </c>
      <c r="B5075" t="s">
        <v>219</v>
      </c>
      <c r="C5075" t="s">
        <v>181</v>
      </c>
      <c r="D5075" t="s">
        <v>188</v>
      </c>
      <c r="E5075" t="s">
        <v>241</v>
      </c>
      <c r="F5075" t="s">
        <v>1464</v>
      </c>
      <c r="G5075" t="s">
        <v>1465</v>
      </c>
      <c r="H5075" t="s">
        <v>243</v>
      </c>
      <c r="I5075" t="s">
        <v>221</v>
      </c>
    </row>
    <row r="5076" spans="1:9">
      <c r="A5076" s="25" t="s">
        <v>201</v>
      </c>
      <c r="B5076">
        <v>767</v>
      </c>
      <c r="C5076" t="s">
        <v>189</v>
      </c>
      <c r="D5076">
        <v>10434</v>
      </c>
      <c r="E5076" s="1">
        <v>1.1000000000000001E-3</v>
      </c>
      <c r="F5076" s="1">
        <v>0.1007</v>
      </c>
      <c r="G5076" s="1">
        <v>0.69310000000000005</v>
      </c>
      <c r="H5076" s="1">
        <v>2.3E-3</v>
      </c>
      <c r="I5076" s="1">
        <v>0.2029</v>
      </c>
    </row>
    <row r="5077" spans="1:9">
      <c r="A5077" s="25" t="s">
        <v>202</v>
      </c>
      <c r="B5077">
        <v>110</v>
      </c>
      <c r="C5077" t="s">
        <v>189</v>
      </c>
      <c r="D5077">
        <v>10434</v>
      </c>
      <c r="F5077" s="1">
        <v>7.0699999999999999E-2</v>
      </c>
      <c r="G5077" s="1">
        <v>0.70069999999999999</v>
      </c>
      <c r="H5077" s="1">
        <v>1.29E-2</v>
      </c>
      <c r="I5077" s="1">
        <v>0.2157</v>
      </c>
    </row>
    <row r="5078" spans="1:9">
      <c r="A5078" s="25" t="s">
        <v>203</v>
      </c>
      <c r="B5078">
        <v>8042</v>
      </c>
      <c r="C5078" t="s">
        <v>189</v>
      </c>
      <c r="D5078">
        <v>10434</v>
      </c>
      <c r="E5078" s="1">
        <v>8.9999999999999998E-4</v>
      </c>
      <c r="F5078" s="1">
        <v>9.5200000000000007E-2</v>
      </c>
      <c r="G5078" s="1">
        <v>0.66290000000000004</v>
      </c>
      <c r="H5078" s="1">
        <v>5.9999999999999995E-4</v>
      </c>
      <c r="I5078" s="1">
        <v>0.24049999999999999</v>
      </c>
    </row>
    <row r="5079" spans="1:9">
      <c r="A5079" s="25" t="s">
        <v>204</v>
      </c>
      <c r="B5079">
        <v>31</v>
      </c>
      <c r="C5079" t="s">
        <v>189</v>
      </c>
      <c r="D5079">
        <v>10434</v>
      </c>
      <c r="F5079" s="1">
        <v>9.6199999999999994E-2</v>
      </c>
      <c r="G5079" s="1">
        <v>0.65880000000000005</v>
      </c>
      <c r="I5079" s="1">
        <v>0.245</v>
      </c>
    </row>
    <row r="5080" spans="1:9">
      <c r="A5080" s="25" t="s">
        <v>205</v>
      </c>
      <c r="B5080">
        <v>1484</v>
      </c>
      <c r="C5080" t="s">
        <v>189</v>
      </c>
      <c r="D5080">
        <v>10434</v>
      </c>
      <c r="E5080" s="1">
        <v>1E-3</v>
      </c>
      <c r="F5080" s="1">
        <v>6.4600000000000005E-2</v>
      </c>
      <c r="G5080" s="1">
        <v>0.61850000000000005</v>
      </c>
      <c r="H5080" s="1">
        <v>7.1999999999999998E-3</v>
      </c>
      <c r="I5080" s="1">
        <v>0.30869999999999997</v>
      </c>
    </row>
    <row r="5081" spans="1:9">
      <c r="A5081" s="25" t="s">
        <v>192</v>
      </c>
      <c r="B5081">
        <v>10434</v>
      </c>
      <c r="C5081" t="s">
        <v>192</v>
      </c>
      <c r="D5081">
        <v>10434</v>
      </c>
      <c r="E5081" s="1">
        <v>8.9999999999999998E-4</v>
      </c>
      <c r="F5081" s="1">
        <v>9.1200000000000003E-2</v>
      </c>
      <c r="G5081" s="1">
        <v>0.65910000000000002</v>
      </c>
      <c r="H5081" s="1">
        <v>1.6999999999999999E-3</v>
      </c>
      <c r="I5081" s="1">
        <v>0.24709999999999999</v>
      </c>
    </row>
    <row r="5083" spans="1:9" ht="43.5">
      <c r="A5083" s="25" t="s">
        <v>1469</v>
      </c>
    </row>
    <row r="5084" spans="1:9">
      <c r="A5084" s="25" t="s">
        <v>182</v>
      </c>
      <c r="B5084" t="s">
        <v>219</v>
      </c>
      <c r="C5084" t="s">
        <v>181</v>
      </c>
      <c r="D5084" t="s">
        <v>188</v>
      </c>
      <c r="E5084" t="s">
        <v>241</v>
      </c>
      <c r="F5084" t="s">
        <v>1464</v>
      </c>
      <c r="G5084" t="s">
        <v>1465</v>
      </c>
      <c r="H5084" t="s">
        <v>243</v>
      </c>
      <c r="I5084" t="s">
        <v>221</v>
      </c>
    </row>
    <row r="5085" spans="1:9">
      <c r="A5085" s="25" t="s">
        <v>207</v>
      </c>
      <c r="B5085">
        <v>7254</v>
      </c>
      <c r="C5085" t="s">
        <v>189</v>
      </c>
      <c r="D5085">
        <v>10434</v>
      </c>
      <c r="E5085" s="1">
        <v>1.1000000000000001E-3</v>
      </c>
      <c r="F5085" s="1">
        <v>8.4099999999999994E-2</v>
      </c>
      <c r="G5085" s="1">
        <v>0.6613</v>
      </c>
      <c r="H5085" s="1">
        <v>8.9999999999999998E-4</v>
      </c>
      <c r="I5085" s="1">
        <v>0.25259999999999999</v>
      </c>
    </row>
    <row r="5086" spans="1:9">
      <c r="A5086" s="25" t="s">
        <v>208</v>
      </c>
      <c r="B5086">
        <v>2245</v>
      </c>
      <c r="C5086" t="s">
        <v>189</v>
      </c>
      <c r="D5086">
        <v>10434</v>
      </c>
      <c r="E5086" s="1">
        <v>4.0000000000000002E-4</v>
      </c>
      <c r="F5086" s="1">
        <v>0.10829999999999999</v>
      </c>
      <c r="G5086" s="1">
        <v>0.64710000000000001</v>
      </c>
      <c r="H5086" s="1">
        <v>4.0000000000000001E-3</v>
      </c>
      <c r="I5086" s="1">
        <v>0.2402</v>
      </c>
    </row>
    <row r="5087" spans="1:9">
      <c r="A5087" s="25" t="s">
        <v>209</v>
      </c>
      <c r="B5087">
        <v>935</v>
      </c>
      <c r="C5087" t="s">
        <v>189</v>
      </c>
      <c r="D5087">
        <v>10434</v>
      </c>
      <c r="F5087" s="1">
        <v>0.1056</v>
      </c>
      <c r="G5087" s="1">
        <v>0.67400000000000004</v>
      </c>
      <c r="H5087" s="1">
        <v>2E-3</v>
      </c>
      <c r="I5087" s="1">
        <v>0.21840000000000001</v>
      </c>
    </row>
    <row r="5088" spans="1:9">
      <c r="A5088" s="25" t="s">
        <v>192</v>
      </c>
      <c r="B5088">
        <v>10434</v>
      </c>
      <c r="C5088" t="s">
        <v>192</v>
      </c>
      <c r="D5088">
        <v>10434</v>
      </c>
      <c r="E5088" s="1">
        <v>8.9999999999999998E-4</v>
      </c>
      <c r="F5088" s="1">
        <v>9.1200000000000003E-2</v>
      </c>
      <c r="G5088" s="1">
        <v>0.65910000000000002</v>
      </c>
      <c r="H5088" s="1">
        <v>1.6999999999999999E-3</v>
      </c>
      <c r="I5088" s="1">
        <v>0.24709999999999999</v>
      </c>
    </row>
    <row r="5090" spans="1:9" ht="43.5">
      <c r="A5090" s="25" t="s">
        <v>1470</v>
      </c>
    </row>
    <row r="5091" spans="1:9">
      <c r="A5091" s="25" t="s">
        <v>182</v>
      </c>
      <c r="B5091" t="s">
        <v>219</v>
      </c>
      <c r="C5091" t="s">
        <v>181</v>
      </c>
      <c r="D5091" t="s">
        <v>188</v>
      </c>
      <c r="E5091" t="s">
        <v>241</v>
      </c>
      <c r="F5091" t="s">
        <v>1464</v>
      </c>
      <c r="G5091" t="s">
        <v>1465</v>
      </c>
      <c r="H5091" t="s">
        <v>243</v>
      </c>
      <c r="I5091" t="s">
        <v>221</v>
      </c>
    </row>
    <row r="5092" spans="1:9">
      <c r="A5092" s="25" t="s">
        <v>211</v>
      </c>
      <c r="B5092">
        <v>4972</v>
      </c>
      <c r="C5092" t="s">
        <v>189</v>
      </c>
      <c r="D5092">
        <v>10434</v>
      </c>
      <c r="E5092" s="1">
        <v>8.9999999999999998E-4</v>
      </c>
      <c r="F5092" s="1">
        <v>6.8199999999999997E-2</v>
      </c>
      <c r="G5092" s="1">
        <v>0.67390000000000005</v>
      </c>
      <c r="H5092" s="1">
        <v>5.0000000000000001E-4</v>
      </c>
      <c r="I5092" s="1">
        <v>0.25650000000000001</v>
      </c>
    </row>
    <row r="5093" spans="1:9">
      <c r="A5093" s="25" t="s">
        <v>212</v>
      </c>
      <c r="B5093">
        <v>3376</v>
      </c>
      <c r="C5093" t="s">
        <v>189</v>
      </c>
      <c r="D5093">
        <v>10434</v>
      </c>
      <c r="E5093" s="1">
        <v>1.2999999999999999E-3</v>
      </c>
      <c r="F5093" s="1">
        <v>0.12670000000000001</v>
      </c>
      <c r="G5093" s="1">
        <v>0.61719999999999997</v>
      </c>
      <c r="H5093" s="1">
        <v>3.5999999999999999E-3</v>
      </c>
      <c r="I5093" s="1">
        <v>0.25119999999999998</v>
      </c>
    </row>
    <row r="5094" spans="1:9">
      <c r="A5094" s="25" t="s">
        <v>213</v>
      </c>
      <c r="B5094">
        <v>2086</v>
      </c>
      <c r="C5094" t="s">
        <v>189</v>
      </c>
      <c r="D5094">
        <v>10434</v>
      </c>
      <c r="E5094" s="1">
        <v>2.0000000000000001E-4</v>
      </c>
      <c r="F5094" s="1">
        <v>9.0300000000000005E-2</v>
      </c>
      <c r="G5094" s="1">
        <v>0.68689999999999996</v>
      </c>
      <c r="H5094" s="1">
        <v>1.4E-3</v>
      </c>
      <c r="I5094" s="1">
        <v>0.22109999999999999</v>
      </c>
    </row>
    <row r="5095" spans="1:9">
      <c r="A5095" s="25" t="s">
        <v>192</v>
      </c>
      <c r="B5095">
        <v>10434</v>
      </c>
      <c r="C5095" t="s">
        <v>192</v>
      </c>
      <c r="D5095">
        <v>10434</v>
      </c>
      <c r="E5095" s="1">
        <v>8.9999999999999998E-4</v>
      </c>
      <c r="F5095" s="1">
        <v>9.1200000000000003E-2</v>
      </c>
      <c r="G5095" s="1">
        <v>0.65910000000000002</v>
      </c>
      <c r="H5095" s="1">
        <v>1.6999999999999999E-3</v>
      </c>
      <c r="I5095" s="1">
        <v>0.24709999999999999</v>
      </c>
    </row>
    <row r="5097" spans="1:9" ht="43.5">
      <c r="A5097" s="25" t="s">
        <v>1471</v>
      </c>
    </row>
    <row r="5098" spans="1:9">
      <c r="A5098" s="25" t="s">
        <v>181</v>
      </c>
      <c r="B5098" t="s">
        <v>182</v>
      </c>
      <c r="C5098" t="s">
        <v>183</v>
      </c>
      <c r="D5098" t="s">
        <v>184</v>
      </c>
      <c r="E5098" t="s">
        <v>185</v>
      </c>
      <c r="F5098" t="s">
        <v>186</v>
      </c>
      <c r="G5098" t="s">
        <v>187</v>
      </c>
      <c r="H5098" t="s">
        <v>188</v>
      </c>
    </row>
    <row r="5099" spans="1:9">
      <c r="A5099" s="25" t="s">
        <v>189</v>
      </c>
      <c r="B5099" t="s">
        <v>190</v>
      </c>
      <c r="C5099">
        <v>7.7166180298130715E-2</v>
      </c>
      <c r="D5099">
        <v>0</v>
      </c>
      <c r="E5099">
        <v>0</v>
      </c>
      <c r="F5099">
        <v>30</v>
      </c>
      <c r="G5099">
        <v>4713</v>
      </c>
      <c r="H5099">
        <v>9970</v>
      </c>
    </row>
    <row r="5100" spans="1:9">
      <c r="A5100" s="25" t="s">
        <v>189</v>
      </c>
      <c r="B5100" t="s">
        <v>191</v>
      </c>
      <c r="C5100">
        <v>9.9561526572939194E-2</v>
      </c>
      <c r="D5100">
        <v>0</v>
      </c>
      <c r="E5100">
        <v>0</v>
      </c>
      <c r="F5100">
        <v>30</v>
      </c>
      <c r="G5100">
        <v>5207</v>
      </c>
      <c r="H5100">
        <v>9970</v>
      </c>
    </row>
    <row r="5101" spans="1:9">
      <c r="A5101" s="25" t="s">
        <v>192</v>
      </c>
      <c r="B5101" t="s">
        <v>192</v>
      </c>
      <c r="C5101">
        <v>9.0934090897929212E-2</v>
      </c>
      <c r="D5101">
        <v>0</v>
      </c>
      <c r="E5101">
        <v>0</v>
      </c>
      <c r="F5101">
        <v>30</v>
      </c>
      <c r="G5101">
        <v>9970</v>
      </c>
      <c r="H5101">
        <v>9970</v>
      </c>
    </row>
    <row r="5103" spans="1:9" ht="57.95">
      <c r="A5103" s="25" t="s">
        <v>1472</v>
      </c>
    </row>
    <row r="5104" spans="1:9">
      <c r="A5104" s="25" t="s">
        <v>181</v>
      </c>
      <c r="B5104" t="s">
        <v>182</v>
      </c>
      <c r="C5104" t="s">
        <v>183</v>
      </c>
      <c r="D5104" t="s">
        <v>184</v>
      </c>
      <c r="E5104" t="s">
        <v>185</v>
      </c>
      <c r="F5104" t="s">
        <v>186</v>
      </c>
      <c r="G5104" t="s">
        <v>187</v>
      </c>
      <c r="H5104" t="s">
        <v>188</v>
      </c>
    </row>
    <row r="5105" spans="1:8">
      <c r="A5105" s="25" t="s">
        <v>189</v>
      </c>
      <c r="B5105" t="s">
        <v>194</v>
      </c>
      <c r="C5105">
        <v>7.6982685626029099E-2</v>
      </c>
      <c r="D5105">
        <v>0</v>
      </c>
      <c r="E5105">
        <v>0</v>
      </c>
      <c r="F5105">
        <v>30</v>
      </c>
      <c r="G5105">
        <v>5855</v>
      </c>
      <c r="H5105">
        <v>9970</v>
      </c>
    </row>
    <row r="5106" spans="1:8">
      <c r="A5106" s="25" t="s">
        <v>189</v>
      </c>
      <c r="B5106" t="s">
        <v>195</v>
      </c>
      <c r="C5106">
        <v>8.4639373254118189E-2</v>
      </c>
      <c r="D5106">
        <v>0</v>
      </c>
      <c r="E5106">
        <v>0</v>
      </c>
      <c r="F5106">
        <v>25</v>
      </c>
      <c r="G5106">
        <v>2576</v>
      </c>
      <c r="H5106">
        <v>9970</v>
      </c>
    </row>
    <row r="5107" spans="1:8">
      <c r="A5107" s="25" t="s">
        <v>189</v>
      </c>
      <c r="B5107" t="s">
        <v>196</v>
      </c>
      <c r="C5107">
        <v>0.21797951002595031</v>
      </c>
      <c r="D5107">
        <v>0</v>
      </c>
      <c r="E5107">
        <v>0</v>
      </c>
      <c r="F5107">
        <v>30</v>
      </c>
      <c r="G5107">
        <v>1489</v>
      </c>
      <c r="H5107">
        <v>9970</v>
      </c>
    </row>
    <row r="5108" spans="1:8">
      <c r="A5108" s="25" t="s">
        <v>192</v>
      </c>
      <c r="B5108" t="s">
        <v>192</v>
      </c>
      <c r="C5108">
        <v>9.0934090897929212E-2</v>
      </c>
      <c r="D5108">
        <v>0</v>
      </c>
      <c r="E5108">
        <v>0</v>
      </c>
      <c r="F5108">
        <v>30</v>
      </c>
      <c r="G5108">
        <v>9970</v>
      </c>
      <c r="H5108">
        <v>9970</v>
      </c>
    </row>
    <row r="5110" spans="1:8" ht="43.5">
      <c r="A5110" s="25" t="s">
        <v>1473</v>
      </c>
    </row>
    <row r="5111" spans="1:8">
      <c r="A5111" s="25" t="s">
        <v>181</v>
      </c>
      <c r="B5111" t="s">
        <v>182</v>
      </c>
      <c r="C5111" t="s">
        <v>183</v>
      </c>
      <c r="D5111" t="s">
        <v>184</v>
      </c>
      <c r="E5111" t="s">
        <v>185</v>
      </c>
      <c r="F5111" t="s">
        <v>186</v>
      </c>
      <c r="G5111" t="s">
        <v>187</v>
      </c>
      <c r="H5111" t="s">
        <v>188</v>
      </c>
    </row>
    <row r="5112" spans="1:8">
      <c r="A5112" s="25" t="s">
        <v>189</v>
      </c>
      <c r="B5112" t="s">
        <v>198</v>
      </c>
      <c r="C5112">
        <v>0.1633522715292961</v>
      </c>
      <c r="D5112">
        <v>0</v>
      </c>
      <c r="E5112">
        <v>0</v>
      </c>
      <c r="F5112">
        <v>30</v>
      </c>
      <c r="G5112">
        <v>2142</v>
      </c>
      <c r="H5112">
        <v>9970</v>
      </c>
    </row>
    <row r="5113" spans="1:8">
      <c r="A5113" s="25" t="s">
        <v>189</v>
      </c>
      <c r="B5113" t="s">
        <v>199</v>
      </c>
      <c r="C5113">
        <v>7.4738314455683297E-2</v>
      </c>
      <c r="D5113">
        <v>0</v>
      </c>
      <c r="E5113">
        <v>0</v>
      </c>
      <c r="F5113">
        <v>30</v>
      </c>
      <c r="G5113">
        <v>7828</v>
      </c>
      <c r="H5113">
        <v>9970</v>
      </c>
    </row>
    <row r="5114" spans="1:8">
      <c r="A5114" s="25" t="s">
        <v>192</v>
      </c>
      <c r="B5114" t="s">
        <v>192</v>
      </c>
      <c r="C5114">
        <v>9.0934090897929212E-2</v>
      </c>
      <c r="D5114">
        <v>0</v>
      </c>
      <c r="E5114">
        <v>0</v>
      </c>
      <c r="F5114">
        <v>30</v>
      </c>
      <c r="G5114">
        <v>9970</v>
      </c>
      <c r="H5114">
        <v>9970</v>
      </c>
    </row>
    <row r="5116" spans="1:8" ht="43.5">
      <c r="A5116" s="25" t="s">
        <v>1474</v>
      </c>
    </row>
    <row r="5117" spans="1:8">
      <c r="A5117" s="25" t="s">
        <v>181</v>
      </c>
      <c r="B5117" t="s">
        <v>182</v>
      </c>
      <c r="C5117" t="s">
        <v>183</v>
      </c>
      <c r="D5117" t="s">
        <v>184</v>
      </c>
      <c r="E5117" t="s">
        <v>185</v>
      </c>
      <c r="F5117" t="s">
        <v>186</v>
      </c>
      <c r="G5117" t="s">
        <v>187</v>
      </c>
      <c r="H5117" t="s">
        <v>188</v>
      </c>
    </row>
    <row r="5118" spans="1:8">
      <c r="A5118" s="25" t="s">
        <v>189</v>
      </c>
      <c r="B5118" t="s">
        <v>201</v>
      </c>
      <c r="C5118">
        <v>6.4144010072190796E-2</v>
      </c>
      <c r="D5118">
        <v>0</v>
      </c>
      <c r="E5118">
        <v>0</v>
      </c>
      <c r="F5118">
        <v>15</v>
      </c>
      <c r="G5118">
        <v>706</v>
      </c>
      <c r="H5118">
        <v>9970</v>
      </c>
    </row>
    <row r="5119" spans="1:8">
      <c r="A5119" s="25" t="s">
        <v>189</v>
      </c>
      <c r="B5119" t="s">
        <v>202</v>
      </c>
      <c r="C5119">
        <v>0.14296398314512901</v>
      </c>
      <c r="D5119">
        <v>0</v>
      </c>
      <c r="E5119">
        <v>0</v>
      </c>
      <c r="F5119">
        <v>21</v>
      </c>
      <c r="G5119">
        <v>98</v>
      </c>
      <c r="H5119">
        <v>9970</v>
      </c>
    </row>
    <row r="5120" spans="1:8">
      <c r="A5120" s="25" t="s">
        <v>189</v>
      </c>
      <c r="B5120" t="s">
        <v>203</v>
      </c>
      <c r="C5120">
        <v>8.6369589707784231E-2</v>
      </c>
      <c r="D5120">
        <v>0</v>
      </c>
      <c r="E5120">
        <v>0</v>
      </c>
      <c r="F5120">
        <v>30</v>
      </c>
      <c r="G5120">
        <v>7778</v>
      </c>
      <c r="H5120">
        <v>9970</v>
      </c>
    </row>
    <row r="5121" spans="1:8">
      <c r="A5121" s="25" t="s">
        <v>189</v>
      </c>
      <c r="B5121" t="s">
        <v>204</v>
      </c>
      <c r="C5121">
        <v>0</v>
      </c>
      <c r="D5121">
        <v>0</v>
      </c>
      <c r="E5121">
        <v>0</v>
      </c>
      <c r="F5121">
        <v>0</v>
      </c>
      <c r="G5121">
        <v>25</v>
      </c>
      <c r="H5121">
        <v>9970</v>
      </c>
    </row>
    <row r="5122" spans="1:8">
      <c r="A5122" s="25" t="s">
        <v>189</v>
      </c>
      <c r="B5122" t="s">
        <v>205</v>
      </c>
      <c r="C5122">
        <v>0.1301414095364416</v>
      </c>
      <c r="D5122">
        <v>0</v>
      </c>
      <c r="E5122">
        <v>0</v>
      </c>
      <c r="F5122">
        <v>30</v>
      </c>
      <c r="G5122">
        <v>1363</v>
      </c>
      <c r="H5122">
        <v>9970</v>
      </c>
    </row>
    <row r="5123" spans="1:8">
      <c r="A5123" s="25" t="s">
        <v>192</v>
      </c>
      <c r="B5123" t="s">
        <v>192</v>
      </c>
      <c r="C5123">
        <v>9.0934090897929212E-2</v>
      </c>
      <c r="D5123">
        <v>0</v>
      </c>
      <c r="E5123">
        <v>0</v>
      </c>
      <c r="F5123">
        <v>30</v>
      </c>
      <c r="G5123">
        <v>9970</v>
      </c>
      <c r="H5123">
        <v>9970</v>
      </c>
    </row>
    <row r="5125" spans="1:8" ht="43.5">
      <c r="A5125" s="25" t="s">
        <v>1475</v>
      </c>
    </row>
    <row r="5126" spans="1:8">
      <c r="A5126" s="25" t="s">
        <v>181</v>
      </c>
      <c r="B5126" t="s">
        <v>182</v>
      </c>
      <c r="C5126" t="s">
        <v>183</v>
      </c>
      <c r="D5126" t="s">
        <v>184</v>
      </c>
      <c r="E5126" t="s">
        <v>185</v>
      </c>
      <c r="F5126" t="s">
        <v>186</v>
      </c>
      <c r="G5126" t="s">
        <v>187</v>
      </c>
      <c r="H5126" t="s">
        <v>188</v>
      </c>
    </row>
    <row r="5127" spans="1:8">
      <c r="A5127" s="25" t="s">
        <v>189</v>
      </c>
      <c r="B5127" t="s">
        <v>207</v>
      </c>
      <c r="C5127">
        <v>9.3262907758311336E-2</v>
      </c>
      <c r="D5127">
        <v>0</v>
      </c>
      <c r="E5127">
        <v>0</v>
      </c>
      <c r="F5127">
        <v>30</v>
      </c>
      <c r="G5127">
        <v>6928</v>
      </c>
      <c r="H5127">
        <v>9970</v>
      </c>
    </row>
    <row r="5128" spans="1:8">
      <c r="A5128" s="25" t="s">
        <v>189</v>
      </c>
      <c r="B5128" t="s">
        <v>208</v>
      </c>
      <c r="C5128">
        <v>8.3579729010229073E-2</v>
      </c>
      <c r="D5128">
        <v>0</v>
      </c>
      <c r="E5128">
        <v>0</v>
      </c>
      <c r="F5128">
        <v>30</v>
      </c>
      <c r="G5128">
        <v>2150</v>
      </c>
      <c r="H5128">
        <v>9970</v>
      </c>
    </row>
    <row r="5129" spans="1:8">
      <c r="A5129" s="25" t="s">
        <v>189</v>
      </c>
      <c r="B5129" t="s">
        <v>209</v>
      </c>
      <c r="C5129">
        <v>9.138552898271915E-2</v>
      </c>
      <c r="D5129">
        <v>0</v>
      </c>
      <c r="E5129">
        <v>0</v>
      </c>
      <c r="F5129">
        <v>14</v>
      </c>
      <c r="G5129">
        <v>892</v>
      </c>
      <c r="H5129">
        <v>9970</v>
      </c>
    </row>
    <row r="5130" spans="1:8">
      <c r="A5130" s="25" t="s">
        <v>192</v>
      </c>
      <c r="B5130" t="s">
        <v>192</v>
      </c>
      <c r="C5130">
        <v>9.0934090897929212E-2</v>
      </c>
      <c r="D5130">
        <v>0</v>
      </c>
      <c r="E5130">
        <v>0</v>
      </c>
      <c r="F5130">
        <v>30</v>
      </c>
      <c r="G5130">
        <v>9970</v>
      </c>
      <c r="H5130">
        <v>9970</v>
      </c>
    </row>
    <row r="5132" spans="1:8" ht="43.5">
      <c r="A5132" s="25" t="s">
        <v>1476</v>
      </c>
    </row>
    <row r="5133" spans="1:8">
      <c r="A5133" s="25" t="s">
        <v>181</v>
      </c>
      <c r="B5133" t="s">
        <v>182</v>
      </c>
      <c r="C5133" t="s">
        <v>183</v>
      </c>
      <c r="D5133" t="s">
        <v>184</v>
      </c>
      <c r="E5133" t="s">
        <v>185</v>
      </c>
      <c r="F5133" t="s">
        <v>186</v>
      </c>
      <c r="G5133" t="s">
        <v>187</v>
      </c>
      <c r="H5133" t="s">
        <v>188</v>
      </c>
    </row>
    <row r="5134" spans="1:8">
      <c r="A5134" s="25" t="s">
        <v>189</v>
      </c>
      <c r="B5134" t="s">
        <v>211</v>
      </c>
      <c r="C5134">
        <v>0.1022458853887984</v>
      </c>
      <c r="D5134">
        <v>0</v>
      </c>
      <c r="E5134">
        <v>0</v>
      </c>
      <c r="F5134">
        <v>30</v>
      </c>
      <c r="G5134">
        <v>4785</v>
      </c>
      <c r="H5134">
        <v>9970</v>
      </c>
    </row>
    <row r="5135" spans="1:8">
      <c r="A5135" s="25" t="s">
        <v>189</v>
      </c>
      <c r="B5135" t="s">
        <v>212</v>
      </c>
      <c r="C5135">
        <v>0.1002374852249124</v>
      </c>
      <c r="D5135">
        <v>0</v>
      </c>
      <c r="E5135">
        <v>0</v>
      </c>
      <c r="F5135">
        <v>30</v>
      </c>
      <c r="G5135">
        <v>3170</v>
      </c>
      <c r="H5135">
        <v>9970</v>
      </c>
    </row>
    <row r="5136" spans="1:8">
      <c r="A5136" s="25" t="s">
        <v>189</v>
      </c>
      <c r="B5136" t="s">
        <v>213</v>
      </c>
      <c r="C5136">
        <v>5.3677593239426218E-2</v>
      </c>
      <c r="D5136">
        <v>0</v>
      </c>
      <c r="E5136">
        <v>0</v>
      </c>
      <c r="F5136">
        <v>30</v>
      </c>
      <c r="G5136">
        <v>2015</v>
      </c>
      <c r="H5136">
        <v>9970</v>
      </c>
    </row>
    <row r="5137" spans="1:23">
      <c r="A5137" s="25" t="s">
        <v>192</v>
      </c>
      <c r="B5137" t="s">
        <v>192</v>
      </c>
      <c r="C5137">
        <v>9.0934090897929212E-2</v>
      </c>
      <c r="D5137">
        <v>0</v>
      </c>
      <c r="E5137">
        <v>0</v>
      </c>
      <c r="F5137">
        <v>30</v>
      </c>
      <c r="G5137">
        <v>9970</v>
      </c>
      <c r="H5137">
        <v>9970</v>
      </c>
    </row>
    <row r="5139" spans="1:23" ht="43.5">
      <c r="A5139" s="25" t="s">
        <v>1477</v>
      </c>
    </row>
    <row r="5140" spans="1:23">
      <c r="A5140" s="25" t="s">
        <v>182</v>
      </c>
      <c r="B5140" t="s">
        <v>219</v>
      </c>
      <c r="C5140" t="s">
        <v>181</v>
      </c>
      <c r="D5140" t="s">
        <v>188</v>
      </c>
      <c r="E5140" t="s">
        <v>1424</v>
      </c>
      <c r="F5140" t="s">
        <v>1425</v>
      </c>
      <c r="G5140" t="s">
        <v>241</v>
      </c>
      <c r="H5140" t="s">
        <v>1426</v>
      </c>
      <c r="I5140" t="s">
        <v>1427</v>
      </c>
      <c r="J5140" t="s">
        <v>243</v>
      </c>
      <c r="K5140" t="s">
        <v>1428</v>
      </c>
      <c r="L5140" t="s">
        <v>1429</v>
      </c>
      <c r="M5140" t="s">
        <v>1430</v>
      </c>
      <c r="N5140" t="s">
        <v>1431</v>
      </c>
      <c r="O5140" t="s">
        <v>1432</v>
      </c>
      <c r="P5140" t="s">
        <v>1434</v>
      </c>
      <c r="Q5140" t="s">
        <v>1478</v>
      </c>
      <c r="R5140" t="s">
        <v>1435</v>
      </c>
      <c r="S5140" t="s">
        <v>1436</v>
      </c>
      <c r="T5140" t="s">
        <v>1437</v>
      </c>
      <c r="U5140" t="s">
        <v>1438</v>
      </c>
      <c r="V5140" t="s">
        <v>1439</v>
      </c>
      <c r="W5140" t="s">
        <v>1440</v>
      </c>
    </row>
    <row r="5141" spans="1:23">
      <c r="A5141" s="25" t="s">
        <v>190</v>
      </c>
      <c r="B5141">
        <v>4902</v>
      </c>
      <c r="C5141" t="s">
        <v>189</v>
      </c>
      <c r="D5141">
        <v>10432</v>
      </c>
      <c r="E5141" s="1">
        <v>1.3599999999999999E-2</v>
      </c>
      <c r="F5141" s="1">
        <v>2.0000000000000001E-4</v>
      </c>
      <c r="G5141" s="1">
        <v>6.9999999999999999E-4</v>
      </c>
      <c r="H5141" s="1">
        <v>8.3000000000000001E-3</v>
      </c>
      <c r="I5141" s="1">
        <v>1.6999999999999999E-3</v>
      </c>
      <c r="J5141" s="1">
        <v>2.0000000000000001E-4</v>
      </c>
      <c r="K5141" s="1">
        <v>4.0899999999999999E-2</v>
      </c>
      <c r="L5141" s="1">
        <v>0.49130000000000001</v>
      </c>
      <c r="M5141" s="1">
        <v>5.1999999999999998E-3</v>
      </c>
      <c r="N5141" s="1">
        <v>1.6799999999999999E-2</v>
      </c>
      <c r="O5141" s="1">
        <v>8.0999999999999996E-3</v>
      </c>
      <c r="P5141" s="1">
        <v>1.1999999999999999E-3</v>
      </c>
      <c r="Q5141" s="1">
        <v>0</v>
      </c>
      <c r="R5141" s="1">
        <v>0.39040000000000002</v>
      </c>
      <c r="S5141" s="1">
        <v>5.2299999999999999E-2</v>
      </c>
      <c r="T5141" s="1">
        <v>1.14E-2</v>
      </c>
      <c r="U5141" s="1">
        <v>1E-3</v>
      </c>
      <c r="V5141" s="1">
        <v>4.3499999999999997E-2</v>
      </c>
      <c r="W5141" s="1">
        <v>8.0000000000000004E-4</v>
      </c>
    </row>
    <row r="5142" spans="1:23">
      <c r="A5142" s="25" t="s">
        <v>191</v>
      </c>
      <c r="B5142">
        <v>5474</v>
      </c>
      <c r="C5142" t="s">
        <v>189</v>
      </c>
      <c r="D5142">
        <v>10432</v>
      </c>
      <c r="E5142" s="1">
        <v>2.81E-2</v>
      </c>
      <c r="F5142" s="1">
        <v>1.2999999999999999E-3</v>
      </c>
      <c r="G5142" s="1">
        <v>4.0000000000000002E-4</v>
      </c>
      <c r="H5142" s="1">
        <v>3.8E-3</v>
      </c>
      <c r="I5142" s="1">
        <v>4.0000000000000002E-4</v>
      </c>
      <c r="J5142" s="1">
        <v>4.0000000000000002E-4</v>
      </c>
      <c r="K5142" s="1">
        <v>1.0699999999999999E-2</v>
      </c>
      <c r="L5142" s="1">
        <v>8.7900000000000006E-2</v>
      </c>
      <c r="M5142" s="1">
        <v>3.7000000000000002E-3</v>
      </c>
      <c r="N5142" s="1">
        <v>5.3E-3</v>
      </c>
      <c r="O5142" s="1">
        <v>1.4E-3</v>
      </c>
      <c r="P5142" s="1">
        <v>5.0000000000000001E-4</v>
      </c>
      <c r="Q5142" s="1">
        <v>1E-4</v>
      </c>
      <c r="R5142" s="1">
        <v>0.71579999999999999</v>
      </c>
      <c r="S5142" s="1">
        <v>0.1867</v>
      </c>
      <c r="T5142" s="1">
        <v>2.5999999999999999E-3</v>
      </c>
      <c r="U5142" s="1">
        <v>8.9999999999999998E-4</v>
      </c>
      <c r="V5142" s="1">
        <v>3.7000000000000002E-3</v>
      </c>
      <c r="W5142" s="1">
        <v>1.66E-2</v>
      </c>
    </row>
    <row r="5143" spans="1:23">
      <c r="A5143" s="25" t="s">
        <v>192</v>
      </c>
      <c r="B5143">
        <v>10432</v>
      </c>
      <c r="C5143" t="s">
        <v>192</v>
      </c>
      <c r="D5143">
        <v>10432</v>
      </c>
      <c r="E5143" s="1">
        <v>2.2599999999999999E-2</v>
      </c>
      <c r="F5143" s="1">
        <v>8.9999999999999998E-4</v>
      </c>
      <c r="G5143" s="1">
        <v>5.0000000000000001E-4</v>
      </c>
      <c r="H5143" s="1">
        <v>5.4999999999999997E-3</v>
      </c>
      <c r="I5143" s="1">
        <v>8.9999999999999998E-4</v>
      </c>
      <c r="J5143" s="1">
        <v>2.9999999999999997E-4</v>
      </c>
      <c r="K5143" s="1">
        <v>2.23E-2</v>
      </c>
      <c r="L5143" s="1">
        <v>0.2417</v>
      </c>
      <c r="M5143" s="1">
        <v>4.3E-3</v>
      </c>
      <c r="N5143" s="1">
        <v>9.5999999999999992E-3</v>
      </c>
      <c r="O5143" s="1">
        <v>3.8999999999999998E-3</v>
      </c>
      <c r="P5143" s="1">
        <v>6.9999999999999999E-4</v>
      </c>
      <c r="Q5143" s="1">
        <v>1E-4</v>
      </c>
      <c r="R5143" s="1">
        <v>0.59179999999999999</v>
      </c>
      <c r="S5143" s="1">
        <v>0.1353</v>
      </c>
      <c r="T5143" s="1">
        <v>5.8999999999999999E-3</v>
      </c>
      <c r="U5143" s="1">
        <v>1E-3</v>
      </c>
      <c r="V5143" s="1">
        <v>1.8800000000000001E-2</v>
      </c>
      <c r="W5143" s="1">
        <v>1.06E-2</v>
      </c>
    </row>
    <row r="5145" spans="1:23" ht="43.5">
      <c r="A5145" s="25" t="s">
        <v>1479</v>
      </c>
    </row>
    <row r="5146" spans="1:23">
      <c r="A5146" s="25" t="s">
        <v>182</v>
      </c>
      <c r="B5146" t="s">
        <v>219</v>
      </c>
      <c r="C5146" t="s">
        <v>181</v>
      </c>
      <c r="D5146" t="s">
        <v>188</v>
      </c>
      <c r="E5146" t="s">
        <v>1424</v>
      </c>
      <c r="F5146" t="s">
        <v>1425</v>
      </c>
      <c r="G5146" t="s">
        <v>241</v>
      </c>
      <c r="H5146" t="s">
        <v>1426</v>
      </c>
      <c r="I5146" t="s">
        <v>1427</v>
      </c>
      <c r="J5146" t="s">
        <v>243</v>
      </c>
      <c r="K5146" t="s">
        <v>1428</v>
      </c>
      <c r="L5146" t="s">
        <v>1429</v>
      </c>
      <c r="M5146" t="s">
        <v>1430</v>
      </c>
      <c r="N5146" t="s">
        <v>1431</v>
      </c>
      <c r="O5146" t="s">
        <v>1432</v>
      </c>
      <c r="P5146" t="s">
        <v>1434</v>
      </c>
      <c r="Q5146" t="s">
        <v>1478</v>
      </c>
      <c r="R5146" t="s">
        <v>1435</v>
      </c>
      <c r="S5146" t="s">
        <v>1436</v>
      </c>
      <c r="T5146" t="s">
        <v>1437</v>
      </c>
      <c r="U5146" t="s">
        <v>1438</v>
      </c>
      <c r="V5146" t="s">
        <v>1439</v>
      </c>
      <c r="W5146" t="s">
        <v>1440</v>
      </c>
    </row>
    <row r="5147" spans="1:23" ht="29.1">
      <c r="A5147" s="25" t="s">
        <v>194</v>
      </c>
      <c r="B5147">
        <v>5954</v>
      </c>
      <c r="C5147" t="s">
        <v>189</v>
      </c>
      <c r="D5147">
        <v>10432</v>
      </c>
      <c r="E5147" s="1">
        <v>2.8799999999999999E-2</v>
      </c>
      <c r="F5147" s="1">
        <v>1E-3</v>
      </c>
      <c r="G5147" s="1">
        <v>4.0000000000000002E-4</v>
      </c>
      <c r="H5147" s="1">
        <v>7.0000000000000001E-3</v>
      </c>
      <c r="I5147" s="1">
        <v>8.9999999999999998E-4</v>
      </c>
      <c r="J5147" s="1">
        <v>4.0000000000000002E-4</v>
      </c>
      <c r="K5147" s="1">
        <v>2.1399999999999999E-2</v>
      </c>
      <c r="L5147" s="1">
        <v>0.28089999999999998</v>
      </c>
      <c r="M5147" s="1">
        <v>5.1000000000000004E-3</v>
      </c>
      <c r="N5147" s="1">
        <v>8.8999999999999999E-3</v>
      </c>
      <c r="O5147" s="1">
        <v>4.1999999999999997E-3</v>
      </c>
      <c r="P5147" s="1">
        <v>8.0000000000000004E-4</v>
      </c>
      <c r="R5147" s="1">
        <v>0.55740000000000001</v>
      </c>
      <c r="S5147" s="1">
        <v>0.1351</v>
      </c>
      <c r="T5147" s="1">
        <v>4.1000000000000003E-3</v>
      </c>
      <c r="U5147" s="1">
        <v>8.0000000000000004E-4</v>
      </c>
      <c r="V5147" s="1">
        <v>2.3699999999999999E-2</v>
      </c>
      <c r="W5147" s="1">
        <v>1.34E-2</v>
      </c>
    </row>
    <row r="5148" spans="1:23" ht="29.1">
      <c r="A5148" s="25" t="s">
        <v>195</v>
      </c>
      <c r="B5148">
        <v>2703</v>
      </c>
      <c r="C5148" t="s">
        <v>189</v>
      </c>
      <c r="D5148">
        <v>10432</v>
      </c>
      <c r="E5148" s="1">
        <v>8.0000000000000002E-3</v>
      </c>
      <c r="F5148" s="1">
        <v>5.0000000000000001E-4</v>
      </c>
      <c r="G5148" s="1">
        <v>1.4E-3</v>
      </c>
      <c r="H5148" s="1">
        <v>2E-3</v>
      </c>
      <c r="I5148" s="1">
        <v>8.0000000000000004E-4</v>
      </c>
      <c r="J5148" s="1">
        <v>1E-4</v>
      </c>
      <c r="K5148" s="1">
        <v>2.7900000000000001E-2</v>
      </c>
      <c r="L5148" s="1">
        <v>0.1744</v>
      </c>
      <c r="M5148" s="1">
        <v>1.9E-3</v>
      </c>
      <c r="N5148" s="1">
        <v>1.03E-2</v>
      </c>
      <c r="O5148" s="1">
        <v>3.2000000000000002E-3</v>
      </c>
      <c r="P5148" s="1">
        <v>1E-4</v>
      </c>
      <c r="R5148" s="1">
        <v>0.67810000000000004</v>
      </c>
      <c r="S5148" s="1">
        <v>0.1036</v>
      </c>
      <c r="T5148" s="1">
        <v>1.12E-2</v>
      </c>
      <c r="U5148" s="1">
        <v>1.6000000000000001E-3</v>
      </c>
      <c r="V5148" s="1">
        <v>7.7999999999999996E-3</v>
      </c>
      <c r="W5148" s="1">
        <v>3.5999999999999999E-3</v>
      </c>
    </row>
    <row r="5149" spans="1:23" ht="29.1">
      <c r="A5149" s="25" t="s">
        <v>196</v>
      </c>
      <c r="B5149">
        <v>1719</v>
      </c>
      <c r="C5149" t="s">
        <v>189</v>
      </c>
      <c r="D5149">
        <v>10432</v>
      </c>
      <c r="E5149" s="1">
        <v>5.1999999999999998E-3</v>
      </c>
      <c r="F5149" s="1">
        <v>5.0000000000000001E-4</v>
      </c>
      <c r="H5149" s="1">
        <v>1.8E-3</v>
      </c>
      <c r="I5149" s="1">
        <v>1.1000000000000001E-3</v>
      </c>
      <c r="K5149" s="1">
        <v>1.67E-2</v>
      </c>
      <c r="L5149" s="1">
        <v>8.1699999999999995E-2</v>
      </c>
      <c r="M5149" s="1">
        <v>3.0000000000000001E-3</v>
      </c>
      <c r="N5149" s="1">
        <v>1.37E-2</v>
      </c>
      <c r="O5149" s="1">
        <v>3.7000000000000002E-3</v>
      </c>
      <c r="P5149" s="1">
        <v>1.9E-3</v>
      </c>
      <c r="Q5149" s="1">
        <v>6.9999999999999999E-4</v>
      </c>
      <c r="R5149" s="1">
        <v>0.6754</v>
      </c>
      <c r="S5149" s="1">
        <v>0.2029</v>
      </c>
      <c r="T5149" s="1">
        <v>9.4999999999999998E-3</v>
      </c>
      <c r="U5149" s="1">
        <v>1E-3</v>
      </c>
      <c r="V5149" s="1">
        <v>4.5999999999999999E-3</v>
      </c>
      <c r="W5149" s="1">
        <v>3.8999999999999998E-3</v>
      </c>
    </row>
    <row r="5150" spans="1:23">
      <c r="A5150" s="25" t="s">
        <v>192</v>
      </c>
      <c r="B5150">
        <v>10432</v>
      </c>
      <c r="C5150" t="s">
        <v>192</v>
      </c>
      <c r="D5150">
        <v>10432</v>
      </c>
      <c r="E5150" s="1">
        <v>2.2599999999999999E-2</v>
      </c>
      <c r="F5150" s="1">
        <v>8.9999999999999998E-4</v>
      </c>
      <c r="G5150" s="1">
        <v>5.0000000000000001E-4</v>
      </c>
      <c r="H5150" s="1">
        <v>5.4999999999999997E-3</v>
      </c>
      <c r="I5150" s="1">
        <v>8.9999999999999998E-4</v>
      </c>
      <c r="J5150" s="1">
        <v>2.9999999999999997E-4</v>
      </c>
      <c r="K5150" s="1">
        <v>2.23E-2</v>
      </c>
      <c r="L5150" s="1">
        <v>0.2417</v>
      </c>
      <c r="M5150" s="1">
        <v>4.3E-3</v>
      </c>
      <c r="N5150" s="1">
        <v>9.5999999999999992E-3</v>
      </c>
      <c r="O5150" s="1">
        <v>3.8999999999999998E-3</v>
      </c>
      <c r="P5150" s="1">
        <v>6.9999999999999999E-4</v>
      </c>
      <c r="Q5150" s="1">
        <v>1E-4</v>
      </c>
      <c r="R5150" s="1">
        <v>0.59179999999999999</v>
      </c>
      <c r="S5150" s="1">
        <v>0.1353</v>
      </c>
      <c r="T5150" s="1">
        <v>5.8999999999999999E-3</v>
      </c>
      <c r="U5150" s="1">
        <v>1E-3</v>
      </c>
      <c r="V5150" s="1">
        <v>1.8800000000000001E-2</v>
      </c>
      <c r="W5150" s="1">
        <v>1.06E-2</v>
      </c>
    </row>
    <row r="5152" spans="1:23" ht="43.5">
      <c r="A5152" s="25" t="s">
        <v>1480</v>
      </c>
    </row>
    <row r="5153" spans="1:23">
      <c r="A5153" s="25" t="s">
        <v>182</v>
      </c>
      <c r="B5153" t="s">
        <v>219</v>
      </c>
      <c r="C5153" t="s">
        <v>181</v>
      </c>
      <c r="D5153" t="s">
        <v>188</v>
      </c>
      <c r="E5153" t="s">
        <v>1424</v>
      </c>
      <c r="F5153" t="s">
        <v>1425</v>
      </c>
      <c r="G5153" t="s">
        <v>241</v>
      </c>
      <c r="H5153" t="s">
        <v>1426</v>
      </c>
      <c r="I5153" t="s">
        <v>1427</v>
      </c>
      <c r="J5153" t="s">
        <v>243</v>
      </c>
      <c r="K5153" t="s">
        <v>1428</v>
      </c>
      <c r="L5153" t="s">
        <v>1429</v>
      </c>
      <c r="M5153" t="s">
        <v>1430</v>
      </c>
      <c r="N5153" t="s">
        <v>1431</v>
      </c>
      <c r="O5153" t="s">
        <v>1432</v>
      </c>
      <c r="P5153" t="s">
        <v>1434</v>
      </c>
      <c r="Q5153" t="s">
        <v>1478</v>
      </c>
      <c r="R5153" t="s">
        <v>1435</v>
      </c>
      <c r="S5153" t="s">
        <v>1436</v>
      </c>
      <c r="T5153" t="s">
        <v>1437</v>
      </c>
      <c r="U5153" t="s">
        <v>1438</v>
      </c>
      <c r="V5153" t="s">
        <v>1439</v>
      </c>
      <c r="W5153" t="s">
        <v>1440</v>
      </c>
    </row>
    <row r="5154" spans="1:23">
      <c r="A5154" s="25" t="s">
        <v>198</v>
      </c>
      <c r="B5154">
        <v>2262</v>
      </c>
      <c r="C5154" t="s">
        <v>189</v>
      </c>
      <c r="D5154">
        <v>10432</v>
      </c>
      <c r="E5154" s="1">
        <v>2.1999999999999999E-2</v>
      </c>
      <c r="F5154" s="1">
        <v>1E-4</v>
      </c>
      <c r="H5154" s="1">
        <v>5.5999999999999999E-3</v>
      </c>
      <c r="I5154" s="1">
        <v>1.6999999999999999E-3</v>
      </c>
      <c r="K5154" s="1">
        <v>3.1099999999999999E-2</v>
      </c>
      <c r="L5154" s="1">
        <v>0.29520000000000002</v>
      </c>
      <c r="M5154" s="1">
        <v>6.0000000000000001E-3</v>
      </c>
      <c r="N5154" s="1">
        <v>9.9000000000000008E-3</v>
      </c>
      <c r="O5154" s="1">
        <v>8.0999999999999996E-3</v>
      </c>
      <c r="P5154" s="1">
        <v>1.6000000000000001E-3</v>
      </c>
      <c r="Q5154" s="1">
        <v>2.9999999999999997E-4</v>
      </c>
      <c r="R5154" s="1">
        <v>0.53620000000000001</v>
      </c>
      <c r="S5154" s="1">
        <v>0.1172</v>
      </c>
      <c r="T5154" s="1">
        <v>6.6E-3</v>
      </c>
      <c r="U5154" s="1">
        <v>6.9999999999999999E-4</v>
      </c>
      <c r="V5154" s="1">
        <v>2.1100000000000001E-2</v>
      </c>
      <c r="W5154" s="1">
        <v>1.0200000000000001E-2</v>
      </c>
    </row>
    <row r="5155" spans="1:23">
      <c r="A5155" s="25" t="s">
        <v>199</v>
      </c>
      <c r="B5155">
        <v>8170</v>
      </c>
      <c r="C5155" t="s">
        <v>189</v>
      </c>
      <c r="D5155">
        <v>10432</v>
      </c>
      <c r="E5155" s="1">
        <v>2.2700000000000001E-2</v>
      </c>
      <c r="F5155" s="1">
        <v>1E-3</v>
      </c>
      <c r="G5155" s="1">
        <v>5.9999999999999995E-4</v>
      </c>
      <c r="H5155" s="1">
        <v>5.4999999999999997E-3</v>
      </c>
      <c r="I5155" s="1">
        <v>6.9999999999999999E-4</v>
      </c>
      <c r="J5155" s="1">
        <v>4.0000000000000002E-4</v>
      </c>
      <c r="K5155" s="1">
        <v>2.0400000000000001E-2</v>
      </c>
      <c r="L5155" s="1">
        <v>0.22969999999999999</v>
      </c>
      <c r="M5155" s="1">
        <v>3.8999999999999998E-3</v>
      </c>
      <c r="N5155" s="1">
        <v>9.5999999999999992E-3</v>
      </c>
      <c r="O5155" s="1">
        <v>3.0000000000000001E-3</v>
      </c>
      <c r="P5155" s="1">
        <v>5.9999999999999995E-4</v>
      </c>
      <c r="Q5155" s="1">
        <v>0</v>
      </c>
      <c r="R5155" s="1">
        <v>0.60429999999999995</v>
      </c>
      <c r="S5155" s="1">
        <v>0.13930000000000001</v>
      </c>
      <c r="T5155" s="1">
        <v>5.7999999999999996E-3</v>
      </c>
      <c r="U5155" s="1">
        <v>1E-3</v>
      </c>
      <c r="V5155" s="1">
        <v>1.83E-2</v>
      </c>
      <c r="W5155" s="1">
        <v>1.0699999999999999E-2</v>
      </c>
    </row>
    <row r="5156" spans="1:23">
      <c r="A5156" s="25" t="s">
        <v>192</v>
      </c>
      <c r="B5156">
        <v>10432</v>
      </c>
      <c r="C5156" t="s">
        <v>192</v>
      </c>
      <c r="D5156">
        <v>10432</v>
      </c>
      <c r="E5156" s="1">
        <v>2.2599999999999999E-2</v>
      </c>
      <c r="F5156" s="1">
        <v>8.9999999999999998E-4</v>
      </c>
      <c r="G5156" s="1">
        <v>5.0000000000000001E-4</v>
      </c>
      <c r="H5156" s="1">
        <v>5.4999999999999997E-3</v>
      </c>
      <c r="I5156" s="1">
        <v>8.9999999999999998E-4</v>
      </c>
      <c r="J5156" s="1">
        <v>2.9999999999999997E-4</v>
      </c>
      <c r="K5156" s="1">
        <v>2.23E-2</v>
      </c>
      <c r="L5156" s="1">
        <v>0.2417</v>
      </c>
      <c r="M5156" s="1">
        <v>4.3E-3</v>
      </c>
      <c r="N5156" s="1">
        <v>9.5999999999999992E-3</v>
      </c>
      <c r="O5156" s="1">
        <v>3.8999999999999998E-3</v>
      </c>
      <c r="P5156" s="1">
        <v>6.9999999999999999E-4</v>
      </c>
      <c r="Q5156" s="1">
        <v>1E-4</v>
      </c>
      <c r="R5156" s="1">
        <v>0.59179999999999999</v>
      </c>
      <c r="S5156" s="1">
        <v>0.1353</v>
      </c>
      <c r="T5156" s="1">
        <v>5.8999999999999999E-3</v>
      </c>
      <c r="U5156" s="1">
        <v>1E-3</v>
      </c>
      <c r="V5156" s="1">
        <v>1.8800000000000001E-2</v>
      </c>
      <c r="W5156" s="1">
        <v>1.06E-2</v>
      </c>
    </row>
    <row r="5158" spans="1:23" ht="43.5">
      <c r="A5158" s="25" t="s">
        <v>1481</v>
      </c>
    </row>
    <row r="5159" spans="1:23">
      <c r="A5159" s="25" t="s">
        <v>182</v>
      </c>
      <c r="B5159" t="s">
        <v>219</v>
      </c>
      <c r="C5159" t="s">
        <v>181</v>
      </c>
      <c r="D5159" t="s">
        <v>188</v>
      </c>
      <c r="E5159" t="s">
        <v>1424</v>
      </c>
      <c r="F5159" t="s">
        <v>1425</v>
      </c>
      <c r="G5159" t="s">
        <v>241</v>
      </c>
      <c r="H5159" t="s">
        <v>1426</v>
      </c>
      <c r="I5159" t="s">
        <v>1427</v>
      </c>
      <c r="J5159" t="s">
        <v>243</v>
      </c>
      <c r="K5159" t="s">
        <v>1428</v>
      </c>
      <c r="L5159" t="s">
        <v>1429</v>
      </c>
      <c r="M5159" t="s">
        <v>1430</v>
      </c>
      <c r="N5159" t="s">
        <v>1431</v>
      </c>
      <c r="O5159" t="s">
        <v>1432</v>
      </c>
      <c r="P5159" t="s">
        <v>1434</v>
      </c>
      <c r="Q5159" t="s">
        <v>1478</v>
      </c>
      <c r="R5159" t="s">
        <v>1435</v>
      </c>
      <c r="S5159" t="s">
        <v>1436</v>
      </c>
      <c r="T5159" t="s">
        <v>1437</v>
      </c>
      <c r="U5159" t="s">
        <v>1438</v>
      </c>
      <c r="V5159" t="s">
        <v>1439</v>
      </c>
      <c r="W5159" t="s">
        <v>1440</v>
      </c>
    </row>
    <row r="5160" spans="1:23">
      <c r="A5160" s="25" t="s">
        <v>201</v>
      </c>
      <c r="B5160">
        <v>767</v>
      </c>
      <c r="C5160" t="s">
        <v>189</v>
      </c>
      <c r="D5160">
        <v>10432</v>
      </c>
      <c r="E5160" s="1">
        <v>2.47E-2</v>
      </c>
      <c r="F5160" s="1">
        <v>2.9999999999999997E-4</v>
      </c>
      <c r="G5160" s="1">
        <v>2.5999999999999999E-3</v>
      </c>
      <c r="H5160" s="1">
        <v>2.8999999999999998E-3</v>
      </c>
      <c r="I5160" s="1">
        <v>5.9999999999999995E-4</v>
      </c>
      <c r="K5160" s="1">
        <v>1.6899999999999998E-2</v>
      </c>
      <c r="L5160" s="1">
        <v>0.1152</v>
      </c>
      <c r="M5160" s="1">
        <v>3.8E-3</v>
      </c>
      <c r="N5160" s="1">
        <v>1.4500000000000001E-2</v>
      </c>
      <c r="O5160" s="1">
        <v>1.9E-3</v>
      </c>
      <c r="P5160" s="1">
        <v>8.9999999999999998E-4</v>
      </c>
      <c r="R5160" s="1">
        <v>0.6714</v>
      </c>
      <c r="S5160" s="1">
        <v>0.15809999999999999</v>
      </c>
      <c r="T5160" s="1">
        <v>3.3999999999999998E-3</v>
      </c>
      <c r="U5160" s="1">
        <v>5.1000000000000004E-3</v>
      </c>
      <c r="V5160" s="1">
        <v>2.3199999999999998E-2</v>
      </c>
      <c r="W5160" s="1">
        <v>1.8800000000000001E-2</v>
      </c>
    </row>
    <row r="5161" spans="1:23">
      <c r="A5161" s="25" t="s">
        <v>202</v>
      </c>
      <c r="B5161">
        <v>110</v>
      </c>
      <c r="C5161" t="s">
        <v>189</v>
      </c>
      <c r="D5161">
        <v>10432</v>
      </c>
      <c r="F5161" s="1">
        <v>4.0000000000000001E-3</v>
      </c>
      <c r="K5161" s="1">
        <v>2.2700000000000001E-2</v>
      </c>
      <c r="L5161" s="1">
        <v>0.15720000000000001</v>
      </c>
      <c r="N5161" s="1">
        <v>8.9999999999999993E-3</v>
      </c>
      <c r="O5161" s="1">
        <v>5.9999999999999995E-4</v>
      </c>
      <c r="R5161" s="1">
        <v>0.68020000000000003</v>
      </c>
      <c r="S5161" s="1">
        <v>0.12429999999999999</v>
      </c>
      <c r="T5161" s="1">
        <v>4.0000000000000001E-3</v>
      </c>
      <c r="V5161" s="1">
        <v>1.1900000000000001E-2</v>
      </c>
    </row>
    <row r="5162" spans="1:23">
      <c r="A5162" s="25" t="s">
        <v>203</v>
      </c>
      <c r="B5162">
        <v>8042</v>
      </c>
      <c r="C5162" t="s">
        <v>189</v>
      </c>
      <c r="D5162">
        <v>10432</v>
      </c>
      <c r="E5162" s="1">
        <v>2.46E-2</v>
      </c>
      <c r="F5162" s="1">
        <v>1E-3</v>
      </c>
      <c r="G5162" s="1">
        <v>4.0000000000000002E-4</v>
      </c>
      <c r="H5162" s="1">
        <v>6.4000000000000003E-3</v>
      </c>
      <c r="I5162" s="1">
        <v>8.9999999999999998E-4</v>
      </c>
      <c r="J5162" s="1">
        <v>4.0000000000000002E-4</v>
      </c>
      <c r="K5162" s="1">
        <v>2.4299999999999999E-2</v>
      </c>
      <c r="L5162" s="1">
        <v>0.27510000000000001</v>
      </c>
      <c r="M5162" s="1">
        <v>4.5999999999999999E-3</v>
      </c>
      <c r="N5162" s="1">
        <v>9.7000000000000003E-3</v>
      </c>
      <c r="O5162" s="1">
        <v>4.5999999999999999E-3</v>
      </c>
      <c r="P5162" s="1">
        <v>8.0000000000000004E-4</v>
      </c>
      <c r="Q5162" s="1">
        <v>1E-4</v>
      </c>
      <c r="R5162" s="1">
        <v>0.57640000000000002</v>
      </c>
      <c r="S5162" s="1">
        <v>0.1182</v>
      </c>
      <c r="T5162" s="1">
        <v>6.3E-3</v>
      </c>
      <c r="U5162" s="1">
        <v>6.9999999999999999E-4</v>
      </c>
      <c r="V5162" s="1">
        <v>2.01E-2</v>
      </c>
      <c r="W5162" s="1">
        <v>1.04E-2</v>
      </c>
    </row>
    <row r="5163" spans="1:23">
      <c r="A5163" s="25" t="s">
        <v>204</v>
      </c>
      <c r="B5163">
        <v>31</v>
      </c>
      <c r="C5163" t="s">
        <v>189</v>
      </c>
      <c r="D5163">
        <v>10432</v>
      </c>
      <c r="E5163" s="1">
        <v>0.08</v>
      </c>
      <c r="K5163" s="1">
        <v>0.14199999999999999</v>
      </c>
      <c r="L5163" s="1">
        <v>0.39689999999999998</v>
      </c>
      <c r="R5163" s="1">
        <v>0.47299999999999998</v>
      </c>
      <c r="S5163" s="1">
        <v>7.6899999999999996E-2</v>
      </c>
    </row>
    <row r="5164" spans="1:23">
      <c r="A5164" s="25" t="s">
        <v>205</v>
      </c>
      <c r="B5164">
        <v>1482</v>
      </c>
      <c r="C5164" t="s">
        <v>189</v>
      </c>
      <c r="D5164">
        <v>10432</v>
      </c>
      <c r="E5164" s="1">
        <v>0.01</v>
      </c>
      <c r="H5164" s="1">
        <v>2E-3</v>
      </c>
      <c r="I5164" s="1">
        <v>1E-3</v>
      </c>
      <c r="K5164" s="1">
        <v>1.21E-2</v>
      </c>
      <c r="L5164" s="1">
        <v>0.11609999999999999</v>
      </c>
      <c r="M5164" s="1">
        <v>2.8E-3</v>
      </c>
      <c r="N5164" s="1">
        <v>7.1999999999999998E-3</v>
      </c>
      <c r="O5164" s="1">
        <v>1.1000000000000001E-3</v>
      </c>
      <c r="P5164" s="1">
        <v>5.0000000000000001E-4</v>
      </c>
      <c r="Q5164" s="1">
        <v>0</v>
      </c>
      <c r="R5164" s="1">
        <v>0.63749999999999996</v>
      </c>
      <c r="S5164" s="1">
        <v>0.22270000000000001</v>
      </c>
      <c r="T5164" s="1">
        <v>5.1999999999999998E-3</v>
      </c>
      <c r="U5164" s="1">
        <v>5.9999999999999995E-4</v>
      </c>
      <c r="V5164" s="1">
        <v>1.0200000000000001E-2</v>
      </c>
      <c r="W5164" s="1">
        <v>8.0000000000000002E-3</v>
      </c>
    </row>
    <row r="5165" spans="1:23">
      <c r="A5165" s="25" t="s">
        <v>192</v>
      </c>
      <c r="B5165">
        <v>10432</v>
      </c>
      <c r="C5165" t="s">
        <v>192</v>
      </c>
      <c r="D5165">
        <v>10432</v>
      </c>
      <c r="E5165" s="1">
        <v>2.2599999999999999E-2</v>
      </c>
      <c r="F5165" s="1">
        <v>8.9999999999999998E-4</v>
      </c>
      <c r="G5165" s="1">
        <v>5.0000000000000001E-4</v>
      </c>
      <c r="H5165" s="1">
        <v>5.4999999999999997E-3</v>
      </c>
      <c r="I5165" s="1">
        <v>8.9999999999999998E-4</v>
      </c>
      <c r="J5165" s="1">
        <v>2.9999999999999997E-4</v>
      </c>
      <c r="K5165" s="1">
        <v>2.23E-2</v>
      </c>
      <c r="L5165" s="1">
        <v>0.2417</v>
      </c>
      <c r="M5165" s="1">
        <v>4.3E-3</v>
      </c>
      <c r="N5165" s="1">
        <v>9.5999999999999992E-3</v>
      </c>
      <c r="O5165" s="1">
        <v>3.8999999999999998E-3</v>
      </c>
      <c r="P5165" s="1">
        <v>6.9999999999999999E-4</v>
      </c>
      <c r="Q5165" s="1">
        <v>1E-4</v>
      </c>
      <c r="R5165" s="1">
        <v>0.59179999999999999</v>
      </c>
      <c r="S5165" s="1">
        <v>0.1353</v>
      </c>
      <c r="T5165" s="1">
        <v>5.8999999999999999E-3</v>
      </c>
      <c r="U5165" s="1">
        <v>1E-3</v>
      </c>
      <c r="V5165" s="1">
        <v>1.8800000000000001E-2</v>
      </c>
      <c r="W5165" s="1">
        <v>1.06E-2</v>
      </c>
    </row>
    <row r="5167" spans="1:23" ht="43.5">
      <c r="A5167" s="25" t="s">
        <v>1482</v>
      </c>
    </row>
    <row r="5168" spans="1:23">
      <c r="A5168" s="25" t="s">
        <v>182</v>
      </c>
      <c r="B5168" t="s">
        <v>219</v>
      </c>
      <c r="C5168" t="s">
        <v>181</v>
      </c>
      <c r="D5168" t="s">
        <v>188</v>
      </c>
      <c r="E5168" t="s">
        <v>1424</v>
      </c>
      <c r="F5168" t="s">
        <v>1425</v>
      </c>
      <c r="G5168" t="s">
        <v>241</v>
      </c>
      <c r="H5168" t="s">
        <v>1426</v>
      </c>
      <c r="I5168" t="s">
        <v>1427</v>
      </c>
      <c r="J5168" t="s">
        <v>243</v>
      </c>
      <c r="K5168" t="s">
        <v>1428</v>
      </c>
      <c r="L5168" t="s">
        <v>1429</v>
      </c>
      <c r="M5168" t="s">
        <v>1430</v>
      </c>
      <c r="N5168" t="s">
        <v>1431</v>
      </c>
      <c r="O5168" t="s">
        <v>1432</v>
      </c>
      <c r="P5168" t="s">
        <v>1434</v>
      </c>
      <c r="Q5168" t="s">
        <v>1478</v>
      </c>
      <c r="R5168" t="s">
        <v>1435</v>
      </c>
      <c r="S5168" t="s">
        <v>1436</v>
      </c>
      <c r="T5168" t="s">
        <v>1437</v>
      </c>
      <c r="U5168" t="s">
        <v>1438</v>
      </c>
      <c r="V5168" t="s">
        <v>1439</v>
      </c>
      <c r="W5168" t="s">
        <v>1440</v>
      </c>
    </row>
    <row r="5169" spans="1:23">
      <c r="A5169" s="25" t="s">
        <v>207</v>
      </c>
      <c r="B5169">
        <v>7253</v>
      </c>
      <c r="C5169" t="s">
        <v>189</v>
      </c>
      <c r="D5169">
        <v>10432</v>
      </c>
      <c r="E5169" s="1">
        <v>2.6100000000000002E-2</v>
      </c>
      <c r="F5169" s="1">
        <v>1.1000000000000001E-3</v>
      </c>
      <c r="G5169" s="1">
        <v>4.0000000000000002E-4</v>
      </c>
      <c r="H5169" s="1">
        <v>6.1999999999999998E-3</v>
      </c>
      <c r="I5169" s="1">
        <v>6.9999999999999999E-4</v>
      </c>
      <c r="J5169" s="1">
        <v>4.0000000000000002E-4</v>
      </c>
      <c r="K5169" s="1">
        <v>2.0500000000000001E-2</v>
      </c>
      <c r="L5169" s="1">
        <v>0.23369999999999999</v>
      </c>
      <c r="M5169" s="1">
        <v>3.5999999999999999E-3</v>
      </c>
      <c r="N5169" s="1">
        <v>7.9000000000000008E-3</v>
      </c>
      <c r="O5169" s="1">
        <v>2.8999999999999998E-3</v>
      </c>
      <c r="P5169" s="1">
        <v>8.9999999999999998E-4</v>
      </c>
      <c r="Q5169" s="1">
        <v>0</v>
      </c>
      <c r="R5169" s="1">
        <v>0.59570000000000001</v>
      </c>
      <c r="S5169" s="1">
        <v>0.14449999999999999</v>
      </c>
      <c r="T5169" s="1">
        <v>5.7000000000000002E-3</v>
      </c>
      <c r="U5169" s="1">
        <v>8.9999999999999998E-4</v>
      </c>
      <c r="V5169" s="1">
        <v>1.6500000000000001E-2</v>
      </c>
      <c r="W5169" s="1">
        <v>1.2500000000000001E-2</v>
      </c>
    </row>
    <row r="5170" spans="1:23">
      <c r="A5170" s="25" t="s">
        <v>208</v>
      </c>
      <c r="B5170">
        <v>2244</v>
      </c>
      <c r="C5170" t="s">
        <v>189</v>
      </c>
      <c r="D5170">
        <v>10432</v>
      </c>
      <c r="E5170" s="1">
        <v>1.06E-2</v>
      </c>
      <c r="F5170" s="1">
        <v>5.9999999999999995E-4</v>
      </c>
      <c r="H5170" s="1">
        <v>4.5999999999999999E-3</v>
      </c>
      <c r="I5170" s="1">
        <v>1.4E-3</v>
      </c>
      <c r="J5170" s="1">
        <v>2.0000000000000001E-4</v>
      </c>
      <c r="K5170" s="1">
        <v>2.52E-2</v>
      </c>
      <c r="L5170" s="1">
        <v>0.22020000000000001</v>
      </c>
      <c r="M5170" s="1">
        <v>5.8999999999999999E-3</v>
      </c>
      <c r="N5170" s="1">
        <v>1.2999999999999999E-2</v>
      </c>
      <c r="O5170" s="1">
        <v>7.7999999999999996E-3</v>
      </c>
      <c r="P5170" s="1">
        <v>2.9999999999999997E-4</v>
      </c>
      <c r="Q5170" s="1">
        <v>2.0000000000000001E-4</v>
      </c>
      <c r="R5170" s="1">
        <v>0.60470000000000002</v>
      </c>
      <c r="S5170" s="1">
        <v>0.125</v>
      </c>
      <c r="T5170" s="1">
        <v>3.8E-3</v>
      </c>
      <c r="U5170" s="1">
        <v>8.0000000000000004E-4</v>
      </c>
      <c r="V5170" s="1">
        <v>2.3400000000000001E-2</v>
      </c>
      <c r="W5170" s="1">
        <v>7.3000000000000001E-3</v>
      </c>
    </row>
    <row r="5171" spans="1:23">
      <c r="A5171" s="25" t="s">
        <v>209</v>
      </c>
      <c r="B5171">
        <v>935</v>
      </c>
      <c r="C5171" t="s">
        <v>189</v>
      </c>
      <c r="D5171">
        <v>10432</v>
      </c>
      <c r="E5171" s="1">
        <v>2.5100000000000001E-2</v>
      </c>
      <c r="G5171" s="1">
        <v>3.3999999999999998E-3</v>
      </c>
      <c r="H5171" s="1">
        <v>2E-3</v>
      </c>
      <c r="I5171" s="1">
        <v>1.5E-3</v>
      </c>
      <c r="K5171" s="1">
        <v>3.04E-2</v>
      </c>
      <c r="L5171" s="1">
        <v>0.37419999999999998</v>
      </c>
      <c r="M5171" s="1">
        <v>5.3E-3</v>
      </c>
      <c r="N5171" s="1">
        <v>1.5699999999999999E-2</v>
      </c>
      <c r="O5171" s="1">
        <v>1.8E-3</v>
      </c>
      <c r="P5171" s="1">
        <v>4.0000000000000002E-4</v>
      </c>
      <c r="Q5171" s="1">
        <v>2.9999999999999997E-4</v>
      </c>
      <c r="R5171" s="1">
        <v>0.52049999999999996</v>
      </c>
      <c r="S5171" s="1">
        <v>8.3000000000000004E-2</v>
      </c>
      <c r="T5171" s="1">
        <v>1.41E-2</v>
      </c>
      <c r="U5171" s="1">
        <v>2.0999999999999999E-3</v>
      </c>
      <c r="V5171" s="1">
        <v>2.6700000000000002E-2</v>
      </c>
      <c r="W5171" s="1">
        <v>3.0999999999999999E-3</v>
      </c>
    </row>
    <row r="5172" spans="1:23">
      <c r="A5172" s="25" t="s">
        <v>192</v>
      </c>
      <c r="B5172">
        <v>10432</v>
      </c>
      <c r="C5172" t="s">
        <v>192</v>
      </c>
      <c r="D5172">
        <v>10432</v>
      </c>
      <c r="E5172" s="1">
        <v>2.2599999999999999E-2</v>
      </c>
      <c r="F5172" s="1">
        <v>8.9999999999999998E-4</v>
      </c>
      <c r="G5172" s="1">
        <v>5.0000000000000001E-4</v>
      </c>
      <c r="H5172" s="1">
        <v>5.4999999999999997E-3</v>
      </c>
      <c r="I5172" s="1">
        <v>8.9999999999999998E-4</v>
      </c>
      <c r="J5172" s="1">
        <v>2.9999999999999997E-4</v>
      </c>
      <c r="K5172" s="1">
        <v>2.23E-2</v>
      </c>
      <c r="L5172" s="1">
        <v>0.2417</v>
      </c>
      <c r="M5172" s="1">
        <v>4.3E-3</v>
      </c>
      <c r="N5172" s="1">
        <v>9.5999999999999992E-3</v>
      </c>
      <c r="O5172" s="1">
        <v>3.8999999999999998E-3</v>
      </c>
      <c r="P5172" s="1">
        <v>6.9999999999999999E-4</v>
      </c>
      <c r="Q5172" s="1">
        <v>1E-4</v>
      </c>
      <c r="R5172" s="1">
        <v>0.59179999999999999</v>
      </c>
      <c r="S5172" s="1">
        <v>0.1353</v>
      </c>
      <c r="T5172" s="1">
        <v>5.8999999999999999E-3</v>
      </c>
      <c r="U5172" s="1">
        <v>1E-3</v>
      </c>
      <c r="V5172" s="1">
        <v>1.8800000000000001E-2</v>
      </c>
      <c r="W5172" s="1">
        <v>1.06E-2</v>
      </c>
    </row>
    <row r="5174" spans="1:23" ht="43.5">
      <c r="A5174" s="25" t="s">
        <v>1483</v>
      </c>
    </row>
    <row r="5175" spans="1:23">
      <c r="A5175" s="25" t="s">
        <v>182</v>
      </c>
      <c r="B5175" t="s">
        <v>219</v>
      </c>
      <c r="C5175" t="s">
        <v>181</v>
      </c>
      <c r="D5175" t="s">
        <v>188</v>
      </c>
      <c r="E5175" t="s">
        <v>1424</v>
      </c>
      <c r="F5175" t="s">
        <v>1425</v>
      </c>
      <c r="G5175" t="s">
        <v>241</v>
      </c>
      <c r="H5175" t="s">
        <v>1426</v>
      </c>
      <c r="I5175" t="s">
        <v>1427</v>
      </c>
      <c r="J5175" t="s">
        <v>243</v>
      </c>
      <c r="K5175" t="s">
        <v>1428</v>
      </c>
      <c r="L5175" t="s">
        <v>1429</v>
      </c>
      <c r="M5175" t="s">
        <v>1430</v>
      </c>
      <c r="N5175" t="s">
        <v>1431</v>
      </c>
      <c r="O5175" t="s">
        <v>1432</v>
      </c>
      <c r="P5175" t="s">
        <v>1434</v>
      </c>
      <c r="Q5175" t="s">
        <v>1478</v>
      </c>
      <c r="R5175" t="s">
        <v>1435</v>
      </c>
      <c r="S5175" t="s">
        <v>1436</v>
      </c>
      <c r="T5175" t="s">
        <v>1437</v>
      </c>
      <c r="U5175" t="s">
        <v>1438</v>
      </c>
      <c r="V5175" t="s">
        <v>1439</v>
      </c>
      <c r="W5175" t="s">
        <v>1440</v>
      </c>
    </row>
    <row r="5176" spans="1:23">
      <c r="A5176" s="25" t="s">
        <v>211</v>
      </c>
      <c r="B5176">
        <v>4972</v>
      </c>
      <c r="C5176" t="s">
        <v>189</v>
      </c>
      <c r="D5176">
        <v>10432</v>
      </c>
      <c r="E5176" s="1">
        <v>3.1600000000000003E-2</v>
      </c>
      <c r="F5176" s="1">
        <v>1.5E-3</v>
      </c>
      <c r="G5176" s="1">
        <v>4.0000000000000002E-4</v>
      </c>
      <c r="H5176" s="1">
        <v>6.4999999999999997E-3</v>
      </c>
      <c r="I5176" s="1">
        <v>8.9999999999999998E-4</v>
      </c>
      <c r="J5176" s="1">
        <v>1E-4</v>
      </c>
      <c r="K5176" s="1">
        <v>2.0899999999999998E-2</v>
      </c>
      <c r="L5176" s="1">
        <v>0.24709999999999999</v>
      </c>
      <c r="M5176" s="1">
        <v>3.7000000000000002E-3</v>
      </c>
      <c r="N5176" s="1">
        <v>8.8000000000000005E-3</v>
      </c>
      <c r="O5176" s="1">
        <v>3.5000000000000001E-3</v>
      </c>
      <c r="P5176" s="1">
        <v>5.0000000000000001E-4</v>
      </c>
      <c r="Q5176" s="1">
        <v>0</v>
      </c>
      <c r="R5176" s="1">
        <v>0.58550000000000002</v>
      </c>
      <c r="S5176" s="1">
        <v>0.14860000000000001</v>
      </c>
      <c r="T5176" s="1">
        <v>7.1000000000000004E-3</v>
      </c>
      <c r="U5176" s="1">
        <v>1.1000000000000001E-3</v>
      </c>
      <c r="V5176" s="1">
        <v>2.1499999999999998E-2</v>
      </c>
      <c r="W5176" s="1">
        <v>1.4800000000000001E-2</v>
      </c>
    </row>
    <row r="5177" spans="1:23">
      <c r="A5177" s="25" t="s">
        <v>212</v>
      </c>
      <c r="B5177">
        <v>3376</v>
      </c>
      <c r="C5177" t="s">
        <v>189</v>
      </c>
      <c r="D5177">
        <v>10432</v>
      </c>
      <c r="E5177" s="1">
        <v>1.8200000000000001E-2</v>
      </c>
      <c r="F5177" s="1">
        <v>1E-4</v>
      </c>
      <c r="H5177" s="1">
        <v>4.7999999999999996E-3</v>
      </c>
      <c r="I5177" s="1">
        <v>8.0000000000000004E-4</v>
      </c>
      <c r="J5177" s="1">
        <v>1E-4</v>
      </c>
      <c r="K5177" s="1">
        <v>2.3599999999999999E-2</v>
      </c>
      <c r="L5177" s="1">
        <v>0.2288</v>
      </c>
      <c r="M5177" s="1">
        <v>5.1999999999999998E-3</v>
      </c>
      <c r="N5177" s="1">
        <v>9.4999999999999998E-3</v>
      </c>
      <c r="O5177" s="1">
        <v>6.0000000000000001E-3</v>
      </c>
      <c r="P5177" s="1">
        <v>8.9999999999999998E-4</v>
      </c>
      <c r="Q5177" s="1">
        <v>2.0000000000000001E-4</v>
      </c>
      <c r="R5177" s="1">
        <v>0.60429999999999995</v>
      </c>
      <c r="S5177" s="1">
        <v>0.1202</v>
      </c>
      <c r="T5177" s="1">
        <v>5.5999999999999999E-3</v>
      </c>
      <c r="U5177" s="1">
        <v>1.1000000000000001E-3</v>
      </c>
      <c r="V5177" s="1">
        <v>2.01E-2</v>
      </c>
      <c r="W5177" s="1">
        <v>8.0999999999999996E-3</v>
      </c>
    </row>
    <row r="5178" spans="1:23">
      <c r="A5178" s="25" t="s">
        <v>213</v>
      </c>
      <c r="B5178">
        <v>2084</v>
      </c>
      <c r="C5178" t="s">
        <v>189</v>
      </c>
      <c r="D5178">
        <v>10432</v>
      </c>
      <c r="E5178" s="1">
        <v>9.2999999999999992E-3</v>
      </c>
      <c r="F5178" s="1">
        <v>5.9999999999999995E-4</v>
      </c>
      <c r="G5178" s="1">
        <v>1.5E-3</v>
      </c>
      <c r="H5178" s="1">
        <v>4.5999999999999999E-3</v>
      </c>
      <c r="I5178" s="1">
        <v>1E-3</v>
      </c>
      <c r="J5178" s="1">
        <v>1.2999999999999999E-3</v>
      </c>
      <c r="K5178" s="1">
        <v>2.3599999999999999E-2</v>
      </c>
      <c r="L5178" s="1">
        <v>0.24829999999999999</v>
      </c>
      <c r="M5178" s="1">
        <v>4.1000000000000003E-3</v>
      </c>
      <c r="N5178" s="1">
        <v>1.1599999999999999E-2</v>
      </c>
      <c r="O5178" s="1">
        <v>2E-3</v>
      </c>
      <c r="P5178" s="1">
        <v>1.1000000000000001E-3</v>
      </c>
      <c r="R5178" s="1">
        <v>0.58760000000000001</v>
      </c>
      <c r="S5178" s="1">
        <v>0.12820000000000001</v>
      </c>
      <c r="T5178" s="1">
        <v>4.0000000000000001E-3</v>
      </c>
      <c r="U5178" s="1">
        <v>5.0000000000000001E-4</v>
      </c>
      <c r="V5178" s="1">
        <v>1.1299999999999999E-2</v>
      </c>
      <c r="W5178" s="1">
        <v>5.0000000000000001E-3</v>
      </c>
    </row>
    <row r="5179" spans="1:23">
      <c r="A5179" s="25" t="s">
        <v>192</v>
      </c>
      <c r="B5179">
        <v>10432</v>
      </c>
      <c r="C5179" t="s">
        <v>192</v>
      </c>
      <c r="D5179">
        <v>10432</v>
      </c>
      <c r="E5179" s="1">
        <v>2.2599999999999999E-2</v>
      </c>
      <c r="F5179" s="1">
        <v>8.9999999999999998E-4</v>
      </c>
      <c r="G5179" s="1">
        <v>5.0000000000000001E-4</v>
      </c>
      <c r="H5179" s="1">
        <v>5.4999999999999997E-3</v>
      </c>
      <c r="I5179" s="1">
        <v>8.9999999999999998E-4</v>
      </c>
      <c r="J5179" s="1">
        <v>2.9999999999999997E-4</v>
      </c>
      <c r="K5179" s="1">
        <v>2.23E-2</v>
      </c>
      <c r="L5179" s="1">
        <v>0.2417</v>
      </c>
      <c r="M5179" s="1">
        <v>4.3E-3</v>
      </c>
      <c r="N5179" s="1">
        <v>9.5999999999999992E-3</v>
      </c>
      <c r="O5179" s="1">
        <v>3.8999999999999998E-3</v>
      </c>
      <c r="P5179" s="1">
        <v>6.9999999999999999E-4</v>
      </c>
      <c r="Q5179" s="1">
        <v>1E-4</v>
      </c>
      <c r="R5179" s="1">
        <v>0.59179999999999999</v>
      </c>
      <c r="S5179" s="1">
        <v>0.1353</v>
      </c>
      <c r="T5179" s="1">
        <v>5.8999999999999999E-3</v>
      </c>
      <c r="U5179" s="1">
        <v>1E-3</v>
      </c>
      <c r="V5179" s="1">
        <v>1.8800000000000001E-2</v>
      </c>
      <c r="W5179" s="1">
        <v>1.06E-2</v>
      </c>
    </row>
    <row r="5181" spans="1:23" ht="43.5">
      <c r="A5181" s="25" t="s">
        <v>1484</v>
      </c>
    </row>
    <row r="5182" spans="1:23">
      <c r="A5182" s="25" t="s">
        <v>182</v>
      </c>
      <c r="B5182" t="s">
        <v>219</v>
      </c>
      <c r="C5182" t="s">
        <v>181</v>
      </c>
      <c r="D5182" t="s">
        <v>188</v>
      </c>
      <c r="E5182" t="s">
        <v>1485</v>
      </c>
      <c r="F5182" t="s">
        <v>241</v>
      </c>
      <c r="G5182" t="s">
        <v>1486</v>
      </c>
      <c r="H5182" t="s">
        <v>1487</v>
      </c>
      <c r="I5182" t="s">
        <v>324</v>
      </c>
      <c r="J5182" t="s">
        <v>1488</v>
      </c>
    </row>
    <row r="5183" spans="1:23">
      <c r="A5183" s="25" t="s">
        <v>190</v>
      </c>
      <c r="B5183">
        <v>4903</v>
      </c>
      <c r="C5183" t="s">
        <v>189</v>
      </c>
      <c r="D5183">
        <v>10434</v>
      </c>
      <c r="E5183" s="1">
        <v>0.98619999999999997</v>
      </c>
      <c r="F5183" s="1">
        <v>8.0000000000000004E-4</v>
      </c>
      <c r="G5183" s="1">
        <v>0.64939999999999998</v>
      </c>
      <c r="H5183" s="1">
        <v>0.98080000000000001</v>
      </c>
      <c r="I5183" s="1">
        <v>6.0000000000000001E-3</v>
      </c>
      <c r="J5183" s="1">
        <v>0.98109999999999997</v>
      </c>
    </row>
    <row r="5184" spans="1:23">
      <c r="A5184" s="25" t="s">
        <v>191</v>
      </c>
      <c r="B5184">
        <v>5474</v>
      </c>
      <c r="C5184" t="s">
        <v>189</v>
      </c>
      <c r="D5184">
        <v>10434</v>
      </c>
      <c r="E5184" s="1">
        <v>0.96530000000000005</v>
      </c>
      <c r="F5184" s="1">
        <v>2.0000000000000001E-4</v>
      </c>
      <c r="G5184" s="1">
        <v>0.93269999999999997</v>
      </c>
      <c r="H5184" s="1">
        <v>0.98809999999999998</v>
      </c>
      <c r="I5184" s="1">
        <v>4.1000000000000003E-3</v>
      </c>
      <c r="J5184" s="1">
        <v>0.98960000000000004</v>
      </c>
    </row>
    <row r="5185" spans="1:10">
      <c r="A5185" s="25" t="s">
        <v>192</v>
      </c>
      <c r="B5185">
        <v>10434</v>
      </c>
      <c r="C5185" t="s">
        <v>192</v>
      </c>
      <c r="D5185">
        <v>10434</v>
      </c>
      <c r="E5185" s="1">
        <v>0.97330000000000005</v>
      </c>
      <c r="F5185" s="1">
        <v>5.0000000000000001E-4</v>
      </c>
      <c r="G5185" s="1">
        <v>0.82469999999999999</v>
      </c>
      <c r="H5185" s="1">
        <v>0.98540000000000005</v>
      </c>
      <c r="I5185" s="1">
        <v>4.8999999999999998E-3</v>
      </c>
      <c r="J5185" s="1">
        <v>0.98640000000000005</v>
      </c>
    </row>
    <row r="5187" spans="1:10" ht="43.5">
      <c r="A5187" s="25" t="s">
        <v>1489</v>
      </c>
    </row>
    <row r="5188" spans="1:10">
      <c r="A5188" s="25" t="s">
        <v>182</v>
      </c>
      <c r="B5188" t="s">
        <v>219</v>
      </c>
      <c r="C5188" t="s">
        <v>181</v>
      </c>
      <c r="D5188" t="s">
        <v>188</v>
      </c>
      <c r="E5188" t="s">
        <v>1485</v>
      </c>
      <c r="F5188" t="s">
        <v>241</v>
      </c>
      <c r="G5188" t="s">
        <v>1486</v>
      </c>
      <c r="H5188" t="s">
        <v>1487</v>
      </c>
      <c r="I5188" t="s">
        <v>324</v>
      </c>
      <c r="J5188" t="s">
        <v>1488</v>
      </c>
    </row>
    <row r="5189" spans="1:10" ht="29.1">
      <c r="A5189" s="25" t="s">
        <v>194</v>
      </c>
      <c r="B5189">
        <v>5954</v>
      </c>
      <c r="C5189" t="s">
        <v>189</v>
      </c>
      <c r="D5189">
        <v>10434</v>
      </c>
      <c r="E5189" s="1">
        <v>0.98780000000000001</v>
      </c>
      <c r="F5189" s="1">
        <v>2.0000000000000001E-4</v>
      </c>
      <c r="G5189" s="1">
        <v>0.81130000000000002</v>
      </c>
      <c r="H5189" s="1">
        <v>0.99060000000000004</v>
      </c>
      <c r="I5189" s="1">
        <v>2.0999999999999999E-3</v>
      </c>
      <c r="J5189" s="1">
        <v>0.99129999999999996</v>
      </c>
    </row>
    <row r="5190" spans="1:10" ht="29.1">
      <c r="A5190" s="25" t="s">
        <v>195</v>
      </c>
      <c r="B5190">
        <v>2703</v>
      </c>
      <c r="C5190" t="s">
        <v>189</v>
      </c>
      <c r="D5190">
        <v>10434</v>
      </c>
      <c r="E5190" s="1">
        <v>0.92969999999999997</v>
      </c>
      <c r="F5190" s="1">
        <v>2.0000000000000001E-4</v>
      </c>
      <c r="G5190" s="1">
        <v>0.83779999999999999</v>
      </c>
      <c r="H5190" s="1">
        <v>0.97650000000000003</v>
      </c>
      <c r="I5190" s="1">
        <v>7.4000000000000003E-3</v>
      </c>
      <c r="J5190" s="1">
        <v>0.97799999999999998</v>
      </c>
    </row>
    <row r="5191" spans="1:10" ht="29.1">
      <c r="A5191" s="25" t="s">
        <v>196</v>
      </c>
      <c r="B5191">
        <v>1720</v>
      </c>
      <c r="C5191" t="s">
        <v>189</v>
      </c>
      <c r="D5191">
        <v>10434</v>
      </c>
      <c r="E5191" s="1">
        <v>0.9516</v>
      </c>
      <c r="F5191" s="1">
        <v>2.5000000000000001E-3</v>
      </c>
      <c r="G5191" s="1">
        <v>0.89870000000000005</v>
      </c>
      <c r="H5191" s="1">
        <v>0.96350000000000002</v>
      </c>
      <c r="I5191" s="1">
        <v>2.0500000000000001E-2</v>
      </c>
      <c r="J5191" s="1">
        <v>0.96609999999999996</v>
      </c>
    </row>
    <row r="5192" spans="1:10">
      <c r="A5192" s="25" t="s">
        <v>192</v>
      </c>
      <c r="B5192">
        <v>10434</v>
      </c>
      <c r="C5192" t="s">
        <v>192</v>
      </c>
      <c r="D5192">
        <v>10434</v>
      </c>
      <c r="E5192" s="1">
        <v>0.97330000000000005</v>
      </c>
      <c r="F5192" s="1">
        <v>5.0000000000000001E-4</v>
      </c>
      <c r="G5192" s="1">
        <v>0.82469999999999999</v>
      </c>
      <c r="H5192" s="1">
        <v>0.98540000000000005</v>
      </c>
      <c r="I5192" s="1">
        <v>4.8999999999999998E-3</v>
      </c>
      <c r="J5192" s="1">
        <v>0.98640000000000005</v>
      </c>
    </row>
    <row r="5194" spans="1:10" ht="43.5">
      <c r="A5194" s="25" t="s">
        <v>1490</v>
      </c>
    </row>
    <row r="5195" spans="1:10">
      <c r="A5195" s="25" t="s">
        <v>182</v>
      </c>
      <c r="B5195" t="s">
        <v>219</v>
      </c>
      <c r="C5195" t="s">
        <v>181</v>
      </c>
      <c r="D5195" t="s">
        <v>188</v>
      </c>
      <c r="E5195" t="s">
        <v>1485</v>
      </c>
      <c r="F5195" t="s">
        <v>241</v>
      </c>
      <c r="G5195" t="s">
        <v>1486</v>
      </c>
      <c r="H5195" t="s">
        <v>1487</v>
      </c>
      <c r="I5195" t="s">
        <v>324</v>
      </c>
      <c r="J5195" t="s">
        <v>1488</v>
      </c>
    </row>
    <row r="5196" spans="1:10">
      <c r="A5196" s="25" t="s">
        <v>198</v>
      </c>
      <c r="B5196">
        <v>2264</v>
      </c>
      <c r="C5196" t="s">
        <v>189</v>
      </c>
      <c r="D5196">
        <v>10434</v>
      </c>
      <c r="E5196" s="1">
        <v>0.97170000000000001</v>
      </c>
      <c r="F5196" s="1">
        <v>2.0000000000000001E-4</v>
      </c>
      <c r="G5196" s="1">
        <v>0.74609999999999999</v>
      </c>
      <c r="H5196" s="1">
        <v>0.97050000000000003</v>
      </c>
      <c r="I5196" s="1">
        <v>9.1999999999999998E-3</v>
      </c>
      <c r="J5196" s="1">
        <v>0.97570000000000001</v>
      </c>
    </row>
    <row r="5197" spans="1:10">
      <c r="A5197" s="25" t="s">
        <v>199</v>
      </c>
      <c r="B5197">
        <v>8170</v>
      </c>
      <c r="C5197" t="s">
        <v>189</v>
      </c>
      <c r="D5197">
        <v>10434</v>
      </c>
      <c r="E5197" s="1">
        <v>0.97360000000000002</v>
      </c>
      <c r="F5197" s="1">
        <v>5.0000000000000001E-4</v>
      </c>
      <c r="G5197" s="1">
        <v>0.84230000000000005</v>
      </c>
      <c r="H5197" s="1">
        <v>0.98870000000000002</v>
      </c>
      <c r="I5197" s="1">
        <v>3.8999999999999998E-3</v>
      </c>
      <c r="J5197" s="1">
        <v>0.98880000000000001</v>
      </c>
    </row>
    <row r="5198" spans="1:10">
      <c r="A5198" s="25" t="s">
        <v>192</v>
      </c>
      <c r="B5198">
        <v>10434</v>
      </c>
      <c r="C5198" t="s">
        <v>192</v>
      </c>
      <c r="D5198">
        <v>10434</v>
      </c>
      <c r="E5198" s="1">
        <v>0.97330000000000005</v>
      </c>
      <c r="F5198" s="1">
        <v>5.0000000000000001E-4</v>
      </c>
      <c r="G5198" s="1">
        <v>0.82469999999999999</v>
      </c>
      <c r="H5198" s="1">
        <v>0.98540000000000005</v>
      </c>
      <c r="I5198" s="1">
        <v>4.8999999999999998E-3</v>
      </c>
      <c r="J5198" s="1">
        <v>0.98640000000000005</v>
      </c>
    </row>
    <row r="5200" spans="1:10" ht="43.5">
      <c r="A5200" s="25" t="s">
        <v>1491</v>
      </c>
    </row>
    <row r="5201" spans="1:10">
      <c r="A5201" s="25" t="s">
        <v>182</v>
      </c>
      <c r="B5201" t="s">
        <v>219</v>
      </c>
      <c r="C5201" t="s">
        <v>181</v>
      </c>
      <c r="D5201" t="s">
        <v>188</v>
      </c>
      <c r="E5201" t="s">
        <v>1485</v>
      </c>
      <c r="F5201" t="s">
        <v>241</v>
      </c>
      <c r="G5201" t="s">
        <v>1486</v>
      </c>
      <c r="H5201" t="s">
        <v>1487</v>
      </c>
      <c r="I5201" t="s">
        <v>324</v>
      </c>
      <c r="J5201" t="s">
        <v>1488</v>
      </c>
    </row>
    <row r="5202" spans="1:10">
      <c r="A5202" s="25" t="s">
        <v>201</v>
      </c>
      <c r="B5202">
        <v>767</v>
      </c>
      <c r="C5202" t="s">
        <v>189</v>
      </c>
      <c r="D5202">
        <v>10434</v>
      </c>
      <c r="E5202" s="1">
        <v>0.94950000000000001</v>
      </c>
      <c r="F5202" s="1">
        <v>5.9999999999999995E-4</v>
      </c>
      <c r="G5202" s="1">
        <v>0.88370000000000004</v>
      </c>
      <c r="H5202" s="1">
        <v>0.97799999999999998</v>
      </c>
      <c r="I5202" s="1">
        <v>8.3000000000000001E-3</v>
      </c>
      <c r="J5202" s="1">
        <v>0.98109999999999997</v>
      </c>
    </row>
    <row r="5203" spans="1:10">
      <c r="A5203" s="25" t="s">
        <v>202</v>
      </c>
      <c r="B5203">
        <v>110</v>
      </c>
      <c r="C5203" t="s">
        <v>189</v>
      </c>
      <c r="D5203">
        <v>10434</v>
      </c>
      <c r="E5203" s="1">
        <v>0.97870000000000001</v>
      </c>
      <c r="G5203" s="1">
        <v>0.88049999999999995</v>
      </c>
      <c r="H5203" s="1">
        <v>0.98899999999999999</v>
      </c>
      <c r="I5203" s="1">
        <v>4.5999999999999999E-3</v>
      </c>
      <c r="J5203" s="1">
        <v>0.99139999999999995</v>
      </c>
    </row>
    <row r="5204" spans="1:10">
      <c r="A5204" s="25" t="s">
        <v>203</v>
      </c>
      <c r="B5204">
        <v>8042</v>
      </c>
      <c r="C5204" t="s">
        <v>189</v>
      </c>
      <c r="D5204">
        <v>10434</v>
      </c>
      <c r="E5204" s="1">
        <v>0.97729999999999995</v>
      </c>
      <c r="F5204" s="1">
        <v>4.0000000000000002E-4</v>
      </c>
      <c r="G5204" s="1">
        <v>0.79990000000000006</v>
      </c>
      <c r="H5204" s="1">
        <v>0.98709999999999998</v>
      </c>
      <c r="I5204" s="1">
        <v>3.5000000000000001E-3</v>
      </c>
      <c r="J5204" s="1">
        <v>0.98740000000000006</v>
      </c>
    </row>
    <row r="5205" spans="1:10">
      <c r="A5205" s="25" t="s">
        <v>204</v>
      </c>
      <c r="B5205">
        <v>31</v>
      </c>
      <c r="C5205" t="s">
        <v>189</v>
      </c>
      <c r="D5205">
        <v>10434</v>
      </c>
      <c r="E5205" s="1">
        <v>0.92749999999999999</v>
      </c>
      <c r="G5205" s="1">
        <v>0.87519999999999998</v>
      </c>
      <c r="H5205" s="1">
        <v>0.93979999999999997</v>
      </c>
      <c r="I5205" s="1">
        <v>1.23E-2</v>
      </c>
      <c r="J5205" s="1">
        <v>0.98770000000000002</v>
      </c>
    </row>
    <row r="5206" spans="1:10">
      <c r="A5206" s="25" t="s">
        <v>205</v>
      </c>
      <c r="B5206">
        <v>1484</v>
      </c>
      <c r="C5206" t="s">
        <v>189</v>
      </c>
      <c r="D5206">
        <v>10434</v>
      </c>
      <c r="E5206" s="1">
        <v>0.96260000000000001</v>
      </c>
      <c r="F5206" s="1">
        <v>8.9999999999999998E-4</v>
      </c>
      <c r="G5206" s="1">
        <v>0.93330000000000002</v>
      </c>
      <c r="H5206" s="1">
        <v>0.97940000000000005</v>
      </c>
      <c r="I5206" s="1">
        <v>1.0800000000000001E-2</v>
      </c>
      <c r="J5206" s="1">
        <v>0.9829</v>
      </c>
    </row>
    <row r="5207" spans="1:10">
      <c r="A5207" s="25" t="s">
        <v>192</v>
      </c>
      <c r="B5207">
        <v>10434</v>
      </c>
      <c r="C5207" t="s">
        <v>192</v>
      </c>
      <c r="D5207">
        <v>10434</v>
      </c>
      <c r="E5207" s="1">
        <v>0.97330000000000005</v>
      </c>
      <c r="F5207" s="1">
        <v>5.0000000000000001E-4</v>
      </c>
      <c r="G5207" s="1">
        <v>0.82469999999999999</v>
      </c>
      <c r="H5207" s="1">
        <v>0.98540000000000005</v>
      </c>
      <c r="I5207" s="1">
        <v>4.8999999999999998E-3</v>
      </c>
      <c r="J5207" s="1">
        <v>0.98640000000000005</v>
      </c>
    </row>
    <row r="5209" spans="1:10" ht="43.5">
      <c r="A5209" s="25" t="s">
        <v>1492</v>
      </c>
    </row>
    <row r="5210" spans="1:10">
      <c r="A5210" s="25" t="s">
        <v>182</v>
      </c>
      <c r="B5210" t="s">
        <v>219</v>
      </c>
      <c r="C5210" t="s">
        <v>181</v>
      </c>
      <c r="D5210" t="s">
        <v>188</v>
      </c>
      <c r="E5210" t="s">
        <v>1485</v>
      </c>
      <c r="F5210" t="s">
        <v>241</v>
      </c>
      <c r="G5210" t="s">
        <v>1486</v>
      </c>
      <c r="H5210" t="s">
        <v>1487</v>
      </c>
      <c r="I5210" t="s">
        <v>324</v>
      </c>
      <c r="J5210" t="s">
        <v>1488</v>
      </c>
    </row>
    <row r="5211" spans="1:10">
      <c r="A5211" s="25" t="s">
        <v>207</v>
      </c>
      <c r="B5211">
        <v>7254</v>
      </c>
      <c r="C5211" t="s">
        <v>189</v>
      </c>
      <c r="D5211">
        <v>10434</v>
      </c>
      <c r="E5211" s="1">
        <v>0.97299999999999998</v>
      </c>
      <c r="F5211" s="1">
        <v>4.0000000000000002E-4</v>
      </c>
      <c r="G5211" s="1">
        <v>0.8427</v>
      </c>
      <c r="H5211" s="1">
        <v>0.98760000000000003</v>
      </c>
      <c r="I5211" s="1">
        <v>4.4000000000000003E-3</v>
      </c>
      <c r="J5211" s="1">
        <v>0.98609999999999998</v>
      </c>
    </row>
    <row r="5212" spans="1:10">
      <c r="A5212" s="25" t="s">
        <v>208</v>
      </c>
      <c r="B5212">
        <v>2245</v>
      </c>
      <c r="C5212" t="s">
        <v>189</v>
      </c>
      <c r="D5212">
        <v>10434</v>
      </c>
      <c r="E5212" s="1">
        <v>0.97550000000000003</v>
      </c>
      <c r="F5212" s="1">
        <v>8.0000000000000004E-4</v>
      </c>
      <c r="G5212" s="1">
        <v>0.77349999999999997</v>
      </c>
      <c r="H5212" s="1">
        <v>0.97770000000000001</v>
      </c>
      <c r="I5212" s="1">
        <v>5.4000000000000003E-3</v>
      </c>
      <c r="J5212" s="1">
        <v>0.98650000000000004</v>
      </c>
    </row>
    <row r="5213" spans="1:10">
      <c r="A5213" s="25" t="s">
        <v>209</v>
      </c>
      <c r="B5213">
        <v>935</v>
      </c>
      <c r="C5213" t="s">
        <v>189</v>
      </c>
      <c r="D5213">
        <v>10434</v>
      </c>
      <c r="E5213" s="1">
        <v>0.96960000000000002</v>
      </c>
      <c r="F5213" s="1">
        <v>2.9999999999999997E-4</v>
      </c>
      <c r="G5213" s="1">
        <v>0.81189999999999996</v>
      </c>
      <c r="H5213" s="1">
        <v>0.98760000000000003</v>
      </c>
      <c r="I5213" s="1">
        <v>7.7999999999999996E-3</v>
      </c>
      <c r="J5213" s="1">
        <v>0.98819999999999997</v>
      </c>
    </row>
    <row r="5214" spans="1:10">
      <c r="A5214" s="25" t="s">
        <v>192</v>
      </c>
      <c r="B5214">
        <v>10434</v>
      </c>
      <c r="C5214" t="s">
        <v>192</v>
      </c>
      <c r="D5214">
        <v>10434</v>
      </c>
      <c r="E5214" s="1">
        <v>0.97330000000000005</v>
      </c>
      <c r="F5214" s="1">
        <v>5.0000000000000001E-4</v>
      </c>
      <c r="G5214" s="1">
        <v>0.82469999999999999</v>
      </c>
      <c r="H5214" s="1">
        <v>0.98540000000000005</v>
      </c>
      <c r="I5214" s="1">
        <v>4.8999999999999998E-3</v>
      </c>
      <c r="J5214" s="1">
        <v>0.98640000000000005</v>
      </c>
    </row>
    <row r="5216" spans="1:10" ht="43.5">
      <c r="A5216" s="25" t="s">
        <v>1493</v>
      </c>
    </row>
    <row r="5217" spans="1:10">
      <c r="A5217" s="25" t="s">
        <v>182</v>
      </c>
      <c r="B5217" t="s">
        <v>219</v>
      </c>
      <c r="C5217" t="s">
        <v>181</v>
      </c>
      <c r="D5217" t="s">
        <v>188</v>
      </c>
      <c r="E5217" t="s">
        <v>1485</v>
      </c>
      <c r="F5217" t="s">
        <v>241</v>
      </c>
      <c r="G5217" t="s">
        <v>1486</v>
      </c>
      <c r="H5217" t="s">
        <v>1487</v>
      </c>
      <c r="I5217" t="s">
        <v>324</v>
      </c>
      <c r="J5217" t="s">
        <v>1488</v>
      </c>
    </row>
    <row r="5218" spans="1:10">
      <c r="A5218" s="25" t="s">
        <v>211</v>
      </c>
      <c r="B5218">
        <v>4972</v>
      </c>
      <c r="C5218" t="s">
        <v>189</v>
      </c>
      <c r="D5218">
        <v>10434</v>
      </c>
      <c r="E5218" s="1">
        <v>0.97499999999999998</v>
      </c>
      <c r="F5218" s="1">
        <v>4.0000000000000002E-4</v>
      </c>
      <c r="G5218" s="1">
        <v>0.8508</v>
      </c>
      <c r="H5218" s="1">
        <v>0.98980000000000001</v>
      </c>
      <c r="I5218" s="1">
        <v>3.3999999999999998E-3</v>
      </c>
      <c r="J5218" s="1">
        <v>0.98980000000000001</v>
      </c>
    </row>
    <row r="5219" spans="1:10">
      <c r="A5219" s="25" t="s">
        <v>212</v>
      </c>
      <c r="B5219">
        <v>3376</v>
      </c>
      <c r="C5219" t="s">
        <v>189</v>
      </c>
      <c r="D5219">
        <v>10434</v>
      </c>
      <c r="E5219" s="1">
        <v>0.9698</v>
      </c>
      <c r="F5219" s="1">
        <v>0</v>
      </c>
      <c r="G5219" s="1">
        <v>0.79</v>
      </c>
      <c r="H5219" s="1">
        <v>0.98250000000000004</v>
      </c>
      <c r="I5219" s="1">
        <v>7.6E-3</v>
      </c>
      <c r="J5219" s="1">
        <v>0.98250000000000004</v>
      </c>
    </row>
    <row r="5220" spans="1:10">
      <c r="A5220" s="25" t="s">
        <v>213</v>
      </c>
      <c r="B5220">
        <v>2086</v>
      </c>
      <c r="C5220" t="s">
        <v>189</v>
      </c>
      <c r="D5220">
        <v>10434</v>
      </c>
      <c r="E5220" s="1">
        <v>0.97450000000000003</v>
      </c>
      <c r="F5220" s="1">
        <v>1.1999999999999999E-3</v>
      </c>
      <c r="G5220" s="1">
        <v>0.81799999999999995</v>
      </c>
      <c r="H5220" s="1">
        <v>0.97970000000000002</v>
      </c>
      <c r="I5220" s="1">
        <v>4.1999999999999997E-3</v>
      </c>
      <c r="J5220" s="1">
        <v>0.98450000000000004</v>
      </c>
    </row>
    <row r="5221" spans="1:10">
      <c r="A5221" s="25" t="s">
        <v>192</v>
      </c>
      <c r="B5221">
        <v>10434</v>
      </c>
      <c r="C5221" t="s">
        <v>192</v>
      </c>
      <c r="D5221">
        <v>10434</v>
      </c>
      <c r="E5221" s="1">
        <v>0.97330000000000005</v>
      </c>
      <c r="F5221" s="1">
        <v>5.0000000000000001E-4</v>
      </c>
      <c r="G5221" s="1">
        <v>0.82469999999999999</v>
      </c>
      <c r="H5221" s="1">
        <v>0.98540000000000005</v>
      </c>
      <c r="I5221" s="1">
        <v>4.8999999999999998E-3</v>
      </c>
      <c r="J5221" s="1">
        <v>0.98640000000000005</v>
      </c>
    </row>
    <row r="5223" spans="1:10" ht="43.5">
      <c r="A5223" s="25" t="s">
        <v>1494</v>
      </c>
    </row>
    <row r="5224" spans="1:10">
      <c r="A5224" s="25" t="s">
        <v>182</v>
      </c>
      <c r="B5224" t="s">
        <v>219</v>
      </c>
      <c r="C5224" t="s">
        <v>181</v>
      </c>
      <c r="D5224" t="s">
        <v>188</v>
      </c>
      <c r="E5224" t="s">
        <v>241</v>
      </c>
      <c r="F5224" t="s">
        <v>1320</v>
      </c>
      <c r="G5224" t="s">
        <v>243</v>
      </c>
      <c r="H5224" t="s">
        <v>1322</v>
      </c>
      <c r="I5224" t="s">
        <v>1323</v>
      </c>
    </row>
    <row r="5225" spans="1:10">
      <c r="A5225" s="25" t="s">
        <v>190</v>
      </c>
      <c r="B5225">
        <v>4903</v>
      </c>
      <c r="C5225" t="s">
        <v>189</v>
      </c>
      <c r="D5225">
        <v>10434</v>
      </c>
      <c r="E5225" s="1">
        <v>1E-4</v>
      </c>
      <c r="F5225" s="1">
        <v>1.4500000000000001E-2</v>
      </c>
      <c r="G5225" s="1">
        <v>6.9999999999999999E-4</v>
      </c>
      <c r="H5225" s="1">
        <v>0.16200000000000001</v>
      </c>
      <c r="I5225" s="1">
        <v>0.82279999999999998</v>
      </c>
    </row>
    <row r="5226" spans="1:10">
      <c r="A5226" s="25" t="s">
        <v>191</v>
      </c>
      <c r="B5226">
        <v>5474</v>
      </c>
      <c r="C5226" t="s">
        <v>189</v>
      </c>
      <c r="D5226">
        <v>10434</v>
      </c>
      <c r="E5226" s="1">
        <v>0</v>
      </c>
      <c r="F5226" s="1">
        <v>4.1999999999999997E-3</v>
      </c>
      <c r="G5226" s="1">
        <v>1E-4</v>
      </c>
      <c r="H5226" s="1">
        <v>7.5200000000000003E-2</v>
      </c>
      <c r="I5226" s="1">
        <v>0.9204</v>
      </c>
    </row>
    <row r="5227" spans="1:10">
      <c r="A5227" s="25" t="s">
        <v>192</v>
      </c>
      <c r="B5227">
        <v>10434</v>
      </c>
      <c r="C5227" t="s">
        <v>192</v>
      </c>
      <c r="D5227">
        <v>10434</v>
      </c>
      <c r="E5227" s="1">
        <v>0</v>
      </c>
      <c r="F5227" s="1">
        <v>8.0999999999999996E-3</v>
      </c>
      <c r="G5227" s="1">
        <v>2.9999999999999997E-4</v>
      </c>
      <c r="H5227" s="1">
        <v>0.10829999999999999</v>
      </c>
      <c r="I5227" s="1">
        <v>0.88319999999999999</v>
      </c>
    </row>
    <row r="5229" spans="1:10" ht="43.5">
      <c r="A5229" s="25" t="s">
        <v>1495</v>
      </c>
    </row>
    <row r="5230" spans="1:10">
      <c r="A5230" s="25" t="s">
        <v>182</v>
      </c>
      <c r="B5230" t="s">
        <v>219</v>
      </c>
      <c r="C5230" t="s">
        <v>181</v>
      </c>
      <c r="D5230" t="s">
        <v>188</v>
      </c>
      <c r="E5230" t="s">
        <v>241</v>
      </c>
      <c r="F5230" t="s">
        <v>1320</v>
      </c>
      <c r="G5230" t="s">
        <v>243</v>
      </c>
      <c r="H5230" t="s">
        <v>1322</v>
      </c>
      <c r="I5230" t="s">
        <v>1323</v>
      </c>
    </row>
    <row r="5231" spans="1:10" ht="29.1">
      <c r="A5231" s="25" t="s">
        <v>194</v>
      </c>
      <c r="B5231">
        <v>5954</v>
      </c>
      <c r="C5231" t="s">
        <v>189</v>
      </c>
      <c r="D5231">
        <v>10434</v>
      </c>
      <c r="F5231" s="1">
        <v>7.3000000000000001E-3</v>
      </c>
      <c r="G5231" s="1">
        <v>4.0000000000000002E-4</v>
      </c>
      <c r="H5231" s="1">
        <v>0.1166</v>
      </c>
      <c r="I5231" s="1">
        <v>0.87570000000000003</v>
      </c>
    </row>
    <row r="5232" spans="1:10" ht="29.1">
      <c r="A5232" s="25" t="s">
        <v>195</v>
      </c>
      <c r="B5232">
        <v>2703</v>
      </c>
      <c r="C5232" t="s">
        <v>189</v>
      </c>
      <c r="D5232">
        <v>10434</v>
      </c>
      <c r="E5232" s="1">
        <v>1E-4</v>
      </c>
      <c r="F5232" s="1">
        <v>1.0999999999999999E-2</v>
      </c>
      <c r="G5232" s="1">
        <v>1E-4</v>
      </c>
      <c r="H5232" s="1">
        <v>8.4400000000000003E-2</v>
      </c>
      <c r="I5232" s="1">
        <v>0.90439999999999998</v>
      </c>
    </row>
    <row r="5233" spans="1:9" ht="29.1">
      <c r="A5233" s="25" t="s">
        <v>196</v>
      </c>
      <c r="B5233">
        <v>1720</v>
      </c>
      <c r="C5233" t="s">
        <v>189</v>
      </c>
      <c r="D5233">
        <v>10434</v>
      </c>
      <c r="E5233" s="1">
        <v>2.0000000000000001E-4</v>
      </c>
      <c r="F5233" s="1">
        <v>8.6999999999999994E-3</v>
      </c>
      <c r="H5233" s="1">
        <v>9.4299999999999995E-2</v>
      </c>
      <c r="I5233" s="1">
        <v>0.89670000000000005</v>
      </c>
    </row>
    <row r="5234" spans="1:9">
      <c r="A5234" s="25" t="s">
        <v>192</v>
      </c>
      <c r="B5234">
        <v>10434</v>
      </c>
      <c r="C5234" t="s">
        <v>192</v>
      </c>
      <c r="D5234">
        <v>10434</v>
      </c>
      <c r="E5234" s="1">
        <v>0</v>
      </c>
      <c r="F5234" s="1">
        <v>8.0999999999999996E-3</v>
      </c>
      <c r="G5234" s="1">
        <v>2.9999999999999997E-4</v>
      </c>
      <c r="H5234" s="1">
        <v>0.10829999999999999</v>
      </c>
      <c r="I5234" s="1">
        <v>0.88319999999999999</v>
      </c>
    </row>
    <row r="5236" spans="1:9" ht="43.5">
      <c r="A5236" s="25" t="s">
        <v>1496</v>
      </c>
    </row>
    <row r="5237" spans="1:9">
      <c r="A5237" s="25" t="s">
        <v>182</v>
      </c>
      <c r="B5237" t="s">
        <v>219</v>
      </c>
      <c r="C5237" t="s">
        <v>181</v>
      </c>
      <c r="D5237" t="s">
        <v>188</v>
      </c>
      <c r="E5237" t="s">
        <v>241</v>
      </c>
      <c r="F5237" t="s">
        <v>1320</v>
      </c>
      <c r="G5237" t="s">
        <v>243</v>
      </c>
      <c r="H5237" t="s">
        <v>1322</v>
      </c>
      <c r="I5237" t="s">
        <v>1323</v>
      </c>
    </row>
    <row r="5238" spans="1:9">
      <c r="A5238" s="25" t="s">
        <v>198</v>
      </c>
      <c r="B5238">
        <v>2264</v>
      </c>
      <c r="C5238" t="s">
        <v>189</v>
      </c>
      <c r="D5238">
        <v>10434</v>
      </c>
      <c r="E5238" s="1">
        <v>1E-4</v>
      </c>
      <c r="F5238" s="1">
        <v>1.47E-2</v>
      </c>
      <c r="G5238" s="1">
        <v>8.9999999999999998E-4</v>
      </c>
      <c r="H5238" s="1">
        <v>0.1726</v>
      </c>
      <c r="I5238" s="1">
        <v>0.81169999999999998</v>
      </c>
    </row>
    <row r="5239" spans="1:9">
      <c r="A5239" s="25" t="s">
        <v>199</v>
      </c>
      <c r="B5239">
        <v>8170</v>
      </c>
      <c r="C5239" t="s">
        <v>189</v>
      </c>
      <c r="D5239">
        <v>10434</v>
      </c>
      <c r="E5239" s="1">
        <v>0</v>
      </c>
      <c r="F5239" s="1">
        <v>6.7000000000000002E-3</v>
      </c>
      <c r="G5239" s="1">
        <v>2.0000000000000001E-4</v>
      </c>
      <c r="H5239" s="1">
        <v>9.3799999999999994E-2</v>
      </c>
      <c r="I5239" s="1">
        <v>0.89929999999999999</v>
      </c>
    </row>
    <row r="5240" spans="1:9">
      <c r="A5240" s="25" t="s">
        <v>192</v>
      </c>
      <c r="B5240">
        <v>10434</v>
      </c>
      <c r="C5240" t="s">
        <v>192</v>
      </c>
      <c r="D5240">
        <v>10434</v>
      </c>
      <c r="E5240" s="1">
        <v>0</v>
      </c>
      <c r="F5240" s="1">
        <v>8.0999999999999996E-3</v>
      </c>
      <c r="G5240" s="1">
        <v>2.9999999999999997E-4</v>
      </c>
      <c r="H5240" s="1">
        <v>0.10829999999999999</v>
      </c>
      <c r="I5240" s="1">
        <v>0.88319999999999999</v>
      </c>
    </row>
    <row r="5242" spans="1:9" ht="43.5">
      <c r="A5242" s="25" t="s">
        <v>1497</v>
      </c>
    </row>
    <row r="5243" spans="1:9">
      <c r="A5243" s="25" t="s">
        <v>182</v>
      </c>
      <c r="B5243" t="s">
        <v>219</v>
      </c>
      <c r="C5243" t="s">
        <v>181</v>
      </c>
      <c r="D5243" t="s">
        <v>188</v>
      </c>
      <c r="E5243" t="s">
        <v>241</v>
      </c>
      <c r="F5243" t="s">
        <v>1320</v>
      </c>
      <c r="G5243" t="s">
        <v>243</v>
      </c>
      <c r="H5243" t="s">
        <v>1322</v>
      </c>
      <c r="I5243" t="s">
        <v>1323</v>
      </c>
    </row>
    <row r="5244" spans="1:9">
      <c r="A5244" s="25" t="s">
        <v>201</v>
      </c>
      <c r="B5244">
        <v>767</v>
      </c>
      <c r="C5244" t="s">
        <v>189</v>
      </c>
      <c r="D5244">
        <v>10434</v>
      </c>
      <c r="F5244" s="1">
        <v>1.2E-2</v>
      </c>
      <c r="H5244" s="1">
        <v>0.14729999999999999</v>
      </c>
      <c r="I5244" s="1">
        <v>0.8407</v>
      </c>
    </row>
    <row r="5245" spans="1:9">
      <c r="A5245" s="25" t="s">
        <v>202</v>
      </c>
      <c r="B5245">
        <v>110</v>
      </c>
      <c r="C5245" t="s">
        <v>189</v>
      </c>
      <c r="D5245">
        <v>10434</v>
      </c>
      <c r="F5245" s="1">
        <v>7.4999999999999997E-3</v>
      </c>
      <c r="H5245" s="1">
        <v>6.6000000000000003E-2</v>
      </c>
      <c r="I5245" s="1">
        <v>0.92649999999999999</v>
      </c>
    </row>
    <row r="5246" spans="1:9">
      <c r="A5246" s="25" t="s">
        <v>203</v>
      </c>
      <c r="B5246">
        <v>8042</v>
      </c>
      <c r="C5246" t="s">
        <v>189</v>
      </c>
      <c r="D5246">
        <v>10434</v>
      </c>
      <c r="E5246" s="1">
        <v>0</v>
      </c>
      <c r="F5246" s="1">
        <v>8.6E-3</v>
      </c>
      <c r="G5246" s="1">
        <v>4.0000000000000002E-4</v>
      </c>
      <c r="H5246" s="1">
        <v>0.1082</v>
      </c>
      <c r="I5246" s="1">
        <v>0.88280000000000003</v>
      </c>
    </row>
    <row r="5247" spans="1:9">
      <c r="A5247" s="25" t="s">
        <v>204</v>
      </c>
      <c r="B5247">
        <v>31</v>
      </c>
      <c r="C5247" t="s">
        <v>189</v>
      </c>
      <c r="D5247">
        <v>10434</v>
      </c>
      <c r="G5247" s="1">
        <v>1.0800000000000001E-2</v>
      </c>
      <c r="H5247" s="1">
        <v>1.23E-2</v>
      </c>
      <c r="I5247" s="1">
        <v>0.97689999999999999</v>
      </c>
    </row>
    <row r="5248" spans="1:9">
      <c r="A5248" s="25" t="s">
        <v>205</v>
      </c>
      <c r="B5248">
        <v>1484</v>
      </c>
      <c r="C5248" t="s">
        <v>189</v>
      </c>
      <c r="D5248">
        <v>10434</v>
      </c>
      <c r="F5248" s="1">
        <v>4.0000000000000001E-3</v>
      </c>
      <c r="H5248" s="1">
        <v>9.1800000000000007E-2</v>
      </c>
      <c r="I5248" s="1">
        <v>0.9042</v>
      </c>
    </row>
    <row r="5249" spans="1:9">
      <c r="A5249" s="25" t="s">
        <v>192</v>
      </c>
      <c r="B5249">
        <v>10434</v>
      </c>
      <c r="C5249" t="s">
        <v>192</v>
      </c>
      <c r="D5249">
        <v>10434</v>
      </c>
      <c r="E5249" s="1">
        <v>0</v>
      </c>
      <c r="F5249" s="1">
        <v>8.0999999999999996E-3</v>
      </c>
      <c r="G5249" s="1">
        <v>2.9999999999999997E-4</v>
      </c>
      <c r="H5249" s="1">
        <v>0.10829999999999999</v>
      </c>
      <c r="I5249" s="1">
        <v>0.88319999999999999</v>
      </c>
    </row>
    <row r="5251" spans="1:9" ht="43.5">
      <c r="A5251" s="25" t="s">
        <v>1498</v>
      </c>
    </row>
    <row r="5252" spans="1:9">
      <c r="A5252" s="25" t="s">
        <v>182</v>
      </c>
      <c r="B5252" t="s">
        <v>219</v>
      </c>
      <c r="C5252" t="s">
        <v>181</v>
      </c>
      <c r="D5252" t="s">
        <v>188</v>
      </c>
      <c r="E5252" t="s">
        <v>241</v>
      </c>
      <c r="F5252" t="s">
        <v>1320</v>
      </c>
      <c r="G5252" t="s">
        <v>243</v>
      </c>
      <c r="H5252" t="s">
        <v>1322</v>
      </c>
      <c r="I5252" t="s">
        <v>1323</v>
      </c>
    </row>
    <row r="5253" spans="1:9">
      <c r="A5253" s="25" t="s">
        <v>207</v>
      </c>
      <c r="B5253">
        <v>7254</v>
      </c>
      <c r="C5253" t="s">
        <v>189</v>
      </c>
      <c r="D5253">
        <v>10434</v>
      </c>
      <c r="E5253" s="1">
        <v>0</v>
      </c>
      <c r="F5253" s="1">
        <v>5.8999999999999999E-3</v>
      </c>
      <c r="H5253" s="1">
        <v>9.8699999999999996E-2</v>
      </c>
      <c r="I5253" s="1">
        <v>0.89529999999999998</v>
      </c>
    </row>
    <row r="5254" spans="1:9">
      <c r="A5254" s="25" t="s">
        <v>208</v>
      </c>
      <c r="B5254">
        <v>2245</v>
      </c>
      <c r="C5254" t="s">
        <v>189</v>
      </c>
      <c r="D5254">
        <v>10434</v>
      </c>
      <c r="F5254" s="1">
        <v>1.49E-2</v>
      </c>
      <c r="G5254" s="1">
        <v>8.9999999999999998E-4</v>
      </c>
      <c r="H5254" s="1">
        <v>0.14180000000000001</v>
      </c>
      <c r="I5254" s="1">
        <v>0.84250000000000003</v>
      </c>
    </row>
    <row r="5255" spans="1:9">
      <c r="A5255" s="25" t="s">
        <v>209</v>
      </c>
      <c r="B5255">
        <v>935</v>
      </c>
      <c r="C5255" t="s">
        <v>189</v>
      </c>
      <c r="D5255">
        <v>10434</v>
      </c>
      <c r="F5255" s="1">
        <v>8.3999999999999995E-3</v>
      </c>
      <c r="G5255" s="1">
        <v>1.4E-3</v>
      </c>
      <c r="H5255" s="1">
        <v>9.7100000000000006E-2</v>
      </c>
      <c r="I5255" s="1">
        <v>0.89300000000000002</v>
      </c>
    </row>
    <row r="5256" spans="1:9">
      <c r="A5256" s="25" t="s">
        <v>192</v>
      </c>
      <c r="B5256">
        <v>10434</v>
      </c>
      <c r="C5256" t="s">
        <v>192</v>
      </c>
      <c r="D5256">
        <v>10434</v>
      </c>
      <c r="E5256" s="1">
        <v>0</v>
      </c>
      <c r="F5256" s="1">
        <v>8.0999999999999996E-3</v>
      </c>
      <c r="G5256" s="1">
        <v>2.9999999999999997E-4</v>
      </c>
      <c r="H5256" s="1">
        <v>0.10829999999999999</v>
      </c>
      <c r="I5256" s="1">
        <v>0.88319999999999999</v>
      </c>
    </row>
    <row r="5258" spans="1:9" ht="43.5">
      <c r="A5258" s="25" t="s">
        <v>1499</v>
      </c>
    </row>
    <row r="5259" spans="1:9">
      <c r="A5259" s="25" t="s">
        <v>182</v>
      </c>
      <c r="B5259" t="s">
        <v>219</v>
      </c>
      <c r="C5259" t="s">
        <v>181</v>
      </c>
      <c r="D5259" t="s">
        <v>188</v>
      </c>
      <c r="E5259" t="s">
        <v>241</v>
      </c>
      <c r="F5259" t="s">
        <v>1320</v>
      </c>
      <c r="G5259" t="s">
        <v>243</v>
      </c>
      <c r="H5259" t="s">
        <v>1322</v>
      </c>
      <c r="I5259" t="s">
        <v>1323</v>
      </c>
    </row>
    <row r="5260" spans="1:9">
      <c r="A5260" s="25" t="s">
        <v>211</v>
      </c>
      <c r="B5260">
        <v>4972</v>
      </c>
      <c r="C5260" t="s">
        <v>189</v>
      </c>
      <c r="D5260">
        <v>10434</v>
      </c>
      <c r="F5260" s="1">
        <v>6.3E-3</v>
      </c>
      <c r="H5260" s="1">
        <v>9.0899999999999995E-2</v>
      </c>
      <c r="I5260" s="1">
        <v>0.90280000000000005</v>
      </c>
    </row>
    <row r="5261" spans="1:9">
      <c r="A5261" s="25" t="s">
        <v>212</v>
      </c>
      <c r="B5261">
        <v>3376</v>
      </c>
      <c r="C5261" t="s">
        <v>189</v>
      </c>
      <c r="D5261">
        <v>10434</v>
      </c>
      <c r="E5261" s="1">
        <v>1E-4</v>
      </c>
      <c r="F5261" s="1">
        <v>1.0699999999999999E-2</v>
      </c>
      <c r="G5261" s="1">
        <v>5.0000000000000001E-4</v>
      </c>
      <c r="H5261" s="1">
        <v>0.13239999999999999</v>
      </c>
      <c r="I5261" s="1">
        <v>0.85629999999999995</v>
      </c>
    </row>
    <row r="5262" spans="1:9">
      <c r="A5262" s="25" t="s">
        <v>213</v>
      </c>
      <c r="B5262">
        <v>2086</v>
      </c>
      <c r="C5262" t="s">
        <v>189</v>
      </c>
      <c r="D5262">
        <v>10434</v>
      </c>
      <c r="F5262" s="1">
        <v>8.6E-3</v>
      </c>
      <c r="G5262" s="1">
        <v>6.9999999999999999E-4</v>
      </c>
      <c r="H5262" s="1">
        <v>0.11119999999999999</v>
      </c>
      <c r="I5262" s="1">
        <v>0.87949999999999995</v>
      </c>
    </row>
    <row r="5263" spans="1:9">
      <c r="A5263" s="25" t="s">
        <v>192</v>
      </c>
      <c r="B5263">
        <v>10434</v>
      </c>
      <c r="C5263" t="s">
        <v>192</v>
      </c>
      <c r="D5263">
        <v>10434</v>
      </c>
      <c r="E5263" s="1">
        <v>0</v>
      </c>
      <c r="F5263" s="1">
        <v>8.0999999999999996E-3</v>
      </c>
      <c r="G5263" s="1">
        <v>2.9999999999999997E-4</v>
      </c>
      <c r="H5263" s="1">
        <v>0.10829999999999999</v>
      </c>
      <c r="I5263" s="1">
        <v>0.88319999999999999</v>
      </c>
    </row>
    <row r="5265" spans="1:14" ht="43.5">
      <c r="A5265" s="25" t="s">
        <v>1500</v>
      </c>
    </row>
    <row r="5266" spans="1:14">
      <c r="A5266" s="25" t="s">
        <v>182</v>
      </c>
      <c r="B5266" t="s">
        <v>219</v>
      </c>
      <c r="C5266" t="s">
        <v>181</v>
      </c>
      <c r="D5266" t="s">
        <v>188</v>
      </c>
      <c r="E5266" t="s">
        <v>1501</v>
      </c>
      <c r="F5266" t="s">
        <v>1502</v>
      </c>
      <c r="G5266" t="s">
        <v>241</v>
      </c>
      <c r="H5266" t="s">
        <v>1503</v>
      </c>
      <c r="I5266" t="s">
        <v>1504</v>
      </c>
      <c r="J5266" t="s">
        <v>1505</v>
      </c>
      <c r="K5266" t="s">
        <v>1506</v>
      </c>
      <c r="L5266" t="s">
        <v>269</v>
      </c>
      <c r="M5266" t="s">
        <v>243</v>
      </c>
      <c r="N5266" t="s">
        <v>1507</v>
      </c>
    </row>
    <row r="5267" spans="1:14">
      <c r="A5267" s="25" t="s">
        <v>190</v>
      </c>
      <c r="B5267">
        <v>936</v>
      </c>
      <c r="C5267" t="s">
        <v>189</v>
      </c>
      <c r="D5267">
        <v>1439</v>
      </c>
      <c r="E5267" s="1">
        <v>0.14460000000000001</v>
      </c>
      <c r="F5267" s="1">
        <v>7.6600000000000001E-2</v>
      </c>
      <c r="G5267" s="1">
        <v>5.7000000000000002E-3</v>
      </c>
      <c r="H5267" s="1">
        <v>0.2394</v>
      </c>
      <c r="I5267" s="1">
        <v>4.6800000000000001E-2</v>
      </c>
      <c r="J5267" s="1">
        <v>8.1799999999999998E-2</v>
      </c>
      <c r="K5267" s="1">
        <v>0.63070000000000004</v>
      </c>
      <c r="L5267" s="1">
        <v>6.0000000000000001E-3</v>
      </c>
      <c r="M5267" s="1">
        <v>7.7000000000000002E-3</v>
      </c>
      <c r="N5267" s="1">
        <v>1.6799999999999999E-2</v>
      </c>
    </row>
    <row r="5268" spans="1:14">
      <c r="A5268" s="25" t="s">
        <v>191</v>
      </c>
      <c r="B5268">
        <v>497</v>
      </c>
      <c r="C5268" t="s">
        <v>189</v>
      </c>
      <c r="D5268">
        <v>1439</v>
      </c>
      <c r="E5268" s="1">
        <v>0.47949999999999998</v>
      </c>
      <c r="F5268" s="1">
        <v>0.1124</v>
      </c>
      <c r="G5268" s="1">
        <v>5.1000000000000004E-3</v>
      </c>
      <c r="H5268" s="1">
        <v>0.1754</v>
      </c>
      <c r="I5268" s="1">
        <v>4.19E-2</v>
      </c>
      <c r="J5268" s="1">
        <v>0.13159999999999999</v>
      </c>
      <c r="K5268" s="1">
        <v>0.28570000000000001</v>
      </c>
      <c r="L5268" s="1">
        <v>1.0800000000000001E-2</v>
      </c>
      <c r="M5268" s="1">
        <v>1.1999999999999999E-3</v>
      </c>
      <c r="N5268" s="1">
        <v>2.8999999999999998E-3</v>
      </c>
    </row>
    <row r="5269" spans="1:14">
      <c r="A5269" s="25" t="s">
        <v>192</v>
      </c>
      <c r="B5269">
        <v>1439</v>
      </c>
      <c r="C5269" t="s">
        <v>192</v>
      </c>
      <c r="D5269">
        <v>1439</v>
      </c>
      <c r="E5269" s="1">
        <v>0.28439999999999999</v>
      </c>
      <c r="F5269" s="1">
        <v>9.1700000000000004E-2</v>
      </c>
      <c r="G5269" s="1">
        <v>5.4000000000000003E-3</v>
      </c>
      <c r="H5269" s="1">
        <v>0.2127</v>
      </c>
      <c r="I5269" s="1">
        <v>4.4699999999999997E-2</v>
      </c>
      <c r="J5269" s="1">
        <v>0.10249999999999999</v>
      </c>
      <c r="K5269" s="1">
        <v>0.4864</v>
      </c>
      <c r="L5269" s="1">
        <v>8.2000000000000007E-3</v>
      </c>
      <c r="M5269" s="1">
        <v>5.0000000000000001E-3</v>
      </c>
      <c r="N5269" s="1">
        <v>1.0999999999999999E-2</v>
      </c>
    </row>
    <row r="5271" spans="1:14" ht="57.95">
      <c r="A5271" s="25" t="s">
        <v>1508</v>
      </c>
    </row>
    <row r="5272" spans="1:14">
      <c r="A5272" s="25" t="s">
        <v>182</v>
      </c>
      <c r="B5272" t="s">
        <v>219</v>
      </c>
      <c r="C5272" t="s">
        <v>181</v>
      </c>
      <c r="D5272" t="s">
        <v>188</v>
      </c>
      <c r="E5272" t="s">
        <v>1501</v>
      </c>
      <c r="F5272" t="s">
        <v>1502</v>
      </c>
      <c r="G5272" t="s">
        <v>241</v>
      </c>
      <c r="H5272" t="s">
        <v>1503</v>
      </c>
      <c r="I5272" t="s">
        <v>1504</v>
      </c>
      <c r="J5272" t="s">
        <v>1505</v>
      </c>
      <c r="K5272" t="s">
        <v>1506</v>
      </c>
      <c r="L5272" t="s">
        <v>269</v>
      </c>
      <c r="M5272" t="s">
        <v>243</v>
      </c>
      <c r="N5272" t="s">
        <v>1507</v>
      </c>
    </row>
    <row r="5273" spans="1:14" ht="29.1">
      <c r="A5273" s="25" t="s">
        <v>194</v>
      </c>
      <c r="B5273">
        <v>823</v>
      </c>
      <c r="C5273" t="s">
        <v>189</v>
      </c>
      <c r="D5273">
        <v>1439</v>
      </c>
      <c r="E5273" s="1">
        <v>0.32750000000000001</v>
      </c>
      <c r="F5273" s="1">
        <v>5.2499999999999998E-2</v>
      </c>
      <c r="G5273" s="1">
        <v>2.5000000000000001E-3</v>
      </c>
      <c r="H5273" s="1">
        <v>0.1923</v>
      </c>
      <c r="I5273" s="1">
        <v>4.8599999999999997E-2</v>
      </c>
      <c r="J5273" s="1">
        <v>9.2899999999999996E-2</v>
      </c>
      <c r="K5273" s="1">
        <v>0.51</v>
      </c>
      <c r="L5273" s="1">
        <v>7.1999999999999998E-3</v>
      </c>
      <c r="M5273" s="1">
        <v>6.1999999999999998E-3</v>
      </c>
      <c r="N5273" s="1">
        <v>1.2999999999999999E-2</v>
      </c>
    </row>
    <row r="5274" spans="1:14" ht="29.1">
      <c r="A5274" s="25" t="s">
        <v>195</v>
      </c>
      <c r="B5274">
        <v>372</v>
      </c>
      <c r="C5274" t="s">
        <v>189</v>
      </c>
      <c r="D5274">
        <v>1439</v>
      </c>
      <c r="E5274" s="1">
        <v>0.1017</v>
      </c>
      <c r="F5274" s="1">
        <v>0.17080000000000001</v>
      </c>
      <c r="G5274" s="1">
        <v>1.2699999999999999E-2</v>
      </c>
      <c r="H5274" s="1">
        <v>0.30170000000000002</v>
      </c>
      <c r="I5274" s="1">
        <v>2.41E-2</v>
      </c>
      <c r="J5274" s="1">
        <v>0.13980000000000001</v>
      </c>
      <c r="K5274" s="1">
        <v>0.46310000000000001</v>
      </c>
      <c r="L5274" s="1">
        <v>1.9E-3</v>
      </c>
      <c r="M5274" s="1">
        <v>1.1000000000000001E-3</v>
      </c>
      <c r="N5274" s="1">
        <v>6.7999999999999996E-3</v>
      </c>
    </row>
    <row r="5275" spans="1:14" ht="29.1">
      <c r="A5275" s="25" t="s">
        <v>196</v>
      </c>
      <c r="B5275">
        <v>238</v>
      </c>
      <c r="C5275" t="s">
        <v>189</v>
      </c>
      <c r="D5275">
        <v>1439</v>
      </c>
      <c r="E5275" s="1">
        <v>0.24110000000000001</v>
      </c>
      <c r="F5275" s="1">
        <v>0.29630000000000001</v>
      </c>
      <c r="G5275" s="1">
        <v>1.8499999999999999E-2</v>
      </c>
      <c r="H5275" s="1">
        <v>0.22889999999999999</v>
      </c>
      <c r="I5275" s="1">
        <v>4.9500000000000002E-2</v>
      </c>
      <c r="J5275" s="1">
        <v>0.11940000000000001</v>
      </c>
      <c r="K5275" s="1">
        <v>0.31840000000000002</v>
      </c>
      <c r="L5275" s="1">
        <v>2.6700000000000002E-2</v>
      </c>
      <c r="M5275" s="1">
        <v>1.5E-3</v>
      </c>
      <c r="N5275" s="1">
        <v>4.0000000000000002E-4</v>
      </c>
    </row>
    <row r="5276" spans="1:14">
      <c r="A5276" s="25" t="s">
        <v>192</v>
      </c>
      <c r="B5276">
        <v>1439</v>
      </c>
      <c r="C5276" t="s">
        <v>192</v>
      </c>
      <c r="D5276">
        <v>1439</v>
      </c>
      <c r="E5276" s="1">
        <v>0.28439999999999999</v>
      </c>
      <c r="F5276" s="1">
        <v>9.1700000000000004E-2</v>
      </c>
      <c r="G5276" s="1">
        <v>5.4000000000000003E-3</v>
      </c>
      <c r="H5276" s="1">
        <v>0.2127</v>
      </c>
      <c r="I5276" s="1">
        <v>4.4699999999999997E-2</v>
      </c>
      <c r="J5276" s="1">
        <v>0.10249999999999999</v>
      </c>
      <c r="K5276" s="1">
        <v>0.4864</v>
      </c>
      <c r="L5276" s="1">
        <v>8.2000000000000007E-3</v>
      </c>
      <c r="M5276" s="1">
        <v>5.0000000000000001E-3</v>
      </c>
      <c r="N5276" s="1">
        <v>1.0999999999999999E-2</v>
      </c>
    </row>
    <row r="5278" spans="1:14" ht="43.5">
      <c r="A5278" s="25" t="s">
        <v>1509</v>
      </c>
    </row>
    <row r="5279" spans="1:14">
      <c r="A5279" s="25" t="s">
        <v>182</v>
      </c>
      <c r="B5279" t="s">
        <v>219</v>
      </c>
      <c r="C5279" t="s">
        <v>181</v>
      </c>
      <c r="D5279" t="s">
        <v>188</v>
      </c>
      <c r="E5279" t="s">
        <v>1501</v>
      </c>
      <c r="F5279" t="s">
        <v>1502</v>
      </c>
      <c r="G5279" t="s">
        <v>241</v>
      </c>
      <c r="H5279" t="s">
        <v>1503</v>
      </c>
      <c r="I5279" t="s">
        <v>1504</v>
      </c>
      <c r="J5279" t="s">
        <v>1505</v>
      </c>
      <c r="K5279" t="s">
        <v>1506</v>
      </c>
      <c r="L5279" t="s">
        <v>269</v>
      </c>
      <c r="M5279" t="s">
        <v>243</v>
      </c>
      <c r="N5279" t="s">
        <v>1507</v>
      </c>
    </row>
    <row r="5280" spans="1:14">
      <c r="A5280" s="25" t="s">
        <v>198</v>
      </c>
      <c r="B5280">
        <v>456</v>
      </c>
      <c r="C5280" t="s">
        <v>189</v>
      </c>
      <c r="D5280">
        <v>1439</v>
      </c>
      <c r="E5280" s="1">
        <v>0.2702</v>
      </c>
      <c r="F5280" s="1">
        <v>8.8400000000000006E-2</v>
      </c>
      <c r="G5280" s="1">
        <v>7.0000000000000001E-3</v>
      </c>
      <c r="H5280" s="1">
        <v>0.29270000000000002</v>
      </c>
      <c r="I5280" s="1">
        <v>3.7400000000000003E-2</v>
      </c>
      <c r="J5280" s="1">
        <v>0.1024</v>
      </c>
      <c r="K5280" s="1">
        <v>0.4975</v>
      </c>
      <c r="L5280" s="1">
        <v>1.12E-2</v>
      </c>
      <c r="M5280" s="1">
        <v>1.9E-3</v>
      </c>
      <c r="N5280" s="1">
        <v>9.7999999999999997E-3</v>
      </c>
    </row>
    <row r="5281" spans="1:14">
      <c r="A5281" s="25" t="s">
        <v>199</v>
      </c>
      <c r="B5281">
        <v>983</v>
      </c>
      <c r="C5281" t="s">
        <v>189</v>
      </c>
      <c r="D5281">
        <v>1439</v>
      </c>
      <c r="E5281" s="1">
        <v>0.29039999999999999</v>
      </c>
      <c r="F5281" s="1">
        <v>9.2999999999999999E-2</v>
      </c>
      <c r="G5281" s="1">
        <v>4.7999999999999996E-3</v>
      </c>
      <c r="H5281" s="1">
        <v>0.17899999999999999</v>
      </c>
      <c r="I5281" s="1">
        <v>4.7800000000000002E-2</v>
      </c>
      <c r="J5281" s="1">
        <v>0.1026</v>
      </c>
      <c r="K5281" s="1">
        <v>0.48170000000000002</v>
      </c>
      <c r="L5281" s="1">
        <v>6.8999999999999999E-3</v>
      </c>
      <c r="M5281" s="1">
        <v>6.3E-3</v>
      </c>
      <c r="N5281" s="1">
        <v>1.15E-2</v>
      </c>
    </row>
    <row r="5282" spans="1:14">
      <c r="A5282" s="25" t="s">
        <v>192</v>
      </c>
      <c r="B5282">
        <v>1439</v>
      </c>
      <c r="C5282" t="s">
        <v>192</v>
      </c>
      <c r="D5282">
        <v>1439</v>
      </c>
      <c r="E5282" s="1">
        <v>0.28439999999999999</v>
      </c>
      <c r="F5282" s="1">
        <v>9.1700000000000004E-2</v>
      </c>
      <c r="G5282" s="1">
        <v>5.4000000000000003E-3</v>
      </c>
      <c r="H5282" s="1">
        <v>0.2127</v>
      </c>
      <c r="I5282" s="1">
        <v>4.4699999999999997E-2</v>
      </c>
      <c r="J5282" s="1">
        <v>0.10249999999999999</v>
      </c>
      <c r="K5282" s="1">
        <v>0.4864</v>
      </c>
      <c r="L5282" s="1">
        <v>8.2000000000000007E-3</v>
      </c>
      <c r="M5282" s="1">
        <v>5.0000000000000001E-3</v>
      </c>
      <c r="N5282" s="1">
        <v>1.0999999999999999E-2</v>
      </c>
    </row>
    <row r="5284" spans="1:14" ht="43.5">
      <c r="A5284" s="25" t="s">
        <v>1510</v>
      </c>
    </row>
    <row r="5285" spans="1:14">
      <c r="A5285" s="25" t="s">
        <v>182</v>
      </c>
      <c r="B5285" t="s">
        <v>219</v>
      </c>
      <c r="C5285" t="s">
        <v>181</v>
      </c>
      <c r="D5285" t="s">
        <v>188</v>
      </c>
      <c r="E5285" t="s">
        <v>1501</v>
      </c>
      <c r="F5285" t="s">
        <v>1502</v>
      </c>
      <c r="G5285" t="s">
        <v>241</v>
      </c>
      <c r="H5285" t="s">
        <v>1503</v>
      </c>
      <c r="I5285" t="s">
        <v>1504</v>
      </c>
      <c r="J5285" t="s">
        <v>1505</v>
      </c>
      <c r="K5285" t="s">
        <v>1506</v>
      </c>
      <c r="L5285" t="s">
        <v>269</v>
      </c>
      <c r="M5285" t="s">
        <v>243</v>
      </c>
      <c r="N5285" t="s">
        <v>1507</v>
      </c>
    </row>
    <row r="5286" spans="1:14">
      <c r="A5286" s="25" t="s">
        <v>201</v>
      </c>
      <c r="B5286">
        <v>134</v>
      </c>
      <c r="C5286" t="s">
        <v>189</v>
      </c>
      <c r="D5286">
        <v>1439</v>
      </c>
      <c r="E5286" s="1">
        <v>0.20949999999999999</v>
      </c>
      <c r="F5286" s="1">
        <v>8.9499999999999996E-2</v>
      </c>
      <c r="H5286" s="1">
        <v>0.16930000000000001</v>
      </c>
      <c r="I5286" s="1">
        <v>9.8400000000000001E-2</v>
      </c>
      <c r="J5286" s="1">
        <v>0.23419999999999999</v>
      </c>
      <c r="K5286" s="1">
        <v>0.39650000000000002</v>
      </c>
      <c r="L5286" s="1">
        <v>2.5499999999999998E-2</v>
      </c>
      <c r="N5286" s="1">
        <v>2.9999999999999997E-4</v>
      </c>
    </row>
    <row r="5287" spans="1:14">
      <c r="A5287" s="25" t="s">
        <v>202</v>
      </c>
      <c r="B5287">
        <v>13</v>
      </c>
      <c r="C5287" t="s">
        <v>189</v>
      </c>
      <c r="D5287">
        <v>1439</v>
      </c>
      <c r="E5287" s="1">
        <v>0.23710000000000001</v>
      </c>
      <c r="F5287" s="1">
        <v>0.2261</v>
      </c>
      <c r="H5287" s="1">
        <v>6.1400000000000003E-2</v>
      </c>
      <c r="J5287" s="1">
        <v>6.1400000000000003E-2</v>
      </c>
      <c r="K5287" s="1">
        <v>0.33239999999999997</v>
      </c>
      <c r="L5287" s="1">
        <v>0.25</v>
      </c>
    </row>
    <row r="5288" spans="1:14">
      <c r="A5288" s="25" t="s">
        <v>203</v>
      </c>
      <c r="B5288">
        <v>1129</v>
      </c>
      <c r="C5288" t="s">
        <v>189</v>
      </c>
      <c r="D5288">
        <v>1439</v>
      </c>
      <c r="E5288" s="1">
        <v>0.25190000000000001</v>
      </c>
      <c r="F5288" s="1">
        <v>8.43E-2</v>
      </c>
      <c r="G5288" s="1">
        <v>5.5999999999999999E-3</v>
      </c>
      <c r="H5288" s="1">
        <v>0.2278</v>
      </c>
      <c r="I5288" s="1">
        <v>3.9199999999999999E-2</v>
      </c>
      <c r="J5288" s="1">
        <v>8.3599999999999994E-2</v>
      </c>
      <c r="K5288" s="1">
        <v>0.54369999999999996</v>
      </c>
      <c r="L5288" s="1">
        <v>5.3E-3</v>
      </c>
      <c r="M5288" s="1">
        <v>5.8999999999999999E-3</v>
      </c>
      <c r="N5288" s="1">
        <v>1.1299999999999999E-2</v>
      </c>
    </row>
    <row r="5289" spans="1:14">
      <c r="A5289" s="25" t="s">
        <v>204</v>
      </c>
      <c r="B5289">
        <v>1</v>
      </c>
      <c r="C5289" t="s">
        <v>189</v>
      </c>
      <c r="D5289">
        <v>1439</v>
      </c>
      <c r="G5289" s="1">
        <v>1</v>
      </c>
    </row>
    <row r="5290" spans="1:14">
      <c r="A5290" s="25" t="s">
        <v>205</v>
      </c>
      <c r="B5290">
        <v>162</v>
      </c>
      <c r="C5290" t="s">
        <v>189</v>
      </c>
      <c r="D5290">
        <v>1439</v>
      </c>
      <c r="E5290" s="1">
        <v>0.59250000000000003</v>
      </c>
      <c r="F5290" s="1">
        <v>0.14419999999999999</v>
      </c>
      <c r="G5290" s="1">
        <v>7.1000000000000004E-3</v>
      </c>
      <c r="H5290" s="1">
        <v>0.1452</v>
      </c>
      <c r="I5290" s="1">
        <v>3.9199999999999999E-2</v>
      </c>
      <c r="J5290" s="1">
        <v>0.127</v>
      </c>
      <c r="K5290" s="1">
        <v>0.15</v>
      </c>
      <c r="L5290" s="1">
        <v>6.4000000000000003E-3</v>
      </c>
      <c r="M5290" s="1">
        <v>2.8E-3</v>
      </c>
      <c r="N5290" s="1">
        <v>1.8499999999999999E-2</v>
      </c>
    </row>
    <row r="5291" spans="1:14">
      <c r="A5291" s="25" t="s">
        <v>192</v>
      </c>
      <c r="B5291">
        <v>1439</v>
      </c>
      <c r="C5291" t="s">
        <v>192</v>
      </c>
      <c r="D5291">
        <v>1439</v>
      </c>
      <c r="E5291" s="1">
        <v>0.28439999999999999</v>
      </c>
      <c r="F5291" s="1">
        <v>9.1700000000000004E-2</v>
      </c>
      <c r="G5291" s="1">
        <v>5.4000000000000003E-3</v>
      </c>
      <c r="H5291" s="1">
        <v>0.2127</v>
      </c>
      <c r="I5291" s="1">
        <v>4.4699999999999997E-2</v>
      </c>
      <c r="J5291" s="1">
        <v>0.10249999999999999</v>
      </c>
      <c r="K5291" s="1">
        <v>0.4864</v>
      </c>
      <c r="L5291" s="1">
        <v>8.2000000000000007E-3</v>
      </c>
      <c r="M5291" s="1">
        <v>5.0000000000000001E-3</v>
      </c>
      <c r="N5291" s="1">
        <v>1.0999999999999999E-2</v>
      </c>
    </row>
    <row r="5293" spans="1:14" ht="43.5">
      <c r="A5293" s="25" t="s">
        <v>1511</v>
      </c>
    </row>
    <row r="5294" spans="1:14">
      <c r="A5294" s="25" t="s">
        <v>182</v>
      </c>
      <c r="B5294" t="s">
        <v>219</v>
      </c>
      <c r="C5294" t="s">
        <v>181</v>
      </c>
      <c r="D5294" t="s">
        <v>188</v>
      </c>
      <c r="E5294" t="s">
        <v>1501</v>
      </c>
      <c r="F5294" t="s">
        <v>1502</v>
      </c>
      <c r="G5294" t="s">
        <v>241</v>
      </c>
      <c r="H5294" t="s">
        <v>1503</v>
      </c>
      <c r="I5294" t="s">
        <v>1504</v>
      </c>
      <c r="J5294" t="s">
        <v>1505</v>
      </c>
      <c r="K5294" t="s">
        <v>1506</v>
      </c>
      <c r="L5294" t="s">
        <v>269</v>
      </c>
      <c r="M5294" t="s">
        <v>243</v>
      </c>
      <c r="N5294" t="s">
        <v>1507</v>
      </c>
    </row>
    <row r="5295" spans="1:14">
      <c r="A5295" s="25" t="s">
        <v>207</v>
      </c>
      <c r="B5295">
        <v>881</v>
      </c>
      <c r="C5295" t="s">
        <v>189</v>
      </c>
      <c r="D5295">
        <v>1439</v>
      </c>
      <c r="E5295" s="1">
        <v>0.3019</v>
      </c>
      <c r="F5295" s="1">
        <v>0.1018</v>
      </c>
      <c r="G5295" s="1">
        <v>5.8999999999999999E-3</v>
      </c>
      <c r="H5295" s="1">
        <v>0.2046</v>
      </c>
      <c r="I5295" s="1">
        <v>4.4200000000000003E-2</v>
      </c>
      <c r="J5295" s="1">
        <v>7.8600000000000003E-2</v>
      </c>
      <c r="K5295" s="1">
        <v>0.44159999999999999</v>
      </c>
      <c r="L5295" s="1">
        <v>4.7999999999999996E-3</v>
      </c>
      <c r="M5295" s="1">
        <v>1.4E-3</v>
      </c>
      <c r="N5295" s="1">
        <v>8.0999999999999996E-3</v>
      </c>
    </row>
    <row r="5296" spans="1:14">
      <c r="A5296" s="25" t="s">
        <v>208</v>
      </c>
      <c r="B5296">
        <v>435</v>
      </c>
      <c r="C5296" t="s">
        <v>189</v>
      </c>
      <c r="D5296">
        <v>1439</v>
      </c>
      <c r="E5296" s="1">
        <v>0.27029999999999998</v>
      </c>
      <c r="F5296" s="1">
        <v>0.08</v>
      </c>
      <c r="G5296" s="1">
        <v>5.1999999999999998E-3</v>
      </c>
      <c r="H5296" s="1">
        <v>0.21529999999999999</v>
      </c>
      <c r="I5296" s="1">
        <v>4.8399999999999999E-2</v>
      </c>
      <c r="J5296" s="1">
        <v>0.13170000000000001</v>
      </c>
      <c r="K5296" s="1">
        <v>0.56679999999999997</v>
      </c>
      <c r="L5296" s="1">
        <v>1.6500000000000001E-2</v>
      </c>
      <c r="M5296" s="1">
        <v>1.35E-2</v>
      </c>
      <c r="N5296" s="1">
        <v>1.83E-2</v>
      </c>
    </row>
    <row r="5297" spans="1:14">
      <c r="A5297" s="25" t="s">
        <v>209</v>
      </c>
      <c r="B5297">
        <v>123</v>
      </c>
      <c r="C5297" t="s">
        <v>189</v>
      </c>
      <c r="D5297">
        <v>1439</v>
      </c>
      <c r="E5297" s="1">
        <v>0.1925</v>
      </c>
      <c r="F5297" s="1">
        <v>5.3400000000000003E-2</v>
      </c>
      <c r="G5297" s="1">
        <v>2.5999999999999999E-3</v>
      </c>
      <c r="H5297" s="1">
        <v>0.27229999999999999</v>
      </c>
      <c r="I5297" s="1">
        <v>3.4099999999999998E-2</v>
      </c>
      <c r="J5297" s="1">
        <v>0.18629999999999999</v>
      </c>
      <c r="K5297" s="1">
        <v>0.53390000000000004</v>
      </c>
      <c r="L5297" s="1">
        <v>2.3E-3</v>
      </c>
      <c r="N5297" s="1">
        <v>4.4999999999999997E-3</v>
      </c>
    </row>
    <row r="5298" spans="1:14">
      <c r="A5298" s="25" t="s">
        <v>192</v>
      </c>
      <c r="B5298">
        <v>1439</v>
      </c>
      <c r="C5298" t="s">
        <v>192</v>
      </c>
      <c r="D5298">
        <v>1439</v>
      </c>
      <c r="E5298" s="1">
        <v>0.28439999999999999</v>
      </c>
      <c r="F5298" s="1">
        <v>9.1700000000000004E-2</v>
      </c>
      <c r="G5298" s="1">
        <v>5.4000000000000003E-3</v>
      </c>
      <c r="H5298" s="1">
        <v>0.2127</v>
      </c>
      <c r="I5298" s="1">
        <v>4.4699999999999997E-2</v>
      </c>
      <c r="J5298" s="1">
        <v>0.10249999999999999</v>
      </c>
      <c r="K5298" s="1">
        <v>0.4864</v>
      </c>
      <c r="L5298" s="1">
        <v>8.2000000000000007E-3</v>
      </c>
      <c r="M5298" s="1">
        <v>5.0000000000000001E-3</v>
      </c>
      <c r="N5298" s="1">
        <v>1.0999999999999999E-2</v>
      </c>
    </row>
    <row r="5300" spans="1:14" ht="43.5">
      <c r="A5300" s="25" t="s">
        <v>1512</v>
      </c>
    </row>
    <row r="5301" spans="1:14">
      <c r="A5301" s="25" t="s">
        <v>182</v>
      </c>
      <c r="B5301" t="s">
        <v>219</v>
      </c>
      <c r="C5301" t="s">
        <v>181</v>
      </c>
      <c r="D5301" t="s">
        <v>188</v>
      </c>
      <c r="E5301" t="s">
        <v>1501</v>
      </c>
      <c r="F5301" t="s">
        <v>1502</v>
      </c>
      <c r="G5301" t="s">
        <v>241</v>
      </c>
      <c r="H5301" t="s">
        <v>1503</v>
      </c>
      <c r="I5301" t="s">
        <v>1504</v>
      </c>
      <c r="J5301" t="s">
        <v>1505</v>
      </c>
      <c r="K5301" t="s">
        <v>1506</v>
      </c>
      <c r="L5301" t="s">
        <v>269</v>
      </c>
      <c r="M5301" t="s">
        <v>243</v>
      </c>
      <c r="N5301" t="s">
        <v>1507</v>
      </c>
    </row>
    <row r="5302" spans="1:14">
      <c r="A5302" s="25" t="s">
        <v>211</v>
      </c>
      <c r="B5302">
        <v>578</v>
      </c>
      <c r="C5302" t="s">
        <v>189</v>
      </c>
      <c r="D5302">
        <v>1439</v>
      </c>
      <c r="E5302" s="1">
        <v>0.34179999999999999</v>
      </c>
      <c r="F5302" s="1">
        <v>7.2800000000000004E-2</v>
      </c>
      <c r="G5302" s="1">
        <v>5.7999999999999996E-3</v>
      </c>
      <c r="H5302" s="1">
        <v>0.17319999999999999</v>
      </c>
      <c r="I5302" s="1">
        <v>3.8699999999999998E-2</v>
      </c>
      <c r="J5302" s="1">
        <v>7.8299999999999995E-2</v>
      </c>
      <c r="K5302" s="1">
        <v>0.45910000000000001</v>
      </c>
      <c r="L5302" s="1">
        <v>4.1999999999999997E-3</v>
      </c>
      <c r="M5302" s="1">
        <v>1.1000000000000001E-3</v>
      </c>
      <c r="N5302" s="1">
        <v>1.14E-2</v>
      </c>
    </row>
    <row r="5303" spans="1:14">
      <c r="A5303" s="25" t="s">
        <v>212</v>
      </c>
      <c r="B5303">
        <v>576</v>
      </c>
      <c r="C5303" t="s">
        <v>189</v>
      </c>
      <c r="D5303">
        <v>1439</v>
      </c>
      <c r="E5303" s="1">
        <v>0.21310000000000001</v>
      </c>
      <c r="F5303" s="1">
        <v>0.1125</v>
      </c>
      <c r="G5303" s="1">
        <v>6.4000000000000003E-3</v>
      </c>
      <c r="H5303" s="1">
        <v>0.22070000000000001</v>
      </c>
      <c r="I5303" s="1">
        <v>5.4699999999999999E-2</v>
      </c>
      <c r="J5303" s="1">
        <v>9.2899999999999996E-2</v>
      </c>
      <c r="K5303" s="1">
        <v>0.52980000000000005</v>
      </c>
      <c r="L5303" s="1">
        <v>5.4000000000000003E-3</v>
      </c>
      <c r="M5303" s="1">
        <v>8.8000000000000005E-3</v>
      </c>
      <c r="N5303" s="1">
        <v>7.1999999999999998E-3</v>
      </c>
    </row>
    <row r="5304" spans="1:14">
      <c r="A5304" s="25" t="s">
        <v>213</v>
      </c>
      <c r="B5304">
        <v>285</v>
      </c>
      <c r="C5304" t="s">
        <v>189</v>
      </c>
      <c r="D5304">
        <v>1439</v>
      </c>
      <c r="E5304" s="1">
        <v>0.30730000000000002</v>
      </c>
      <c r="F5304" s="1">
        <v>8.8599999999999998E-2</v>
      </c>
      <c r="G5304" s="1">
        <v>3.0999999999999999E-3</v>
      </c>
      <c r="H5304" s="1">
        <v>0.26679999999999998</v>
      </c>
      <c r="I5304" s="1">
        <v>3.8100000000000002E-2</v>
      </c>
      <c r="J5304" s="1">
        <v>0.1603</v>
      </c>
      <c r="K5304" s="1">
        <v>0.45950000000000002</v>
      </c>
      <c r="L5304" s="1">
        <v>1.9699999999999999E-2</v>
      </c>
      <c r="M5304" s="1">
        <v>5.1999999999999998E-3</v>
      </c>
      <c r="N5304" s="1">
        <v>1.66E-2</v>
      </c>
    </row>
    <row r="5305" spans="1:14">
      <c r="A5305" s="25" t="s">
        <v>192</v>
      </c>
      <c r="B5305">
        <v>1439</v>
      </c>
      <c r="C5305" t="s">
        <v>192</v>
      </c>
      <c r="D5305">
        <v>1439</v>
      </c>
      <c r="E5305" s="1">
        <v>0.28439999999999999</v>
      </c>
      <c r="F5305" s="1">
        <v>9.1700000000000004E-2</v>
      </c>
      <c r="G5305" s="1">
        <v>5.4000000000000003E-3</v>
      </c>
      <c r="H5305" s="1">
        <v>0.2127</v>
      </c>
      <c r="I5305" s="1">
        <v>4.4699999999999997E-2</v>
      </c>
      <c r="J5305" s="1">
        <v>0.10249999999999999</v>
      </c>
      <c r="K5305" s="1">
        <v>0.4864</v>
      </c>
      <c r="L5305" s="1">
        <v>8.2000000000000007E-3</v>
      </c>
      <c r="M5305" s="1">
        <v>5.0000000000000001E-3</v>
      </c>
      <c r="N5305" s="1">
        <v>1.0999999999999999E-2</v>
      </c>
    </row>
    <row r="5307" spans="1:14" ht="29.1">
      <c r="A5307" s="25" t="s">
        <v>1513</v>
      </c>
    </row>
    <row r="5308" spans="1:14">
      <c r="A5308" s="25" t="s">
        <v>182</v>
      </c>
      <c r="B5308" t="s">
        <v>219</v>
      </c>
      <c r="C5308" t="s">
        <v>181</v>
      </c>
      <c r="D5308" t="s">
        <v>188</v>
      </c>
      <c r="E5308" t="s">
        <v>241</v>
      </c>
      <c r="F5308" t="s">
        <v>1514</v>
      </c>
      <c r="G5308" t="s">
        <v>1515</v>
      </c>
      <c r="H5308" t="s">
        <v>1516</v>
      </c>
      <c r="I5308" t="s">
        <v>1517</v>
      </c>
      <c r="J5308" t="s">
        <v>269</v>
      </c>
      <c r="K5308" t="s">
        <v>243</v>
      </c>
    </row>
    <row r="5309" spans="1:14">
      <c r="A5309" s="25" t="s">
        <v>190</v>
      </c>
      <c r="B5309">
        <v>4901</v>
      </c>
      <c r="C5309" t="s">
        <v>189</v>
      </c>
      <c r="D5309">
        <v>10432</v>
      </c>
      <c r="F5309" s="1">
        <v>0.77849999999999997</v>
      </c>
      <c r="G5309" s="1">
        <v>0.1038</v>
      </c>
      <c r="H5309" s="1">
        <v>0.11</v>
      </c>
      <c r="I5309" s="1">
        <v>7.6E-3</v>
      </c>
      <c r="K5309" s="1">
        <v>2.0000000000000001E-4</v>
      </c>
    </row>
    <row r="5310" spans="1:14">
      <c r="A5310" s="25" t="s">
        <v>191</v>
      </c>
      <c r="B5310">
        <v>5474</v>
      </c>
      <c r="C5310" t="s">
        <v>189</v>
      </c>
      <c r="D5310">
        <v>10432</v>
      </c>
      <c r="E5310" s="1">
        <v>2.0000000000000001E-4</v>
      </c>
      <c r="F5310" s="1">
        <v>0.96209999999999996</v>
      </c>
      <c r="G5310" s="1">
        <v>2.1299999999999999E-2</v>
      </c>
      <c r="H5310" s="1">
        <v>1.44E-2</v>
      </c>
      <c r="I5310" s="1">
        <v>1.8E-3</v>
      </c>
      <c r="J5310" s="1">
        <v>2.0000000000000001E-4</v>
      </c>
      <c r="K5310" s="1">
        <v>0</v>
      </c>
    </row>
    <row r="5311" spans="1:14">
      <c r="A5311" s="25" t="s">
        <v>192</v>
      </c>
      <c r="B5311">
        <v>10432</v>
      </c>
      <c r="C5311" t="s">
        <v>192</v>
      </c>
      <c r="D5311">
        <v>10432</v>
      </c>
      <c r="E5311" s="1">
        <v>1E-4</v>
      </c>
      <c r="F5311" s="1">
        <v>0.8921</v>
      </c>
      <c r="G5311" s="1">
        <v>5.2699999999999997E-2</v>
      </c>
      <c r="H5311" s="1">
        <v>5.0900000000000001E-2</v>
      </c>
      <c r="I5311" s="1">
        <v>4.0000000000000001E-3</v>
      </c>
      <c r="J5311" s="1">
        <v>1E-4</v>
      </c>
      <c r="K5311" s="1">
        <v>1E-4</v>
      </c>
    </row>
    <row r="5313" spans="1:11" ht="43.5">
      <c r="A5313" s="25" t="s">
        <v>1518</v>
      </c>
    </row>
    <row r="5314" spans="1:11">
      <c r="A5314" s="25" t="s">
        <v>182</v>
      </c>
      <c r="B5314" t="s">
        <v>219</v>
      </c>
      <c r="C5314" t="s">
        <v>181</v>
      </c>
      <c r="D5314" t="s">
        <v>188</v>
      </c>
      <c r="E5314" t="s">
        <v>241</v>
      </c>
      <c r="F5314" t="s">
        <v>1514</v>
      </c>
      <c r="G5314" t="s">
        <v>1515</v>
      </c>
      <c r="H5314" t="s">
        <v>1516</v>
      </c>
      <c r="I5314" t="s">
        <v>1517</v>
      </c>
      <c r="J5314" t="s">
        <v>269</v>
      </c>
      <c r="K5314" t="s">
        <v>243</v>
      </c>
    </row>
    <row r="5315" spans="1:11" ht="29.1">
      <c r="A5315" s="25" t="s">
        <v>194</v>
      </c>
      <c r="B5315">
        <v>5952</v>
      </c>
      <c r="C5315" t="s">
        <v>189</v>
      </c>
      <c r="D5315">
        <v>10432</v>
      </c>
      <c r="F5315" s="1">
        <v>0.88239999999999996</v>
      </c>
      <c r="G5315" s="1">
        <v>5.3800000000000001E-2</v>
      </c>
      <c r="H5315" s="1">
        <v>5.9200000000000003E-2</v>
      </c>
      <c r="I5315" s="1">
        <v>4.5999999999999999E-3</v>
      </c>
    </row>
    <row r="5316" spans="1:11" ht="29.1">
      <c r="A5316" s="25" t="s">
        <v>195</v>
      </c>
      <c r="B5316">
        <v>2703</v>
      </c>
      <c r="C5316" t="s">
        <v>189</v>
      </c>
      <c r="D5316">
        <v>10432</v>
      </c>
      <c r="E5316" s="1">
        <v>5.0000000000000001E-4</v>
      </c>
      <c r="F5316" s="1">
        <v>0.89429999999999998</v>
      </c>
      <c r="G5316" s="1">
        <v>6.8500000000000005E-2</v>
      </c>
      <c r="H5316" s="1">
        <v>3.3799999999999997E-2</v>
      </c>
      <c r="I5316" s="1">
        <v>2.7000000000000001E-3</v>
      </c>
      <c r="K5316" s="1">
        <v>2.9999999999999997E-4</v>
      </c>
    </row>
    <row r="5317" spans="1:11" ht="29.1">
      <c r="A5317" s="25" t="s">
        <v>196</v>
      </c>
      <c r="B5317">
        <v>1720</v>
      </c>
      <c r="C5317" t="s">
        <v>189</v>
      </c>
      <c r="D5317">
        <v>10432</v>
      </c>
      <c r="E5317" s="1">
        <v>1E-4</v>
      </c>
      <c r="F5317" s="1">
        <v>0.96150000000000002</v>
      </c>
      <c r="G5317" s="1">
        <v>1.2500000000000001E-2</v>
      </c>
      <c r="H5317" s="1">
        <v>2.2599999999999999E-2</v>
      </c>
      <c r="I5317" s="1">
        <v>1.6999999999999999E-3</v>
      </c>
      <c r="J5317" s="1">
        <v>1.2999999999999999E-3</v>
      </c>
      <c r="K5317" s="1">
        <v>2.0000000000000001E-4</v>
      </c>
    </row>
    <row r="5318" spans="1:11">
      <c r="A5318" s="25" t="s">
        <v>192</v>
      </c>
      <c r="B5318">
        <v>10432</v>
      </c>
      <c r="C5318" t="s">
        <v>192</v>
      </c>
      <c r="D5318">
        <v>10432</v>
      </c>
      <c r="E5318" s="1">
        <v>1E-4</v>
      </c>
      <c r="F5318" s="1">
        <v>0.8921</v>
      </c>
      <c r="G5318" s="1">
        <v>5.2699999999999997E-2</v>
      </c>
      <c r="H5318" s="1">
        <v>5.0900000000000001E-2</v>
      </c>
      <c r="I5318" s="1">
        <v>4.0000000000000001E-3</v>
      </c>
      <c r="J5318" s="1">
        <v>1E-4</v>
      </c>
      <c r="K5318" s="1">
        <v>1E-4</v>
      </c>
    </row>
    <row r="5320" spans="1:11" ht="43.5">
      <c r="A5320" s="25" t="s">
        <v>1519</v>
      </c>
    </row>
    <row r="5321" spans="1:11">
      <c r="A5321" s="25" t="s">
        <v>182</v>
      </c>
      <c r="B5321" t="s">
        <v>219</v>
      </c>
      <c r="C5321" t="s">
        <v>181</v>
      </c>
      <c r="D5321" t="s">
        <v>188</v>
      </c>
      <c r="E5321" t="s">
        <v>241</v>
      </c>
      <c r="F5321" t="s">
        <v>1514</v>
      </c>
      <c r="G5321" t="s">
        <v>1515</v>
      </c>
      <c r="H5321" t="s">
        <v>1516</v>
      </c>
      <c r="I5321" t="s">
        <v>1517</v>
      </c>
      <c r="J5321" t="s">
        <v>269</v>
      </c>
      <c r="K5321" t="s">
        <v>243</v>
      </c>
    </row>
    <row r="5322" spans="1:11">
      <c r="A5322" s="25" t="s">
        <v>198</v>
      </c>
      <c r="B5322">
        <v>2264</v>
      </c>
      <c r="C5322" t="s">
        <v>189</v>
      </c>
      <c r="D5322">
        <v>10432</v>
      </c>
      <c r="F5322" s="1">
        <v>0.84109999999999996</v>
      </c>
      <c r="G5322" s="1">
        <v>6.5000000000000002E-2</v>
      </c>
      <c r="H5322" s="1">
        <v>8.6800000000000002E-2</v>
      </c>
      <c r="I5322" s="1">
        <v>7.1000000000000004E-3</v>
      </c>
      <c r="K5322" s="1">
        <v>1E-4</v>
      </c>
    </row>
    <row r="5323" spans="1:11">
      <c r="A5323" s="25" t="s">
        <v>199</v>
      </c>
      <c r="B5323">
        <v>8168</v>
      </c>
      <c r="C5323" t="s">
        <v>189</v>
      </c>
      <c r="D5323">
        <v>10432</v>
      </c>
      <c r="E5323" s="1">
        <v>1E-4</v>
      </c>
      <c r="F5323" s="1">
        <v>0.90349999999999997</v>
      </c>
      <c r="G5323" s="1">
        <v>0.05</v>
      </c>
      <c r="H5323" s="1">
        <v>4.2799999999999998E-2</v>
      </c>
      <c r="I5323" s="1">
        <v>3.3E-3</v>
      </c>
      <c r="J5323" s="1">
        <v>2.0000000000000001E-4</v>
      </c>
      <c r="K5323" s="1">
        <v>1E-4</v>
      </c>
    </row>
    <row r="5324" spans="1:11">
      <c r="A5324" s="25" t="s">
        <v>192</v>
      </c>
      <c r="B5324">
        <v>10432</v>
      </c>
      <c r="C5324" t="s">
        <v>192</v>
      </c>
      <c r="D5324">
        <v>10432</v>
      </c>
      <c r="E5324" s="1">
        <v>1E-4</v>
      </c>
      <c r="F5324" s="1">
        <v>0.8921</v>
      </c>
      <c r="G5324" s="1">
        <v>5.2699999999999997E-2</v>
      </c>
      <c r="H5324" s="1">
        <v>5.0900000000000001E-2</v>
      </c>
      <c r="I5324" s="1">
        <v>4.0000000000000001E-3</v>
      </c>
      <c r="J5324" s="1">
        <v>1E-4</v>
      </c>
      <c r="K5324" s="1">
        <v>1E-4</v>
      </c>
    </row>
    <row r="5326" spans="1:11" ht="43.5">
      <c r="A5326" s="25" t="s">
        <v>1520</v>
      </c>
    </row>
    <row r="5327" spans="1:11">
      <c r="A5327" s="25" t="s">
        <v>182</v>
      </c>
      <c r="B5327" t="s">
        <v>219</v>
      </c>
      <c r="C5327" t="s">
        <v>181</v>
      </c>
      <c r="D5327" t="s">
        <v>188</v>
      </c>
      <c r="E5327" t="s">
        <v>241</v>
      </c>
      <c r="F5327" t="s">
        <v>1514</v>
      </c>
      <c r="G5327" t="s">
        <v>1515</v>
      </c>
      <c r="H5327" t="s">
        <v>1516</v>
      </c>
      <c r="I5327" t="s">
        <v>1517</v>
      </c>
      <c r="J5327" t="s">
        <v>269</v>
      </c>
      <c r="K5327" t="s">
        <v>243</v>
      </c>
    </row>
    <row r="5328" spans="1:11">
      <c r="A5328" s="25" t="s">
        <v>201</v>
      </c>
      <c r="B5328">
        <v>767</v>
      </c>
      <c r="C5328" t="s">
        <v>189</v>
      </c>
      <c r="D5328">
        <v>10432</v>
      </c>
      <c r="F5328" s="1">
        <v>0.91190000000000004</v>
      </c>
      <c r="G5328" s="1">
        <v>3.6299999999999999E-2</v>
      </c>
      <c r="H5328" s="1">
        <v>4.24E-2</v>
      </c>
      <c r="I5328" s="1">
        <v>7.4999999999999997E-3</v>
      </c>
      <c r="J5328" s="1">
        <v>1.8E-3</v>
      </c>
    </row>
    <row r="5329" spans="1:11">
      <c r="A5329" s="25" t="s">
        <v>202</v>
      </c>
      <c r="B5329">
        <v>110</v>
      </c>
      <c r="C5329" t="s">
        <v>189</v>
      </c>
      <c r="D5329">
        <v>10432</v>
      </c>
      <c r="F5329" s="1">
        <v>0.95599999999999996</v>
      </c>
      <c r="G5329" s="1">
        <v>2.8899999999999999E-2</v>
      </c>
      <c r="H5329" s="1">
        <v>1.5100000000000001E-2</v>
      </c>
    </row>
    <row r="5330" spans="1:11">
      <c r="A5330" s="25" t="s">
        <v>203</v>
      </c>
      <c r="B5330">
        <v>8040</v>
      </c>
      <c r="C5330" t="s">
        <v>189</v>
      </c>
      <c r="D5330">
        <v>10432</v>
      </c>
      <c r="E5330" s="1">
        <v>0</v>
      </c>
      <c r="F5330" s="1">
        <v>0.87609999999999999</v>
      </c>
      <c r="G5330" s="1">
        <v>6.0600000000000001E-2</v>
      </c>
      <c r="H5330" s="1">
        <v>5.91E-2</v>
      </c>
      <c r="I5330" s="1">
        <v>4.1000000000000003E-3</v>
      </c>
      <c r="K5330" s="1">
        <v>1E-4</v>
      </c>
    </row>
    <row r="5331" spans="1:11">
      <c r="A5331" s="25" t="s">
        <v>204</v>
      </c>
      <c r="B5331">
        <v>31</v>
      </c>
      <c r="C5331" t="s">
        <v>189</v>
      </c>
      <c r="D5331">
        <v>10432</v>
      </c>
      <c r="F5331" s="1">
        <v>0.98770000000000002</v>
      </c>
      <c r="H5331" s="1">
        <v>1.23E-2</v>
      </c>
    </row>
    <row r="5332" spans="1:11">
      <c r="A5332" s="25" t="s">
        <v>205</v>
      </c>
      <c r="B5332">
        <v>1484</v>
      </c>
      <c r="C5332" t="s">
        <v>189</v>
      </c>
      <c r="D5332">
        <v>10432</v>
      </c>
      <c r="E5332" s="1">
        <v>5.9999999999999995E-4</v>
      </c>
      <c r="F5332" s="1">
        <v>0.96940000000000004</v>
      </c>
      <c r="G5332" s="1">
        <v>1.7600000000000001E-2</v>
      </c>
      <c r="H5332" s="1">
        <v>1.04E-2</v>
      </c>
      <c r="I5332" s="1">
        <v>1.9E-3</v>
      </c>
    </row>
    <row r="5333" spans="1:11">
      <c r="A5333" s="25" t="s">
        <v>192</v>
      </c>
      <c r="B5333">
        <v>10432</v>
      </c>
      <c r="C5333" t="s">
        <v>192</v>
      </c>
      <c r="D5333">
        <v>10432</v>
      </c>
      <c r="E5333" s="1">
        <v>1E-4</v>
      </c>
      <c r="F5333" s="1">
        <v>0.8921</v>
      </c>
      <c r="G5333" s="1">
        <v>5.2699999999999997E-2</v>
      </c>
      <c r="H5333" s="1">
        <v>5.0900000000000001E-2</v>
      </c>
      <c r="I5333" s="1">
        <v>4.0000000000000001E-3</v>
      </c>
      <c r="J5333" s="1">
        <v>1E-4</v>
      </c>
      <c r="K5333" s="1">
        <v>1E-4</v>
      </c>
    </row>
    <row r="5335" spans="1:11" ht="43.5">
      <c r="A5335" s="25" t="s">
        <v>1521</v>
      </c>
    </row>
    <row r="5336" spans="1:11">
      <c r="A5336" s="25" t="s">
        <v>182</v>
      </c>
      <c r="B5336" t="s">
        <v>219</v>
      </c>
      <c r="C5336" t="s">
        <v>181</v>
      </c>
      <c r="D5336" t="s">
        <v>188</v>
      </c>
      <c r="E5336" t="s">
        <v>241</v>
      </c>
      <c r="F5336" t="s">
        <v>1514</v>
      </c>
      <c r="G5336" t="s">
        <v>1515</v>
      </c>
      <c r="H5336" t="s">
        <v>1516</v>
      </c>
      <c r="I5336" t="s">
        <v>1517</v>
      </c>
      <c r="J5336" t="s">
        <v>269</v>
      </c>
      <c r="K5336" t="s">
        <v>243</v>
      </c>
    </row>
    <row r="5337" spans="1:11">
      <c r="A5337" s="25" t="s">
        <v>207</v>
      </c>
      <c r="B5337">
        <v>7252</v>
      </c>
      <c r="C5337" t="s">
        <v>189</v>
      </c>
      <c r="D5337">
        <v>10432</v>
      </c>
      <c r="E5337" s="1">
        <v>1E-4</v>
      </c>
      <c r="F5337" s="1">
        <v>0.91220000000000001</v>
      </c>
      <c r="G5337" s="1">
        <v>4.6300000000000001E-2</v>
      </c>
      <c r="H5337" s="1">
        <v>3.7699999999999997E-2</v>
      </c>
      <c r="I5337" s="1">
        <v>3.3999999999999998E-3</v>
      </c>
      <c r="J5337" s="1">
        <v>2.0000000000000001E-4</v>
      </c>
      <c r="K5337" s="1">
        <v>1E-4</v>
      </c>
    </row>
    <row r="5338" spans="1:11">
      <c r="A5338" s="25" t="s">
        <v>208</v>
      </c>
      <c r="B5338">
        <v>2245</v>
      </c>
      <c r="C5338" t="s">
        <v>189</v>
      </c>
      <c r="D5338">
        <v>10432</v>
      </c>
      <c r="F5338" s="1">
        <v>0.82369999999999999</v>
      </c>
      <c r="G5338" s="1">
        <v>7.3599999999999999E-2</v>
      </c>
      <c r="H5338" s="1">
        <v>9.7500000000000003E-2</v>
      </c>
      <c r="I5338" s="1">
        <v>5.0000000000000001E-3</v>
      </c>
      <c r="K5338" s="1">
        <v>2.0000000000000001E-4</v>
      </c>
    </row>
    <row r="5339" spans="1:11">
      <c r="A5339" s="25" t="s">
        <v>209</v>
      </c>
      <c r="B5339">
        <v>935</v>
      </c>
      <c r="C5339" t="s">
        <v>189</v>
      </c>
      <c r="D5339">
        <v>10432</v>
      </c>
      <c r="F5339" s="1">
        <v>0.90939999999999999</v>
      </c>
      <c r="G5339" s="1">
        <v>4.9700000000000001E-2</v>
      </c>
      <c r="H5339" s="1">
        <v>3.4700000000000002E-2</v>
      </c>
      <c r="I5339" s="1">
        <v>6.1999999999999998E-3</v>
      </c>
    </row>
    <row r="5340" spans="1:11">
      <c r="A5340" s="25" t="s">
        <v>192</v>
      </c>
      <c r="B5340">
        <v>10432</v>
      </c>
      <c r="C5340" t="s">
        <v>192</v>
      </c>
      <c r="D5340">
        <v>10432</v>
      </c>
      <c r="E5340" s="1">
        <v>1E-4</v>
      </c>
      <c r="F5340" s="1">
        <v>0.8921</v>
      </c>
      <c r="G5340" s="1">
        <v>5.2699999999999997E-2</v>
      </c>
      <c r="H5340" s="1">
        <v>5.0900000000000001E-2</v>
      </c>
      <c r="I5340" s="1">
        <v>4.0000000000000001E-3</v>
      </c>
      <c r="J5340" s="1">
        <v>1E-4</v>
      </c>
      <c r="K5340" s="1">
        <v>1E-4</v>
      </c>
    </row>
    <row r="5342" spans="1:11" ht="43.5">
      <c r="A5342" s="25" t="s">
        <v>1522</v>
      </c>
    </row>
    <row r="5343" spans="1:11">
      <c r="A5343" s="25" t="s">
        <v>182</v>
      </c>
      <c r="B5343" t="s">
        <v>219</v>
      </c>
      <c r="C5343" t="s">
        <v>181</v>
      </c>
      <c r="D5343" t="s">
        <v>188</v>
      </c>
      <c r="E5343" t="s">
        <v>241</v>
      </c>
      <c r="F5343" t="s">
        <v>1514</v>
      </c>
      <c r="G5343" t="s">
        <v>1515</v>
      </c>
      <c r="H5343" t="s">
        <v>1516</v>
      </c>
      <c r="I5343" t="s">
        <v>1517</v>
      </c>
      <c r="J5343" t="s">
        <v>269</v>
      </c>
      <c r="K5343" t="s">
        <v>243</v>
      </c>
    </row>
    <row r="5344" spans="1:11">
      <c r="A5344" s="25" t="s">
        <v>211</v>
      </c>
      <c r="B5344">
        <v>4970</v>
      </c>
      <c r="C5344" t="s">
        <v>189</v>
      </c>
      <c r="D5344">
        <v>10432</v>
      </c>
      <c r="E5344" s="1">
        <v>2.0000000000000001E-4</v>
      </c>
      <c r="F5344" s="1">
        <v>0.91959999999999997</v>
      </c>
      <c r="G5344" s="1">
        <v>4.5499999999999999E-2</v>
      </c>
      <c r="H5344" s="1">
        <v>3.1699999999999999E-2</v>
      </c>
      <c r="I5344" s="1">
        <v>2.8999999999999998E-3</v>
      </c>
      <c r="K5344" s="1">
        <v>0</v>
      </c>
    </row>
    <row r="5345" spans="1:11">
      <c r="A5345" s="25" t="s">
        <v>212</v>
      </c>
      <c r="B5345">
        <v>3376</v>
      </c>
      <c r="C5345" t="s">
        <v>189</v>
      </c>
      <c r="D5345">
        <v>10432</v>
      </c>
      <c r="F5345" s="1">
        <v>0.86480000000000001</v>
      </c>
      <c r="G5345" s="1">
        <v>5.62E-2</v>
      </c>
      <c r="H5345" s="1">
        <v>7.2499999999999995E-2</v>
      </c>
      <c r="I5345" s="1">
        <v>6.1000000000000004E-3</v>
      </c>
      <c r="J5345" s="1">
        <v>4.0000000000000002E-4</v>
      </c>
      <c r="K5345" s="1">
        <v>1E-4</v>
      </c>
    </row>
    <row r="5346" spans="1:11">
      <c r="A5346" s="25" t="s">
        <v>213</v>
      </c>
      <c r="B5346">
        <v>2086</v>
      </c>
      <c r="C5346" t="s">
        <v>189</v>
      </c>
      <c r="D5346">
        <v>10432</v>
      </c>
      <c r="F5346" s="1">
        <v>0.87190000000000001</v>
      </c>
      <c r="G5346" s="1">
        <v>6.3299999999999995E-2</v>
      </c>
      <c r="H5346" s="1">
        <v>6.1400000000000003E-2</v>
      </c>
      <c r="I5346" s="1">
        <v>3.2000000000000002E-3</v>
      </c>
      <c r="K5346" s="1">
        <v>2.0000000000000001E-4</v>
      </c>
    </row>
    <row r="5347" spans="1:11">
      <c r="A5347" s="25" t="s">
        <v>192</v>
      </c>
      <c r="B5347">
        <v>10432</v>
      </c>
      <c r="C5347" t="s">
        <v>192</v>
      </c>
      <c r="D5347">
        <v>10432</v>
      </c>
      <c r="E5347" s="1">
        <v>1E-4</v>
      </c>
      <c r="F5347" s="1">
        <v>0.8921</v>
      </c>
      <c r="G5347" s="1">
        <v>5.2699999999999997E-2</v>
      </c>
      <c r="H5347" s="1">
        <v>5.0900000000000001E-2</v>
      </c>
      <c r="I5347" s="1">
        <v>4.0000000000000001E-3</v>
      </c>
      <c r="J5347" s="1">
        <v>1E-4</v>
      </c>
      <c r="K5347" s="1">
        <v>1E-4</v>
      </c>
    </row>
    <row r="5349" spans="1:11" ht="29.1">
      <c r="A5349" s="25" t="s">
        <v>1523</v>
      </c>
    </row>
    <row r="5350" spans="1:11">
      <c r="A5350" s="25" t="s">
        <v>182</v>
      </c>
      <c r="B5350" t="s">
        <v>219</v>
      </c>
      <c r="C5350" t="s">
        <v>181</v>
      </c>
      <c r="D5350" t="s">
        <v>188</v>
      </c>
      <c r="E5350" t="s">
        <v>241</v>
      </c>
      <c r="F5350" t="s">
        <v>220</v>
      </c>
      <c r="G5350" t="s">
        <v>243</v>
      </c>
      <c r="H5350" t="s">
        <v>221</v>
      </c>
    </row>
    <row r="5351" spans="1:11">
      <c r="A5351" s="25" t="s">
        <v>190</v>
      </c>
      <c r="B5351">
        <v>4903</v>
      </c>
      <c r="C5351" t="s">
        <v>189</v>
      </c>
      <c r="D5351">
        <v>10434</v>
      </c>
      <c r="E5351" s="1">
        <v>0</v>
      </c>
      <c r="F5351" s="1">
        <v>4.0000000000000001E-3</v>
      </c>
      <c r="G5351" s="1">
        <v>6.9999999999999999E-4</v>
      </c>
      <c r="H5351" s="1">
        <v>0.99519999999999997</v>
      </c>
    </row>
    <row r="5352" spans="1:11">
      <c r="A5352" s="25" t="s">
        <v>191</v>
      </c>
      <c r="B5352">
        <v>5474</v>
      </c>
      <c r="C5352" t="s">
        <v>189</v>
      </c>
      <c r="D5352">
        <v>10434</v>
      </c>
      <c r="E5352" s="1">
        <v>0</v>
      </c>
      <c r="F5352" s="1">
        <v>1.6000000000000001E-3</v>
      </c>
      <c r="G5352" s="1">
        <v>2.0000000000000001E-4</v>
      </c>
      <c r="H5352" s="1">
        <v>0.99809999999999999</v>
      </c>
    </row>
    <row r="5353" spans="1:11">
      <c r="A5353" s="25" t="s">
        <v>192</v>
      </c>
      <c r="B5353">
        <v>10434</v>
      </c>
      <c r="C5353" t="s">
        <v>192</v>
      </c>
      <c r="D5353">
        <v>10434</v>
      </c>
      <c r="E5353" s="1">
        <v>0</v>
      </c>
      <c r="F5353" s="1">
        <v>2.5000000000000001E-3</v>
      </c>
      <c r="G5353" s="1">
        <v>4.0000000000000002E-4</v>
      </c>
      <c r="H5353" s="1">
        <v>0.997</v>
      </c>
    </row>
    <row r="5355" spans="1:11" ht="43.5">
      <c r="A5355" s="25" t="s">
        <v>1524</v>
      </c>
    </row>
    <row r="5356" spans="1:11">
      <c r="A5356" s="25" t="s">
        <v>182</v>
      </c>
      <c r="B5356" t="s">
        <v>219</v>
      </c>
      <c r="C5356" t="s">
        <v>181</v>
      </c>
      <c r="D5356" t="s">
        <v>188</v>
      </c>
      <c r="E5356" t="s">
        <v>241</v>
      </c>
      <c r="F5356" t="s">
        <v>220</v>
      </c>
      <c r="G5356" t="s">
        <v>243</v>
      </c>
      <c r="H5356" t="s">
        <v>221</v>
      </c>
    </row>
    <row r="5357" spans="1:11" ht="29.1">
      <c r="A5357" s="25" t="s">
        <v>194</v>
      </c>
      <c r="B5357">
        <v>5954</v>
      </c>
      <c r="C5357" t="s">
        <v>189</v>
      </c>
      <c r="D5357">
        <v>10434</v>
      </c>
      <c r="F5357" s="1">
        <v>3.0000000000000001E-3</v>
      </c>
      <c r="G5357" s="1">
        <v>5.0000000000000001E-4</v>
      </c>
      <c r="H5357" s="1">
        <v>0.99639999999999995</v>
      </c>
    </row>
    <row r="5358" spans="1:11" ht="29.1">
      <c r="A5358" s="25" t="s">
        <v>195</v>
      </c>
      <c r="B5358">
        <v>2703</v>
      </c>
      <c r="C5358" t="s">
        <v>189</v>
      </c>
      <c r="D5358">
        <v>10434</v>
      </c>
      <c r="E5358" s="1">
        <v>0</v>
      </c>
      <c r="F5358" s="1">
        <v>5.9999999999999995E-4</v>
      </c>
      <c r="G5358" s="1">
        <v>1E-4</v>
      </c>
      <c r="H5358" s="1">
        <v>0.99919999999999998</v>
      </c>
    </row>
    <row r="5359" spans="1:11" ht="29.1">
      <c r="A5359" s="25" t="s">
        <v>196</v>
      </c>
      <c r="B5359">
        <v>1720</v>
      </c>
      <c r="C5359" t="s">
        <v>189</v>
      </c>
      <c r="D5359">
        <v>10434</v>
      </c>
      <c r="E5359" s="1">
        <v>4.0000000000000002E-4</v>
      </c>
      <c r="F5359" s="1">
        <v>2.3999999999999998E-3</v>
      </c>
      <c r="H5359" s="1">
        <v>0.99719999999999998</v>
      </c>
    </row>
    <row r="5360" spans="1:11">
      <c r="A5360" s="25" t="s">
        <v>192</v>
      </c>
      <c r="B5360">
        <v>10434</v>
      </c>
      <c r="C5360" t="s">
        <v>192</v>
      </c>
      <c r="D5360">
        <v>10434</v>
      </c>
      <c r="E5360" s="1">
        <v>0</v>
      </c>
      <c r="F5360" s="1">
        <v>2.5000000000000001E-3</v>
      </c>
      <c r="G5360" s="1">
        <v>4.0000000000000002E-4</v>
      </c>
      <c r="H5360" s="1">
        <v>0.997</v>
      </c>
    </row>
    <row r="5362" spans="1:8" ht="43.5">
      <c r="A5362" s="25" t="s">
        <v>1525</v>
      </c>
    </row>
    <row r="5363" spans="1:8">
      <c r="A5363" s="25" t="s">
        <v>182</v>
      </c>
      <c r="B5363" t="s">
        <v>219</v>
      </c>
      <c r="C5363" t="s">
        <v>181</v>
      </c>
      <c r="D5363" t="s">
        <v>188</v>
      </c>
      <c r="E5363" t="s">
        <v>241</v>
      </c>
      <c r="F5363" t="s">
        <v>220</v>
      </c>
      <c r="G5363" t="s">
        <v>243</v>
      </c>
      <c r="H5363" t="s">
        <v>221</v>
      </c>
    </row>
    <row r="5364" spans="1:8">
      <c r="A5364" s="25" t="s">
        <v>198</v>
      </c>
      <c r="B5364">
        <v>2264</v>
      </c>
      <c r="C5364" t="s">
        <v>189</v>
      </c>
      <c r="D5364">
        <v>10434</v>
      </c>
      <c r="E5364" s="1">
        <v>2.0000000000000001E-4</v>
      </c>
      <c r="F5364" s="1">
        <v>1E-3</v>
      </c>
      <c r="G5364" s="1">
        <v>8.0000000000000004E-4</v>
      </c>
      <c r="H5364" s="1">
        <v>0.998</v>
      </c>
    </row>
    <row r="5365" spans="1:8">
      <c r="A5365" s="25" t="s">
        <v>199</v>
      </c>
      <c r="B5365">
        <v>8170</v>
      </c>
      <c r="C5365" t="s">
        <v>189</v>
      </c>
      <c r="D5365">
        <v>10434</v>
      </c>
      <c r="E5365" s="1">
        <v>0</v>
      </c>
      <c r="F5365" s="1">
        <v>2.8999999999999998E-3</v>
      </c>
      <c r="G5365" s="1">
        <v>2.9999999999999997E-4</v>
      </c>
      <c r="H5365" s="1">
        <v>0.99680000000000002</v>
      </c>
    </row>
    <row r="5366" spans="1:8">
      <c r="A5366" s="25" t="s">
        <v>192</v>
      </c>
      <c r="B5366">
        <v>10434</v>
      </c>
      <c r="C5366" t="s">
        <v>192</v>
      </c>
      <c r="D5366">
        <v>10434</v>
      </c>
      <c r="E5366" s="1">
        <v>0</v>
      </c>
      <c r="F5366" s="1">
        <v>2.5000000000000001E-3</v>
      </c>
      <c r="G5366" s="1">
        <v>4.0000000000000002E-4</v>
      </c>
      <c r="H5366" s="1">
        <v>0.997</v>
      </c>
    </row>
    <row r="5368" spans="1:8" ht="43.5">
      <c r="A5368" s="25" t="s">
        <v>1526</v>
      </c>
    </row>
    <row r="5369" spans="1:8">
      <c r="A5369" s="25" t="s">
        <v>182</v>
      </c>
      <c r="B5369" t="s">
        <v>219</v>
      </c>
      <c r="C5369" t="s">
        <v>181</v>
      </c>
      <c r="D5369" t="s">
        <v>188</v>
      </c>
      <c r="E5369" t="s">
        <v>241</v>
      </c>
      <c r="F5369" t="s">
        <v>220</v>
      </c>
      <c r="G5369" t="s">
        <v>243</v>
      </c>
      <c r="H5369" t="s">
        <v>221</v>
      </c>
    </row>
    <row r="5370" spans="1:8">
      <c r="A5370" s="25" t="s">
        <v>201</v>
      </c>
      <c r="B5370">
        <v>767</v>
      </c>
      <c r="C5370" t="s">
        <v>189</v>
      </c>
      <c r="D5370">
        <v>10434</v>
      </c>
      <c r="E5370" s="1">
        <v>1E-4</v>
      </c>
      <c r="F5370" s="1">
        <v>2.2000000000000001E-3</v>
      </c>
      <c r="G5370" s="1">
        <v>1.6000000000000001E-3</v>
      </c>
      <c r="H5370" s="1">
        <v>0.99609999999999999</v>
      </c>
    </row>
    <row r="5371" spans="1:8">
      <c r="A5371" s="25" t="s">
        <v>202</v>
      </c>
      <c r="B5371">
        <v>110</v>
      </c>
      <c r="C5371" t="s">
        <v>189</v>
      </c>
      <c r="D5371">
        <v>10434</v>
      </c>
      <c r="H5371" s="1">
        <v>1</v>
      </c>
    </row>
    <row r="5372" spans="1:8">
      <c r="A5372" s="25" t="s">
        <v>203</v>
      </c>
      <c r="B5372">
        <v>8042</v>
      </c>
      <c r="C5372" t="s">
        <v>189</v>
      </c>
      <c r="D5372">
        <v>10434</v>
      </c>
      <c r="E5372" s="1">
        <v>0</v>
      </c>
      <c r="F5372" s="1">
        <v>2.7000000000000001E-3</v>
      </c>
      <c r="G5372" s="1">
        <v>2.9999999999999997E-4</v>
      </c>
      <c r="H5372" s="1">
        <v>0.99690000000000001</v>
      </c>
    </row>
    <row r="5373" spans="1:8">
      <c r="A5373" s="25" t="s">
        <v>204</v>
      </c>
      <c r="B5373">
        <v>31</v>
      </c>
      <c r="C5373" t="s">
        <v>189</v>
      </c>
      <c r="D5373">
        <v>10434</v>
      </c>
      <c r="H5373" s="1">
        <v>1</v>
      </c>
    </row>
    <row r="5374" spans="1:8">
      <c r="A5374" s="25" t="s">
        <v>205</v>
      </c>
      <c r="B5374">
        <v>1484</v>
      </c>
      <c r="C5374" t="s">
        <v>189</v>
      </c>
      <c r="D5374">
        <v>10434</v>
      </c>
      <c r="E5374" s="1">
        <v>2.0000000000000001E-4</v>
      </c>
      <c r="F5374" s="1">
        <v>1.8E-3</v>
      </c>
      <c r="G5374" s="1">
        <v>2.0000000000000001E-4</v>
      </c>
      <c r="H5374" s="1">
        <v>0.99790000000000001</v>
      </c>
    </row>
    <row r="5375" spans="1:8">
      <c r="A5375" s="25" t="s">
        <v>192</v>
      </c>
      <c r="B5375">
        <v>10434</v>
      </c>
      <c r="C5375" t="s">
        <v>192</v>
      </c>
      <c r="D5375">
        <v>10434</v>
      </c>
      <c r="E5375" s="1">
        <v>0</v>
      </c>
      <c r="F5375" s="1">
        <v>2.5000000000000001E-3</v>
      </c>
      <c r="G5375" s="1">
        <v>4.0000000000000002E-4</v>
      </c>
      <c r="H5375" s="1">
        <v>0.997</v>
      </c>
    </row>
    <row r="5377" spans="1:19" ht="43.5">
      <c r="A5377" s="25" t="s">
        <v>1527</v>
      </c>
    </row>
    <row r="5378" spans="1:19">
      <c r="A5378" s="25" t="s">
        <v>182</v>
      </c>
      <c r="B5378" t="s">
        <v>219</v>
      </c>
      <c r="C5378" t="s">
        <v>181</v>
      </c>
      <c r="D5378" t="s">
        <v>188</v>
      </c>
      <c r="E5378" t="s">
        <v>241</v>
      </c>
      <c r="F5378" t="s">
        <v>220</v>
      </c>
      <c r="G5378" t="s">
        <v>243</v>
      </c>
      <c r="H5378" t="s">
        <v>221</v>
      </c>
    </row>
    <row r="5379" spans="1:19">
      <c r="A5379" s="25" t="s">
        <v>207</v>
      </c>
      <c r="B5379">
        <v>7254</v>
      </c>
      <c r="C5379" t="s">
        <v>189</v>
      </c>
      <c r="D5379">
        <v>10434</v>
      </c>
      <c r="E5379" s="1">
        <v>1E-4</v>
      </c>
      <c r="F5379" s="1">
        <v>1.8E-3</v>
      </c>
      <c r="G5379" s="1">
        <v>5.9999999999999995E-4</v>
      </c>
      <c r="H5379" s="1">
        <v>0.99760000000000004</v>
      </c>
    </row>
    <row r="5380" spans="1:19">
      <c r="A5380" s="25" t="s">
        <v>208</v>
      </c>
      <c r="B5380">
        <v>2245</v>
      </c>
      <c r="C5380" t="s">
        <v>189</v>
      </c>
      <c r="D5380">
        <v>10434</v>
      </c>
      <c r="F5380" s="1">
        <v>4.0000000000000001E-3</v>
      </c>
      <c r="G5380" s="1">
        <v>1E-4</v>
      </c>
      <c r="H5380" s="1">
        <v>0.99590000000000001</v>
      </c>
    </row>
    <row r="5381" spans="1:19">
      <c r="A5381" s="25" t="s">
        <v>209</v>
      </c>
      <c r="B5381">
        <v>935</v>
      </c>
      <c r="C5381" t="s">
        <v>189</v>
      </c>
      <c r="D5381">
        <v>10434</v>
      </c>
      <c r="F5381" s="1">
        <v>4.7999999999999996E-3</v>
      </c>
      <c r="H5381" s="1">
        <v>0.99519999999999997</v>
      </c>
    </row>
    <row r="5382" spans="1:19">
      <c r="A5382" s="25" t="s">
        <v>192</v>
      </c>
      <c r="B5382">
        <v>10434</v>
      </c>
      <c r="C5382" t="s">
        <v>192</v>
      </c>
      <c r="D5382">
        <v>10434</v>
      </c>
      <c r="E5382" s="1">
        <v>0</v>
      </c>
      <c r="F5382" s="1">
        <v>2.5000000000000001E-3</v>
      </c>
      <c r="G5382" s="1">
        <v>4.0000000000000002E-4</v>
      </c>
      <c r="H5382" s="1">
        <v>0.997</v>
      </c>
    </row>
    <row r="5384" spans="1:19" ht="43.5">
      <c r="A5384" s="25" t="s">
        <v>1528</v>
      </c>
    </row>
    <row r="5385" spans="1:19">
      <c r="A5385" s="25" t="s">
        <v>182</v>
      </c>
      <c r="B5385" t="s">
        <v>219</v>
      </c>
      <c r="C5385" t="s">
        <v>181</v>
      </c>
      <c r="D5385" t="s">
        <v>188</v>
      </c>
      <c r="E5385" t="s">
        <v>241</v>
      </c>
      <c r="F5385" t="s">
        <v>220</v>
      </c>
      <c r="G5385" t="s">
        <v>243</v>
      </c>
      <c r="H5385" t="s">
        <v>221</v>
      </c>
    </row>
    <row r="5386" spans="1:19">
      <c r="A5386" s="25" t="s">
        <v>211</v>
      </c>
      <c r="B5386">
        <v>4972</v>
      </c>
      <c r="C5386" t="s">
        <v>189</v>
      </c>
      <c r="D5386">
        <v>10434</v>
      </c>
      <c r="E5386" s="1">
        <v>1E-4</v>
      </c>
      <c r="F5386" s="1">
        <v>1.5E-3</v>
      </c>
      <c r="G5386" s="1">
        <v>8.0000000000000004E-4</v>
      </c>
      <c r="H5386" s="1">
        <v>0.99770000000000003</v>
      </c>
    </row>
    <row r="5387" spans="1:19">
      <c r="A5387" s="25" t="s">
        <v>212</v>
      </c>
      <c r="B5387">
        <v>3376</v>
      </c>
      <c r="C5387" t="s">
        <v>189</v>
      </c>
      <c r="D5387">
        <v>10434</v>
      </c>
      <c r="F5387" s="1">
        <v>4.8999999999999998E-3</v>
      </c>
      <c r="G5387" s="1">
        <v>1E-4</v>
      </c>
      <c r="H5387" s="1">
        <v>0.995</v>
      </c>
    </row>
    <row r="5388" spans="1:19">
      <c r="A5388" s="25" t="s">
        <v>213</v>
      </c>
      <c r="B5388">
        <v>2086</v>
      </c>
      <c r="C5388" t="s">
        <v>189</v>
      </c>
      <c r="D5388">
        <v>10434</v>
      </c>
      <c r="E5388" s="1">
        <v>1E-4</v>
      </c>
      <c r="F5388" s="1">
        <v>1.4E-3</v>
      </c>
      <c r="G5388" s="1">
        <v>1E-4</v>
      </c>
      <c r="H5388" s="1">
        <v>0.99850000000000005</v>
      </c>
    </row>
    <row r="5389" spans="1:19">
      <c r="A5389" s="25" t="s">
        <v>192</v>
      </c>
      <c r="B5389">
        <v>10434</v>
      </c>
      <c r="C5389" t="s">
        <v>192</v>
      </c>
      <c r="D5389">
        <v>10434</v>
      </c>
      <c r="E5389" s="1">
        <v>0</v>
      </c>
      <c r="F5389" s="1">
        <v>2.5000000000000001E-3</v>
      </c>
      <c r="G5389" s="1">
        <v>4.0000000000000002E-4</v>
      </c>
      <c r="H5389" s="1">
        <v>0.997</v>
      </c>
    </row>
    <row r="5391" spans="1:19" ht="43.5">
      <c r="A5391" s="25" t="s">
        <v>1529</v>
      </c>
    </row>
    <row r="5392" spans="1:19">
      <c r="A5392" s="25" t="s">
        <v>182</v>
      </c>
      <c r="B5392" t="s">
        <v>219</v>
      </c>
      <c r="C5392" t="s">
        <v>181</v>
      </c>
      <c r="D5392" t="s">
        <v>188</v>
      </c>
      <c r="E5392" t="s">
        <v>1530</v>
      </c>
      <c r="F5392" t="s">
        <v>1531</v>
      </c>
      <c r="G5392" t="s">
        <v>241</v>
      </c>
      <c r="H5392" t="s">
        <v>1532</v>
      </c>
      <c r="I5392" t="s">
        <v>1533</v>
      </c>
      <c r="J5392" t="s">
        <v>1534</v>
      </c>
      <c r="K5392" t="s">
        <v>1535</v>
      </c>
      <c r="L5392" t="s">
        <v>1536</v>
      </c>
      <c r="M5392" t="s">
        <v>1537</v>
      </c>
      <c r="N5392" t="s">
        <v>1538</v>
      </c>
      <c r="O5392" t="s">
        <v>324</v>
      </c>
      <c r="P5392" t="s">
        <v>269</v>
      </c>
      <c r="Q5392" t="s">
        <v>1539</v>
      </c>
      <c r="R5392" t="s">
        <v>1540</v>
      </c>
      <c r="S5392" t="s">
        <v>243</v>
      </c>
    </row>
    <row r="5393" spans="1:19">
      <c r="A5393" s="25" t="s">
        <v>190</v>
      </c>
      <c r="B5393">
        <v>4903</v>
      </c>
      <c r="C5393" t="s">
        <v>189</v>
      </c>
      <c r="D5393">
        <v>10434</v>
      </c>
      <c r="E5393" s="1">
        <v>4.0000000000000001E-3</v>
      </c>
      <c r="F5393" s="1">
        <v>3.3999999999999998E-3</v>
      </c>
      <c r="G5393" s="1">
        <v>8.0000000000000004E-4</v>
      </c>
      <c r="H5393" s="1">
        <v>1E-3</v>
      </c>
      <c r="I5393" s="1">
        <v>5.5999999999999999E-3</v>
      </c>
      <c r="J5393" s="1">
        <v>1.4E-3</v>
      </c>
      <c r="K5393" s="1">
        <v>0.153</v>
      </c>
      <c r="L5393" s="1">
        <v>0.26419999999999999</v>
      </c>
      <c r="M5393" s="1">
        <v>0.13489999999999999</v>
      </c>
      <c r="N5393" s="1">
        <v>4.0000000000000002E-4</v>
      </c>
      <c r="Q5393" s="1">
        <v>0.4138</v>
      </c>
      <c r="R5393" s="1">
        <v>1.7000000000000001E-2</v>
      </c>
      <c r="S5393" s="1">
        <v>4.0000000000000002E-4</v>
      </c>
    </row>
    <row r="5394" spans="1:19">
      <c r="A5394" s="25" t="s">
        <v>191</v>
      </c>
      <c r="B5394">
        <v>5474</v>
      </c>
      <c r="C5394" t="s">
        <v>189</v>
      </c>
      <c r="D5394">
        <v>10434</v>
      </c>
      <c r="E5394" s="1">
        <v>4.0000000000000002E-4</v>
      </c>
      <c r="F5394" s="1">
        <v>1.5E-3</v>
      </c>
      <c r="G5394" s="1">
        <v>2.9999999999999997E-4</v>
      </c>
      <c r="H5394" s="1">
        <v>1.6999999999999999E-3</v>
      </c>
      <c r="I5394" s="1">
        <v>1.1000000000000001E-3</v>
      </c>
      <c r="J5394" s="1">
        <v>2.9999999999999997E-4</v>
      </c>
      <c r="K5394" s="1">
        <v>0.74329999999999996</v>
      </c>
      <c r="L5394" s="1">
        <v>0.1452</v>
      </c>
      <c r="M5394" s="1">
        <v>3.6700000000000003E-2</v>
      </c>
      <c r="O5394" s="1">
        <v>2.9999999999999997E-4</v>
      </c>
      <c r="P5394" s="1">
        <v>0</v>
      </c>
      <c r="Q5394" s="1">
        <v>6.5799999999999997E-2</v>
      </c>
      <c r="R5394" s="1">
        <v>3.0000000000000001E-3</v>
      </c>
      <c r="S5394" s="1">
        <v>4.0000000000000002E-4</v>
      </c>
    </row>
    <row r="5395" spans="1:19">
      <c r="A5395" s="25" t="s">
        <v>192</v>
      </c>
      <c r="B5395">
        <v>10434</v>
      </c>
      <c r="C5395" t="s">
        <v>192</v>
      </c>
      <c r="D5395">
        <v>10434</v>
      </c>
      <c r="E5395" s="1">
        <v>1.8E-3</v>
      </c>
      <c r="F5395" s="1">
        <v>2.2000000000000001E-3</v>
      </c>
      <c r="G5395" s="1">
        <v>5.0000000000000001E-4</v>
      </c>
      <c r="H5395" s="1">
        <v>1.4E-3</v>
      </c>
      <c r="I5395" s="1">
        <v>2.8E-3</v>
      </c>
      <c r="J5395" s="1">
        <v>6.9999999999999999E-4</v>
      </c>
      <c r="K5395" s="1">
        <v>0.5181</v>
      </c>
      <c r="L5395" s="1">
        <v>0.19059999999999999</v>
      </c>
      <c r="M5395" s="1">
        <v>7.4099999999999999E-2</v>
      </c>
      <c r="N5395" s="1">
        <v>1E-4</v>
      </c>
      <c r="O5395" s="1">
        <v>2.0000000000000001E-4</v>
      </c>
      <c r="P5395" s="1">
        <v>0</v>
      </c>
      <c r="Q5395" s="1">
        <v>0.1986</v>
      </c>
      <c r="R5395" s="1">
        <v>8.3999999999999995E-3</v>
      </c>
      <c r="S5395" s="1">
        <v>4.0000000000000002E-4</v>
      </c>
    </row>
    <row r="5397" spans="1:19" ht="43.5">
      <c r="A5397" s="25" t="s">
        <v>1541</v>
      </c>
    </row>
    <row r="5398" spans="1:19">
      <c r="A5398" s="25" t="s">
        <v>182</v>
      </c>
      <c r="B5398" t="s">
        <v>219</v>
      </c>
      <c r="C5398" t="s">
        <v>181</v>
      </c>
      <c r="D5398" t="s">
        <v>188</v>
      </c>
      <c r="E5398" t="s">
        <v>1530</v>
      </c>
      <c r="F5398" t="s">
        <v>1531</v>
      </c>
      <c r="G5398" t="s">
        <v>241</v>
      </c>
      <c r="H5398" t="s">
        <v>1532</v>
      </c>
      <c r="I5398" t="s">
        <v>1533</v>
      </c>
      <c r="J5398" t="s">
        <v>1534</v>
      </c>
      <c r="K5398" t="s">
        <v>1535</v>
      </c>
      <c r="L5398" t="s">
        <v>1536</v>
      </c>
      <c r="M5398" t="s">
        <v>1537</v>
      </c>
      <c r="N5398" t="s">
        <v>1538</v>
      </c>
      <c r="O5398" t="s">
        <v>324</v>
      </c>
      <c r="P5398" t="s">
        <v>269</v>
      </c>
      <c r="Q5398" t="s">
        <v>1539</v>
      </c>
      <c r="R5398" t="s">
        <v>1540</v>
      </c>
      <c r="S5398" t="s">
        <v>243</v>
      </c>
    </row>
    <row r="5399" spans="1:19" ht="29.1">
      <c r="A5399" s="25" t="s">
        <v>194</v>
      </c>
      <c r="B5399">
        <v>5954</v>
      </c>
      <c r="C5399" t="s">
        <v>189</v>
      </c>
      <c r="D5399">
        <v>10434</v>
      </c>
      <c r="E5399" s="1">
        <v>2.3999999999999998E-3</v>
      </c>
      <c r="F5399" s="1">
        <v>2.3E-3</v>
      </c>
      <c r="G5399" s="1">
        <v>4.0000000000000002E-4</v>
      </c>
      <c r="H5399" s="1">
        <v>1.1999999999999999E-3</v>
      </c>
      <c r="I5399" s="1">
        <v>3.7000000000000002E-3</v>
      </c>
      <c r="J5399" s="1">
        <v>1E-3</v>
      </c>
      <c r="K5399" s="1">
        <v>0.49480000000000002</v>
      </c>
      <c r="L5399" s="1">
        <v>0.17380000000000001</v>
      </c>
      <c r="M5399" s="1">
        <v>9.4399999999999998E-2</v>
      </c>
      <c r="O5399" s="1">
        <v>1E-4</v>
      </c>
      <c r="Q5399" s="1">
        <v>0.21629999999999999</v>
      </c>
      <c r="R5399" s="1">
        <v>9.4999999999999998E-3</v>
      </c>
      <c r="S5399" s="1">
        <v>2.9999999999999997E-4</v>
      </c>
    </row>
    <row r="5400" spans="1:19" ht="29.1">
      <c r="A5400" s="25" t="s">
        <v>195</v>
      </c>
      <c r="B5400">
        <v>2703</v>
      </c>
      <c r="C5400" t="s">
        <v>189</v>
      </c>
      <c r="D5400">
        <v>10434</v>
      </c>
      <c r="E5400" s="1">
        <v>2.9999999999999997E-4</v>
      </c>
      <c r="F5400" s="1">
        <v>2.5000000000000001E-3</v>
      </c>
      <c r="G5400" s="1">
        <v>2.0000000000000001E-4</v>
      </c>
      <c r="H5400" s="1">
        <v>3.0000000000000001E-3</v>
      </c>
      <c r="I5400" s="1">
        <v>6.9999999999999999E-4</v>
      </c>
      <c r="K5400" s="1">
        <v>0.52029999999999998</v>
      </c>
      <c r="L5400" s="1">
        <v>0.26069999999999999</v>
      </c>
      <c r="M5400" s="1">
        <v>3.0099999999999998E-2</v>
      </c>
      <c r="N5400" s="1">
        <v>1E-4</v>
      </c>
      <c r="Q5400" s="1">
        <v>0.17710000000000001</v>
      </c>
      <c r="R5400" s="1">
        <v>4.1999999999999997E-3</v>
      </c>
      <c r="S5400" s="1">
        <v>6.9999999999999999E-4</v>
      </c>
    </row>
    <row r="5401" spans="1:19" ht="29.1">
      <c r="A5401" s="25" t="s">
        <v>196</v>
      </c>
      <c r="B5401">
        <v>1720</v>
      </c>
      <c r="C5401" t="s">
        <v>189</v>
      </c>
      <c r="D5401">
        <v>10434</v>
      </c>
      <c r="E5401" s="1">
        <v>2.0000000000000001E-4</v>
      </c>
      <c r="F5401" s="1">
        <v>1.5E-3</v>
      </c>
      <c r="G5401" s="1">
        <v>2.3E-3</v>
      </c>
      <c r="I5401" s="1">
        <v>5.9999999999999995E-4</v>
      </c>
      <c r="J5401" s="1">
        <v>4.0000000000000002E-4</v>
      </c>
      <c r="K5401" s="1">
        <v>0.69099999999999995</v>
      </c>
      <c r="L5401" s="1">
        <v>0.1749</v>
      </c>
      <c r="M5401" s="1">
        <v>1.06E-2</v>
      </c>
      <c r="N5401" s="1">
        <v>1.1999999999999999E-3</v>
      </c>
      <c r="O5401" s="1">
        <v>1.2999999999999999E-3</v>
      </c>
      <c r="P5401" s="1">
        <v>2.0000000000000001E-4</v>
      </c>
      <c r="Q5401" s="1">
        <v>0.10730000000000001</v>
      </c>
      <c r="R5401" s="1">
        <v>8.0000000000000002E-3</v>
      </c>
      <c r="S5401" s="1">
        <v>4.0000000000000002E-4</v>
      </c>
    </row>
    <row r="5402" spans="1:19">
      <c r="A5402" s="25" t="s">
        <v>192</v>
      </c>
      <c r="B5402">
        <v>10434</v>
      </c>
      <c r="C5402" t="s">
        <v>192</v>
      </c>
      <c r="D5402">
        <v>10434</v>
      </c>
      <c r="E5402" s="1">
        <v>1.8E-3</v>
      </c>
      <c r="F5402" s="1">
        <v>2.2000000000000001E-3</v>
      </c>
      <c r="G5402" s="1">
        <v>5.0000000000000001E-4</v>
      </c>
      <c r="H5402" s="1">
        <v>1.4E-3</v>
      </c>
      <c r="I5402" s="1">
        <v>2.8E-3</v>
      </c>
      <c r="J5402" s="1">
        <v>6.9999999999999999E-4</v>
      </c>
      <c r="K5402" s="1">
        <v>0.5181</v>
      </c>
      <c r="L5402" s="1">
        <v>0.19059999999999999</v>
      </c>
      <c r="M5402" s="1">
        <v>7.4099999999999999E-2</v>
      </c>
      <c r="N5402" s="1">
        <v>1E-4</v>
      </c>
      <c r="O5402" s="1">
        <v>2.0000000000000001E-4</v>
      </c>
      <c r="P5402" s="1">
        <v>0</v>
      </c>
      <c r="Q5402" s="1">
        <v>0.1986</v>
      </c>
      <c r="R5402" s="1">
        <v>8.3999999999999995E-3</v>
      </c>
      <c r="S5402" s="1">
        <v>4.0000000000000002E-4</v>
      </c>
    </row>
    <row r="5404" spans="1:19" ht="43.5">
      <c r="A5404" s="25" t="s">
        <v>1542</v>
      </c>
    </row>
    <row r="5405" spans="1:19">
      <c r="A5405" s="25" t="s">
        <v>182</v>
      </c>
      <c r="B5405" t="s">
        <v>219</v>
      </c>
      <c r="C5405" t="s">
        <v>181</v>
      </c>
      <c r="D5405" t="s">
        <v>188</v>
      </c>
      <c r="E5405" t="s">
        <v>1530</v>
      </c>
      <c r="F5405" t="s">
        <v>1531</v>
      </c>
      <c r="G5405" t="s">
        <v>241</v>
      </c>
      <c r="H5405" t="s">
        <v>1532</v>
      </c>
      <c r="I5405" t="s">
        <v>1533</v>
      </c>
      <c r="J5405" t="s">
        <v>1534</v>
      </c>
      <c r="K5405" t="s">
        <v>1535</v>
      </c>
      <c r="L5405" t="s">
        <v>1536</v>
      </c>
      <c r="M5405" t="s">
        <v>1537</v>
      </c>
      <c r="N5405" t="s">
        <v>1538</v>
      </c>
      <c r="O5405" t="s">
        <v>324</v>
      </c>
      <c r="P5405" t="s">
        <v>269</v>
      </c>
      <c r="Q5405" t="s">
        <v>1539</v>
      </c>
      <c r="R5405" t="s">
        <v>1540</v>
      </c>
      <c r="S5405" t="s">
        <v>243</v>
      </c>
    </row>
    <row r="5406" spans="1:19">
      <c r="A5406" s="25" t="s">
        <v>198</v>
      </c>
      <c r="B5406">
        <v>2264</v>
      </c>
      <c r="C5406" t="s">
        <v>189</v>
      </c>
      <c r="D5406">
        <v>10434</v>
      </c>
      <c r="E5406" s="1">
        <v>5.7999999999999996E-3</v>
      </c>
      <c r="F5406" s="1">
        <v>7.7999999999999996E-3</v>
      </c>
      <c r="G5406" s="1">
        <v>5.0000000000000001E-4</v>
      </c>
      <c r="H5406" s="1">
        <v>1.8E-3</v>
      </c>
      <c r="I5406" s="1">
        <v>1.1000000000000001E-3</v>
      </c>
      <c r="J5406" s="1">
        <v>8.9999999999999998E-4</v>
      </c>
      <c r="K5406" s="1">
        <v>0.42470000000000002</v>
      </c>
      <c r="L5406" s="1">
        <v>0.2036</v>
      </c>
      <c r="M5406" s="1">
        <v>6.7000000000000004E-2</v>
      </c>
      <c r="O5406" s="1">
        <v>6.9999999999999999E-4</v>
      </c>
      <c r="P5406" s="1">
        <v>1E-4</v>
      </c>
      <c r="Q5406" s="1">
        <v>0.27060000000000001</v>
      </c>
      <c r="R5406" s="1">
        <v>1.52E-2</v>
      </c>
      <c r="S5406" s="1">
        <v>2.0000000000000001E-4</v>
      </c>
    </row>
    <row r="5407" spans="1:19">
      <c r="A5407" s="25" t="s">
        <v>199</v>
      </c>
      <c r="B5407">
        <v>8170</v>
      </c>
      <c r="C5407" t="s">
        <v>189</v>
      </c>
      <c r="D5407">
        <v>10434</v>
      </c>
      <c r="E5407" s="1">
        <v>8.0000000000000004E-4</v>
      </c>
      <c r="F5407" s="1">
        <v>1E-3</v>
      </c>
      <c r="G5407" s="1">
        <v>5.0000000000000001E-4</v>
      </c>
      <c r="H5407" s="1">
        <v>1.2999999999999999E-3</v>
      </c>
      <c r="I5407" s="1">
        <v>3.2000000000000002E-3</v>
      </c>
      <c r="J5407" s="1">
        <v>6.9999999999999999E-4</v>
      </c>
      <c r="K5407" s="1">
        <v>0.53910000000000002</v>
      </c>
      <c r="L5407" s="1">
        <v>0.18770000000000001</v>
      </c>
      <c r="M5407" s="1">
        <v>7.5700000000000003E-2</v>
      </c>
      <c r="N5407" s="1">
        <v>2.0000000000000001E-4</v>
      </c>
      <c r="O5407" s="1">
        <v>0</v>
      </c>
      <c r="Q5407" s="1">
        <v>0.18240000000000001</v>
      </c>
      <c r="R5407" s="1">
        <v>6.7999999999999996E-3</v>
      </c>
      <c r="S5407" s="1">
        <v>4.0000000000000002E-4</v>
      </c>
    </row>
    <row r="5408" spans="1:19">
      <c r="A5408" s="25" t="s">
        <v>192</v>
      </c>
      <c r="B5408">
        <v>10434</v>
      </c>
      <c r="C5408" t="s">
        <v>192</v>
      </c>
      <c r="D5408">
        <v>10434</v>
      </c>
      <c r="E5408" s="1">
        <v>1.8E-3</v>
      </c>
      <c r="F5408" s="1">
        <v>2.2000000000000001E-3</v>
      </c>
      <c r="G5408" s="1">
        <v>5.0000000000000001E-4</v>
      </c>
      <c r="H5408" s="1">
        <v>1.4E-3</v>
      </c>
      <c r="I5408" s="1">
        <v>2.8E-3</v>
      </c>
      <c r="J5408" s="1">
        <v>6.9999999999999999E-4</v>
      </c>
      <c r="K5408" s="1">
        <v>0.5181</v>
      </c>
      <c r="L5408" s="1">
        <v>0.19059999999999999</v>
      </c>
      <c r="M5408" s="1">
        <v>7.4099999999999999E-2</v>
      </c>
      <c r="N5408" s="1">
        <v>1E-4</v>
      </c>
      <c r="O5408" s="1">
        <v>2.0000000000000001E-4</v>
      </c>
      <c r="P5408" s="1">
        <v>0</v>
      </c>
      <c r="Q5408" s="1">
        <v>0.1986</v>
      </c>
      <c r="R5408" s="1">
        <v>8.3999999999999995E-3</v>
      </c>
      <c r="S5408" s="1">
        <v>4.0000000000000002E-4</v>
      </c>
    </row>
    <row r="5410" spans="1:19" ht="43.5">
      <c r="A5410" s="25" t="s">
        <v>1543</v>
      </c>
    </row>
    <row r="5411" spans="1:19">
      <c r="A5411" s="25" t="s">
        <v>182</v>
      </c>
      <c r="B5411" t="s">
        <v>219</v>
      </c>
      <c r="C5411" t="s">
        <v>181</v>
      </c>
      <c r="D5411" t="s">
        <v>188</v>
      </c>
      <c r="E5411" t="s">
        <v>1530</v>
      </c>
      <c r="F5411" t="s">
        <v>1531</v>
      </c>
      <c r="G5411" t="s">
        <v>241</v>
      </c>
      <c r="H5411" t="s">
        <v>1532</v>
      </c>
      <c r="I5411" t="s">
        <v>1533</v>
      </c>
      <c r="J5411" t="s">
        <v>1534</v>
      </c>
      <c r="K5411" t="s">
        <v>1535</v>
      </c>
      <c r="L5411" t="s">
        <v>1536</v>
      </c>
      <c r="M5411" t="s">
        <v>1537</v>
      </c>
      <c r="N5411" t="s">
        <v>1538</v>
      </c>
      <c r="O5411" t="s">
        <v>324</v>
      </c>
      <c r="P5411" t="s">
        <v>269</v>
      </c>
      <c r="Q5411" t="s">
        <v>1539</v>
      </c>
      <c r="R5411" t="s">
        <v>1540</v>
      </c>
      <c r="S5411" t="s">
        <v>243</v>
      </c>
    </row>
    <row r="5412" spans="1:19">
      <c r="A5412" s="25" t="s">
        <v>201</v>
      </c>
      <c r="B5412">
        <v>767</v>
      </c>
      <c r="C5412" t="s">
        <v>189</v>
      </c>
      <c r="D5412">
        <v>10434</v>
      </c>
      <c r="E5412" s="1">
        <v>1E-3</v>
      </c>
      <c r="G5412" s="1">
        <v>3.3E-3</v>
      </c>
      <c r="J5412" s="1">
        <v>2E-3</v>
      </c>
      <c r="K5412" s="1">
        <v>0.73509999999999998</v>
      </c>
      <c r="L5412" s="1">
        <v>9.5399999999999999E-2</v>
      </c>
      <c r="M5412" s="1">
        <v>2.98E-2</v>
      </c>
      <c r="Q5412" s="1">
        <v>0.1197</v>
      </c>
      <c r="R5412" s="1">
        <v>1.38E-2</v>
      </c>
    </row>
    <row r="5413" spans="1:19">
      <c r="A5413" s="25" t="s">
        <v>202</v>
      </c>
      <c r="B5413">
        <v>110</v>
      </c>
      <c r="C5413" t="s">
        <v>189</v>
      </c>
      <c r="D5413">
        <v>10434</v>
      </c>
      <c r="F5413" s="1">
        <v>6.7000000000000002E-3</v>
      </c>
      <c r="G5413" s="1">
        <v>2.5000000000000001E-3</v>
      </c>
      <c r="H5413" s="1">
        <v>4.1000000000000003E-3</v>
      </c>
      <c r="I5413" s="1">
        <v>3.5000000000000001E-3</v>
      </c>
      <c r="K5413" s="1">
        <v>0.5756</v>
      </c>
      <c r="L5413" s="1">
        <v>0.20549999999999999</v>
      </c>
      <c r="M5413" s="1">
        <v>5.4100000000000002E-2</v>
      </c>
      <c r="Q5413" s="1">
        <v>0.1351</v>
      </c>
      <c r="R5413" s="1">
        <v>1.29E-2</v>
      </c>
    </row>
    <row r="5414" spans="1:19">
      <c r="A5414" s="25" t="s">
        <v>203</v>
      </c>
      <c r="B5414">
        <v>8042</v>
      </c>
      <c r="C5414" t="s">
        <v>189</v>
      </c>
      <c r="D5414">
        <v>10434</v>
      </c>
      <c r="E5414" s="1">
        <v>2.0999999999999999E-3</v>
      </c>
      <c r="F5414" s="1">
        <v>2.5999999999999999E-3</v>
      </c>
      <c r="G5414" s="1">
        <v>0</v>
      </c>
      <c r="H5414" s="1">
        <v>1.6999999999999999E-3</v>
      </c>
      <c r="I5414" s="1">
        <v>3.3E-3</v>
      </c>
      <c r="J5414" s="1">
        <v>5.9999999999999995E-4</v>
      </c>
      <c r="K5414" s="1">
        <v>0.45789999999999997</v>
      </c>
      <c r="L5414" s="1">
        <v>0.20810000000000001</v>
      </c>
      <c r="M5414" s="1">
        <v>8.3099999999999993E-2</v>
      </c>
      <c r="N5414" s="1">
        <v>1E-4</v>
      </c>
      <c r="O5414" s="1">
        <v>2.0000000000000001E-4</v>
      </c>
      <c r="P5414" s="1">
        <v>0</v>
      </c>
      <c r="Q5414" s="1">
        <v>0.23130000000000001</v>
      </c>
      <c r="R5414" s="1">
        <v>8.6E-3</v>
      </c>
      <c r="S5414" s="1">
        <v>2.9999999999999997E-4</v>
      </c>
    </row>
    <row r="5415" spans="1:19">
      <c r="A5415" s="25" t="s">
        <v>204</v>
      </c>
      <c r="B5415">
        <v>31</v>
      </c>
      <c r="C5415" t="s">
        <v>189</v>
      </c>
      <c r="D5415">
        <v>10434</v>
      </c>
      <c r="G5415" s="1">
        <v>3.5099999999999999E-2</v>
      </c>
      <c r="K5415" s="1">
        <v>0.48899999999999999</v>
      </c>
      <c r="L5415" s="1">
        <v>0.28770000000000001</v>
      </c>
      <c r="Q5415" s="1">
        <v>0.14030000000000001</v>
      </c>
      <c r="S5415" s="1">
        <v>4.8000000000000001E-2</v>
      </c>
    </row>
    <row r="5416" spans="1:19">
      <c r="A5416" s="25" t="s">
        <v>205</v>
      </c>
      <c r="B5416">
        <v>1484</v>
      </c>
      <c r="C5416" t="s">
        <v>189</v>
      </c>
      <c r="D5416">
        <v>10434</v>
      </c>
      <c r="E5416" s="1">
        <v>1E-4</v>
      </c>
      <c r="F5416" s="1">
        <v>1.4E-3</v>
      </c>
      <c r="G5416" s="1">
        <v>1.4E-3</v>
      </c>
      <c r="H5416" s="1">
        <v>4.0000000000000002E-4</v>
      </c>
      <c r="I5416" s="1">
        <v>1.8E-3</v>
      </c>
      <c r="J5416" s="1">
        <v>1.1999999999999999E-3</v>
      </c>
      <c r="K5416" s="1">
        <v>0.75</v>
      </c>
      <c r="L5416" s="1">
        <v>0.13689999999999999</v>
      </c>
      <c r="M5416" s="1">
        <v>4.7100000000000003E-2</v>
      </c>
      <c r="N5416" s="1">
        <v>2.9999999999999997E-4</v>
      </c>
      <c r="Q5416" s="1">
        <v>5.4899999999999997E-2</v>
      </c>
      <c r="R5416" s="1">
        <v>4.1000000000000003E-3</v>
      </c>
      <c r="S5416" s="1">
        <v>4.0000000000000002E-4</v>
      </c>
    </row>
    <row r="5417" spans="1:19">
      <c r="A5417" s="25" t="s">
        <v>192</v>
      </c>
      <c r="B5417">
        <v>10434</v>
      </c>
      <c r="C5417" t="s">
        <v>192</v>
      </c>
      <c r="D5417">
        <v>10434</v>
      </c>
      <c r="E5417" s="1">
        <v>1.8E-3</v>
      </c>
      <c r="F5417" s="1">
        <v>2.2000000000000001E-3</v>
      </c>
      <c r="G5417" s="1">
        <v>5.0000000000000001E-4</v>
      </c>
      <c r="H5417" s="1">
        <v>1.4E-3</v>
      </c>
      <c r="I5417" s="1">
        <v>2.8E-3</v>
      </c>
      <c r="J5417" s="1">
        <v>6.9999999999999999E-4</v>
      </c>
      <c r="K5417" s="1">
        <v>0.5181</v>
      </c>
      <c r="L5417" s="1">
        <v>0.19059999999999999</v>
      </c>
      <c r="M5417" s="1">
        <v>7.4099999999999999E-2</v>
      </c>
      <c r="N5417" s="1">
        <v>1E-4</v>
      </c>
      <c r="O5417" s="1">
        <v>2.0000000000000001E-4</v>
      </c>
      <c r="P5417" s="1">
        <v>0</v>
      </c>
      <c r="Q5417" s="1">
        <v>0.1986</v>
      </c>
      <c r="R5417" s="1">
        <v>8.3999999999999995E-3</v>
      </c>
      <c r="S5417" s="1">
        <v>4.0000000000000002E-4</v>
      </c>
    </row>
    <row r="5419" spans="1:19" ht="43.5">
      <c r="A5419" s="25" t="s">
        <v>1544</v>
      </c>
    </row>
    <row r="5420" spans="1:19">
      <c r="A5420" s="25" t="s">
        <v>182</v>
      </c>
      <c r="B5420" t="s">
        <v>219</v>
      </c>
      <c r="C5420" t="s">
        <v>181</v>
      </c>
      <c r="D5420" t="s">
        <v>188</v>
      </c>
      <c r="E5420" t="s">
        <v>1530</v>
      </c>
      <c r="F5420" t="s">
        <v>1531</v>
      </c>
      <c r="G5420" t="s">
        <v>241</v>
      </c>
      <c r="H5420" t="s">
        <v>1532</v>
      </c>
      <c r="I5420" t="s">
        <v>1533</v>
      </c>
      <c r="J5420" t="s">
        <v>1534</v>
      </c>
      <c r="K5420" t="s">
        <v>1535</v>
      </c>
      <c r="L5420" t="s">
        <v>1536</v>
      </c>
      <c r="M5420" t="s">
        <v>1537</v>
      </c>
      <c r="N5420" t="s">
        <v>1538</v>
      </c>
      <c r="O5420" t="s">
        <v>324</v>
      </c>
      <c r="P5420" t="s">
        <v>269</v>
      </c>
      <c r="Q5420" t="s">
        <v>1539</v>
      </c>
      <c r="R5420" t="s">
        <v>1540</v>
      </c>
      <c r="S5420" t="s">
        <v>243</v>
      </c>
    </row>
    <row r="5421" spans="1:19">
      <c r="A5421" s="25" t="s">
        <v>207</v>
      </c>
      <c r="B5421">
        <v>7254</v>
      </c>
      <c r="C5421" t="s">
        <v>189</v>
      </c>
      <c r="D5421">
        <v>10434</v>
      </c>
      <c r="E5421" s="1">
        <v>1.4E-3</v>
      </c>
      <c r="F5421" s="1">
        <v>1.6000000000000001E-3</v>
      </c>
      <c r="G5421" s="1">
        <v>5.0000000000000001E-4</v>
      </c>
      <c r="H5421" s="1">
        <v>1E-3</v>
      </c>
      <c r="I5421" s="1">
        <v>3.0000000000000001E-3</v>
      </c>
      <c r="J5421" s="1">
        <v>5.9999999999999995E-4</v>
      </c>
      <c r="K5421" s="1">
        <v>0.5383</v>
      </c>
      <c r="L5421" s="1">
        <v>0.19409999999999999</v>
      </c>
      <c r="M5421" s="1">
        <v>7.2900000000000006E-2</v>
      </c>
      <c r="N5421" s="1">
        <v>1E-4</v>
      </c>
      <c r="O5421" s="1">
        <v>2.0000000000000001E-4</v>
      </c>
      <c r="Q5421" s="1">
        <v>0.18</v>
      </c>
      <c r="R5421" s="1">
        <v>5.8999999999999999E-3</v>
      </c>
      <c r="S5421" s="1">
        <v>4.0000000000000002E-4</v>
      </c>
    </row>
    <row r="5422" spans="1:19">
      <c r="A5422" s="25" t="s">
        <v>208</v>
      </c>
      <c r="B5422">
        <v>2245</v>
      </c>
      <c r="C5422" t="s">
        <v>189</v>
      </c>
      <c r="D5422">
        <v>10434</v>
      </c>
      <c r="E5422" s="1">
        <v>3.2000000000000002E-3</v>
      </c>
      <c r="F5422" s="1">
        <v>4.1000000000000003E-3</v>
      </c>
      <c r="G5422" s="1">
        <v>0</v>
      </c>
      <c r="H5422" s="1">
        <v>3.0999999999999999E-3</v>
      </c>
      <c r="I5422" s="1">
        <v>1.9E-3</v>
      </c>
      <c r="J5422" s="1">
        <v>8.0000000000000004E-4</v>
      </c>
      <c r="K5422" s="1">
        <v>0.53100000000000003</v>
      </c>
      <c r="L5422" s="1">
        <v>0.1605</v>
      </c>
      <c r="M5422" s="1">
        <v>3.8699999999999998E-2</v>
      </c>
      <c r="N5422" s="1">
        <v>2.0000000000000001E-4</v>
      </c>
      <c r="O5422" s="1">
        <v>2.0000000000000001E-4</v>
      </c>
      <c r="P5422" s="1">
        <v>1E-4</v>
      </c>
      <c r="Q5422" s="1">
        <v>0.24160000000000001</v>
      </c>
      <c r="R5422" s="1">
        <v>1.4200000000000001E-2</v>
      </c>
      <c r="S5422" s="1">
        <v>4.0000000000000002E-4</v>
      </c>
    </row>
    <row r="5423" spans="1:19">
      <c r="A5423" s="25" t="s">
        <v>209</v>
      </c>
      <c r="B5423">
        <v>935</v>
      </c>
      <c r="C5423" t="s">
        <v>189</v>
      </c>
      <c r="D5423">
        <v>10434</v>
      </c>
      <c r="E5423" s="1">
        <v>1E-3</v>
      </c>
      <c r="F5423" s="1">
        <v>2.3E-3</v>
      </c>
      <c r="G5423" s="1">
        <v>1.6999999999999999E-3</v>
      </c>
      <c r="H5423" s="1">
        <v>2.0000000000000001E-4</v>
      </c>
      <c r="I5423" s="1">
        <v>3.5999999999999999E-3</v>
      </c>
      <c r="J5423" s="1">
        <v>2.2000000000000001E-3</v>
      </c>
      <c r="K5423" s="1">
        <v>0.30230000000000001</v>
      </c>
      <c r="L5423" s="1">
        <v>0.246</v>
      </c>
      <c r="M5423" s="1">
        <v>0.1862</v>
      </c>
      <c r="N5423" s="1">
        <v>2.9999999999999997E-4</v>
      </c>
      <c r="Q5423" s="1">
        <v>0.23980000000000001</v>
      </c>
      <c r="R5423" s="1">
        <v>1.4E-2</v>
      </c>
      <c r="S5423" s="1">
        <v>4.0000000000000002E-4</v>
      </c>
    </row>
    <row r="5424" spans="1:19">
      <c r="A5424" s="25" t="s">
        <v>192</v>
      </c>
      <c r="B5424">
        <v>10434</v>
      </c>
      <c r="C5424" t="s">
        <v>192</v>
      </c>
      <c r="D5424">
        <v>10434</v>
      </c>
      <c r="E5424" s="1">
        <v>1.8E-3</v>
      </c>
      <c r="F5424" s="1">
        <v>2.2000000000000001E-3</v>
      </c>
      <c r="G5424" s="1">
        <v>5.0000000000000001E-4</v>
      </c>
      <c r="H5424" s="1">
        <v>1.4E-3</v>
      </c>
      <c r="I5424" s="1">
        <v>2.8E-3</v>
      </c>
      <c r="J5424" s="1">
        <v>6.9999999999999999E-4</v>
      </c>
      <c r="K5424" s="1">
        <v>0.5181</v>
      </c>
      <c r="L5424" s="1">
        <v>0.19059999999999999</v>
      </c>
      <c r="M5424" s="1">
        <v>7.4099999999999999E-2</v>
      </c>
      <c r="N5424" s="1">
        <v>1E-4</v>
      </c>
      <c r="O5424" s="1">
        <v>2.0000000000000001E-4</v>
      </c>
      <c r="P5424" s="1">
        <v>0</v>
      </c>
      <c r="Q5424" s="1">
        <v>0.1986</v>
      </c>
      <c r="R5424" s="1">
        <v>8.3999999999999995E-3</v>
      </c>
      <c r="S5424" s="1">
        <v>4.0000000000000002E-4</v>
      </c>
    </row>
    <row r="5426" spans="1:19" ht="43.5">
      <c r="A5426" s="25" t="s">
        <v>1545</v>
      </c>
    </row>
    <row r="5427" spans="1:19">
      <c r="A5427" s="25" t="s">
        <v>182</v>
      </c>
      <c r="B5427" t="s">
        <v>219</v>
      </c>
      <c r="C5427" t="s">
        <v>181</v>
      </c>
      <c r="D5427" t="s">
        <v>188</v>
      </c>
      <c r="E5427" t="s">
        <v>1530</v>
      </c>
      <c r="F5427" t="s">
        <v>1531</v>
      </c>
      <c r="G5427" t="s">
        <v>241</v>
      </c>
      <c r="H5427" t="s">
        <v>1532</v>
      </c>
      <c r="I5427" t="s">
        <v>1533</v>
      </c>
      <c r="J5427" t="s">
        <v>1534</v>
      </c>
      <c r="K5427" t="s">
        <v>1535</v>
      </c>
      <c r="L5427" t="s">
        <v>1536</v>
      </c>
      <c r="M5427" t="s">
        <v>1537</v>
      </c>
      <c r="N5427" t="s">
        <v>1538</v>
      </c>
      <c r="O5427" t="s">
        <v>324</v>
      </c>
      <c r="P5427" t="s">
        <v>269</v>
      </c>
      <c r="Q5427" t="s">
        <v>1539</v>
      </c>
      <c r="R5427" t="s">
        <v>1540</v>
      </c>
      <c r="S5427" t="s">
        <v>243</v>
      </c>
    </row>
    <row r="5428" spans="1:19">
      <c r="A5428" s="25" t="s">
        <v>211</v>
      </c>
      <c r="B5428">
        <v>4972</v>
      </c>
      <c r="C5428" t="s">
        <v>189</v>
      </c>
      <c r="D5428">
        <v>10434</v>
      </c>
      <c r="E5428" s="1">
        <v>1.1000000000000001E-3</v>
      </c>
      <c r="F5428" s="1">
        <v>1.9E-3</v>
      </c>
      <c r="G5428" s="1">
        <v>8.0000000000000004E-4</v>
      </c>
      <c r="H5428" s="1">
        <v>1.2999999999999999E-3</v>
      </c>
      <c r="I5428" s="1">
        <v>3.0000000000000001E-3</v>
      </c>
      <c r="J5428" s="1">
        <v>4.0000000000000002E-4</v>
      </c>
      <c r="K5428" s="1">
        <v>0.51729999999999998</v>
      </c>
      <c r="L5428" s="1">
        <v>0.20530000000000001</v>
      </c>
      <c r="M5428" s="1">
        <v>8.4699999999999998E-2</v>
      </c>
      <c r="N5428" s="1">
        <v>2.0000000000000001E-4</v>
      </c>
      <c r="Q5428" s="1">
        <v>0.17810000000000001</v>
      </c>
      <c r="R5428" s="1">
        <v>5.4999999999999997E-3</v>
      </c>
      <c r="S5428" s="1">
        <v>4.0000000000000002E-4</v>
      </c>
    </row>
    <row r="5429" spans="1:19">
      <c r="A5429" s="25" t="s">
        <v>212</v>
      </c>
      <c r="B5429">
        <v>3376</v>
      </c>
      <c r="C5429" t="s">
        <v>189</v>
      </c>
      <c r="D5429">
        <v>10434</v>
      </c>
      <c r="E5429" s="1">
        <v>2.3999999999999998E-3</v>
      </c>
      <c r="F5429" s="1">
        <v>3.5999999999999999E-3</v>
      </c>
      <c r="G5429" s="1">
        <v>2.0000000000000001E-4</v>
      </c>
      <c r="H5429" s="1">
        <v>1.2999999999999999E-3</v>
      </c>
      <c r="I5429" s="1">
        <v>3.3999999999999998E-3</v>
      </c>
      <c r="J5429" s="1">
        <v>2.0000000000000001E-4</v>
      </c>
      <c r="K5429" s="1">
        <v>0.51829999999999998</v>
      </c>
      <c r="L5429" s="1">
        <v>0.1663</v>
      </c>
      <c r="M5429" s="1">
        <v>5.6399999999999999E-2</v>
      </c>
      <c r="N5429" s="1">
        <v>1E-4</v>
      </c>
      <c r="O5429" s="1">
        <v>4.0000000000000002E-4</v>
      </c>
      <c r="P5429" s="1">
        <v>0</v>
      </c>
      <c r="Q5429" s="1">
        <v>0.2356</v>
      </c>
      <c r="R5429" s="1">
        <v>1.15E-2</v>
      </c>
      <c r="S5429" s="1">
        <v>1E-4</v>
      </c>
    </row>
    <row r="5430" spans="1:19">
      <c r="A5430" s="25" t="s">
        <v>213</v>
      </c>
      <c r="B5430">
        <v>2086</v>
      </c>
      <c r="C5430" t="s">
        <v>189</v>
      </c>
      <c r="D5430">
        <v>10434</v>
      </c>
      <c r="E5430" s="1">
        <v>2.2000000000000001E-3</v>
      </c>
      <c r="F5430" s="1">
        <v>1E-3</v>
      </c>
      <c r="G5430" s="1">
        <v>4.0000000000000002E-4</v>
      </c>
      <c r="H5430" s="1">
        <v>1.9E-3</v>
      </c>
      <c r="I5430" s="1">
        <v>1.6999999999999999E-3</v>
      </c>
      <c r="J5430" s="1">
        <v>2.3E-3</v>
      </c>
      <c r="K5430" s="1">
        <v>0.51949999999999996</v>
      </c>
      <c r="L5430" s="1">
        <v>0.19359999999999999</v>
      </c>
      <c r="M5430" s="1">
        <v>7.6399999999999996E-2</v>
      </c>
      <c r="O5430" s="1">
        <v>2.0000000000000001E-4</v>
      </c>
      <c r="Q5430" s="1">
        <v>0.18990000000000001</v>
      </c>
      <c r="R5430" s="1">
        <v>1.01E-2</v>
      </c>
      <c r="S5430" s="1">
        <v>6.9999999999999999E-4</v>
      </c>
    </row>
    <row r="5431" spans="1:19">
      <c r="A5431" s="25" t="s">
        <v>192</v>
      </c>
      <c r="B5431">
        <v>10434</v>
      </c>
      <c r="C5431" t="s">
        <v>192</v>
      </c>
      <c r="D5431">
        <v>10434</v>
      </c>
      <c r="E5431" s="1">
        <v>1.8E-3</v>
      </c>
      <c r="F5431" s="1">
        <v>2.2000000000000001E-3</v>
      </c>
      <c r="G5431" s="1">
        <v>5.0000000000000001E-4</v>
      </c>
      <c r="H5431" s="1">
        <v>1.4E-3</v>
      </c>
      <c r="I5431" s="1">
        <v>2.8E-3</v>
      </c>
      <c r="J5431" s="1">
        <v>6.9999999999999999E-4</v>
      </c>
      <c r="K5431" s="1">
        <v>0.5181</v>
      </c>
      <c r="L5431" s="1">
        <v>0.19059999999999999</v>
      </c>
      <c r="M5431" s="1">
        <v>7.4099999999999999E-2</v>
      </c>
      <c r="N5431" s="1">
        <v>1E-4</v>
      </c>
      <c r="O5431" s="1">
        <v>2.0000000000000001E-4</v>
      </c>
      <c r="P5431" s="1">
        <v>0</v>
      </c>
      <c r="Q5431" s="1">
        <v>0.1986</v>
      </c>
      <c r="R5431" s="1">
        <v>8.3999999999999995E-3</v>
      </c>
      <c r="S5431" s="1">
        <v>4.0000000000000002E-4</v>
      </c>
    </row>
    <row r="5433" spans="1:19" ht="43.5">
      <c r="A5433" s="25" t="s">
        <v>1546</v>
      </c>
    </row>
    <row r="5434" spans="1:19">
      <c r="A5434" s="25" t="s">
        <v>182</v>
      </c>
      <c r="B5434" t="s">
        <v>219</v>
      </c>
      <c r="C5434" t="s">
        <v>181</v>
      </c>
      <c r="D5434" t="s">
        <v>188</v>
      </c>
      <c r="E5434" t="s">
        <v>241</v>
      </c>
      <c r="F5434" t="s">
        <v>220</v>
      </c>
      <c r="G5434" t="s">
        <v>243</v>
      </c>
      <c r="H5434" t="s">
        <v>221</v>
      </c>
    </row>
    <row r="5435" spans="1:19">
      <c r="A5435" s="25" t="s">
        <v>190</v>
      </c>
      <c r="B5435">
        <v>4892</v>
      </c>
      <c r="C5435" t="s">
        <v>189</v>
      </c>
      <c r="D5435">
        <v>10411</v>
      </c>
      <c r="F5435" s="1">
        <v>0.97929999999999995</v>
      </c>
      <c r="G5435" s="1">
        <v>2.9999999999999997E-4</v>
      </c>
      <c r="H5435" s="1">
        <v>2.0400000000000001E-2</v>
      </c>
    </row>
    <row r="5436" spans="1:19">
      <c r="A5436" s="25" t="s">
        <v>191</v>
      </c>
      <c r="B5436">
        <v>5462</v>
      </c>
      <c r="C5436" t="s">
        <v>189</v>
      </c>
      <c r="D5436">
        <v>10411</v>
      </c>
      <c r="E5436" s="1">
        <v>5.9999999999999995E-4</v>
      </c>
      <c r="F5436" s="1">
        <v>0.94499999999999995</v>
      </c>
      <c r="H5436" s="1">
        <v>5.4399999999999997E-2</v>
      </c>
    </row>
    <row r="5437" spans="1:19">
      <c r="A5437" s="25" t="s">
        <v>192</v>
      </c>
      <c r="B5437">
        <v>10411</v>
      </c>
      <c r="C5437" t="s">
        <v>192</v>
      </c>
      <c r="D5437">
        <v>10411</v>
      </c>
      <c r="E5437" s="1">
        <v>4.0000000000000002E-4</v>
      </c>
      <c r="F5437" s="1">
        <v>0.95809999999999995</v>
      </c>
      <c r="G5437" s="1">
        <v>1E-4</v>
      </c>
      <c r="H5437" s="1">
        <v>4.1399999999999999E-2</v>
      </c>
    </row>
    <row r="5439" spans="1:19" ht="43.5">
      <c r="A5439" s="25" t="s">
        <v>1547</v>
      </c>
    </row>
    <row r="5440" spans="1:19">
      <c r="A5440" s="25" t="s">
        <v>182</v>
      </c>
      <c r="B5440" t="s">
        <v>219</v>
      </c>
      <c r="C5440" t="s">
        <v>181</v>
      </c>
      <c r="D5440" t="s">
        <v>188</v>
      </c>
      <c r="E5440" t="s">
        <v>241</v>
      </c>
      <c r="F5440" t="s">
        <v>220</v>
      </c>
      <c r="G5440" t="s">
        <v>243</v>
      </c>
      <c r="H5440" t="s">
        <v>221</v>
      </c>
    </row>
    <row r="5441" spans="1:8" ht="29.1">
      <c r="A5441" s="25" t="s">
        <v>194</v>
      </c>
      <c r="B5441">
        <v>5946</v>
      </c>
      <c r="C5441" t="s">
        <v>189</v>
      </c>
      <c r="D5441">
        <v>10411</v>
      </c>
      <c r="E5441" s="1">
        <v>0</v>
      </c>
      <c r="F5441" s="1">
        <v>0.95620000000000005</v>
      </c>
      <c r="G5441" s="1">
        <v>2.0000000000000001E-4</v>
      </c>
      <c r="H5441" s="1">
        <v>4.36E-2</v>
      </c>
    </row>
    <row r="5442" spans="1:8" ht="29.1">
      <c r="A5442" s="25" t="s">
        <v>195</v>
      </c>
      <c r="B5442">
        <v>2698</v>
      </c>
      <c r="C5442" t="s">
        <v>189</v>
      </c>
      <c r="D5442">
        <v>10411</v>
      </c>
      <c r="F5442" s="1">
        <v>0.9627</v>
      </c>
      <c r="H5442" s="1">
        <v>3.73E-2</v>
      </c>
    </row>
    <row r="5443" spans="1:8" ht="29.1">
      <c r="A5443" s="25" t="s">
        <v>196</v>
      </c>
      <c r="B5443">
        <v>1710</v>
      </c>
      <c r="C5443" t="s">
        <v>189</v>
      </c>
      <c r="D5443">
        <v>10411</v>
      </c>
      <c r="E5443" s="1">
        <v>3.7000000000000002E-3</v>
      </c>
      <c r="F5443" s="1">
        <v>0.96279999999999999</v>
      </c>
      <c r="G5443" s="1">
        <v>2.0000000000000001E-4</v>
      </c>
      <c r="H5443" s="1">
        <v>3.3399999999999999E-2</v>
      </c>
    </row>
    <row r="5444" spans="1:8">
      <c r="A5444" s="25" t="s">
        <v>192</v>
      </c>
      <c r="B5444">
        <v>10411</v>
      </c>
      <c r="C5444" t="s">
        <v>192</v>
      </c>
      <c r="D5444">
        <v>10411</v>
      </c>
      <c r="E5444" s="1">
        <v>4.0000000000000002E-4</v>
      </c>
      <c r="F5444" s="1">
        <v>0.95809999999999995</v>
      </c>
      <c r="G5444" s="1">
        <v>1E-4</v>
      </c>
      <c r="H5444" s="1">
        <v>4.1399999999999999E-2</v>
      </c>
    </row>
    <row r="5446" spans="1:8" ht="43.5">
      <c r="A5446" s="25" t="s">
        <v>1548</v>
      </c>
    </row>
    <row r="5447" spans="1:8">
      <c r="A5447" s="25" t="s">
        <v>182</v>
      </c>
      <c r="B5447" t="s">
        <v>219</v>
      </c>
      <c r="C5447" t="s">
        <v>181</v>
      </c>
      <c r="D5447" t="s">
        <v>188</v>
      </c>
      <c r="E5447" t="s">
        <v>241</v>
      </c>
      <c r="F5447" t="s">
        <v>220</v>
      </c>
      <c r="G5447" t="s">
        <v>243</v>
      </c>
      <c r="H5447" t="s">
        <v>221</v>
      </c>
    </row>
    <row r="5448" spans="1:8">
      <c r="A5448" s="25" t="s">
        <v>198</v>
      </c>
      <c r="B5448">
        <v>2258</v>
      </c>
      <c r="C5448" t="s">
        <v>189</v>
      </c>
      <c r="D5448">
        <v>10411</v>
      </c>
      <c r="E5448" s="1">
        <v>0</v>
      </c>
      <c r="F5448" s="1">
        <v>0.96809999999999996</v>
      </c>
      <c r="G5448" s="1">
        <v>1E-4</v>
      </c>
      <c r="H5448" s="1">
        <v>3.1800000000000002E-2</v>
      </c>
    </row>
    <row r="5449" spans="1:8">
      <c r="A5449" s="25" t="s">
        <v>199</v>
      </c>
      <c r="B5449">
        <v>8153</v>
      </c>
      <c r="C5449" t="s">
        <v>189</v>
      </c>
      <c r="D5449">
        <v>10411</v>
      </c>
      <c r="E5449" s="1">
        <v>5.0000000000000001E-4</v>
      </c>
      <c r="F5449" s="1">
        <v>0.95589999999999997</v>
      </c>
      <c r="G5449" s="1">
        <v>1E-4</v>
      </c>
      <c r="H5449" s="1">
        <v>4.3499999999999997E-2</v>
      </c>
    </row>
    <row r="5450" spans="1:8">
      <c r="A5450" s="25" t="s">
        <v>192</v>
      </c>
      <c r="B5450">
        <v>10411</v>
      </c>
      <c r="C5450" t="s">
        <v>192</v>
      </c>
      <c r="D5450">
        <v>10411</v>
      </c>
      <c r="E5450" s="1">
        <v>4.0000000000000002E-4</v>
      </c>
      <c r="F5450" s="1">
        <v>0.95809999999999995</v>
      </c>
      <c r="G5450" s="1">
        <v>1E-4</v>
      </c>
      <c r="H5450" s="1">
        <v>4.1399999999999999E-2</v>
      </c>
    </row>
    <row r="5452" spans="1:8" ht="43.5">
      <c r="A5452" s="25" t="s">
        <v>1549</v>
      </c>
    </row>
    <row r="5453" spans="1:8">
      <c r="A5453" s="25" t="s">
        <v>182</v>
      </c>
      <c r="B5453" t="s">
        <v>219</v>
      </c>
      <c r="C5453" t="s">
        <v>181</v>
      </c>
      <c r="D5453" t="s">
        <v>188</v>
      </c>
      <c r="E5453" t="s">
        <v>241</v>
      </c>
      <c r="F5453" t="s">
        <v>220</v>
      </c>
      <c r="G5453" t="s">
        <v>243</v>
      </c>
      <c r="H5453" t="s">
        <v>221</v>
      </c>
    </row>
    <row r="5454" spans="1:8">
      <c r="A5454" s="25" t="s">
        <v>201</v>
      </c>
      <c r="B5454">
        <v>763</v>
      </c>
      <c r="C5454" t="s">
        <v>189</v>
      </c>
      <c r="D5454">
        <v>10411</v>
      </c>
      <c r="F5454" s="1">
        <v>0.87060000000000004</v>
      </c>
      <c r="H5454" s="1">
        <v>0.12939999999999999</v>
      </c>
    </row>
    <row r="5455" spans="1:8">
      <c r="A5455" s="25" t="s">
        <v>202</v>
      </c>
      <c r="B5455">
        <v>109</v>
      </c>
      <c r="C5455" t="s">
        <v>189</v>
      </c>
      <c r="D5455">
        <v>10411</v>
      </c>
      <c r="F5455" s="1">
        <v>0.96609999999999996</v>
      </c>
      <c r="G5455" s="1">
        <v>2.5999999999999999E-3</v>
      </c>
      <c r="H5455" s="1">
        <v>3.1300000000000001E-2</v>
      </c>
    </row>
    <row r="5456" spans="1:8">
      <c r="A5456" s="25" t="s">
        <v>203</v>
      </c>
      <c r="B5456">
        <v>8033</v>
      </c>
      <c r="C5456" t="s">
        <v>189</v>
      </c>
      <c r="D5456">
        <v>10411</v>
      </c>
      <c r="E5456" s="1">
        <v>1E-4</v>
      </c>
      <c r="F5456" s="1">
        <v>0.96830000000000005</v>
      </c>
      <c r="G5456" s="1">
        <v>1E-4</v>
      </c>
      <c r="H5456" s="1">
        <v>3.15E-2</v>
      </c>
    </row>
    <row r="5457" spans="1:8">
      <c r="A5457" s="25" t="s">
        <v>204</v>
      </c>
      <c r="B5457">
        <v>28</v>
      </c>
      <c r="C5457" t="s">
        <v>189</v>
      </c>
      <c r="D5457">
        <v>10411</v>
      </c>
      <c r="F5457" s="1">
        <v>0.98209999999999997</v>
      </c>
      <c r="H5457" s="1">
        <v>1.7899999999999999E-2</v>
      </c>
    </row>
    <row r="5458" spans="1:8">
      <c r="A5458" s="25" t="s">
        <v>205</v>
      </c>
      <c r="B5458">
        <v>1478</v>
      </c>
      <c r="C5458" t="s">
        <v>189</v>
      </c>
      <c r="D5458">
        <v>10411</v>
      </c>
      <c r="E5458" s="1">
        <v>2E-3</v>
      </c>
      <c r="F5458" s="1">
        <v>0.94359999999999999</v>
      </c>
      <c r="H5458" s="1">
        <v>5.4399999999999997E-2</v>
      </c>
    </row>
    <row r="5459" spans="1:8">
      <c r="A5459" s="25" t="s">
        <v>192</v>
      </c>
      <c r="B5459">
        <v>10411</v>
      </c>
      <c r="C5459" t="s">
        <v>192</v>
      </c>
      <c r="D5459">
        <v>10411</v>
      </c>
      <c r="E5459" s="1">
        <v>4.0000000000000002E-4</v>
      </c>
      <c r="F5459" s="1">
        <v>0.95809999999999995</v>
      </c>
      <c r="G5459" s="1">
        <v>1E-4</v>
      </c>
      <c r="H5459" s="1">
        <v>4.1399999999999999E-2</v>
      </c>
    </row>
    <row r="5461" spans="1:8" ht="43.5">
      <c r="A5461" s="25" t="s">
        <v>1550</v>
      </c>
    </row>
    <row r="5462" spans="1:8">
      <c r="A5462" s="25" t="s">
        <v>182</v>
      </c>
      <c r="B5462" t="s">
        <v>219</v>
      </c>
      <c r="C5462" t="s">
        <v>181</v>
      </c>
      <c r="D5462" t="s">
        <v>188</v>
      </c>
      <c r="E5462" t="s">
        <v>241</v>
      </c>
      <c r="F5462" t="s">
        <v>220</v>
      </c>
      <c r="G5462" t="s">
        <v>243</v>
      </c>
      <c r="H5462" t="s">
        <v>221</v>
      </c>
    </row>
    <row r="5463" spans="1:8">
      <c r="A5463" s="25" t="s">
        <v>207</v>
      </c>
      <c r="B5463">
        <v>7238</v>
      </c>
      <c r="C5463" t="s">
        <v>189</v>
      </c>
      <c r="D5463">
        <v>10411</v>
      </c>
      <c r="E5463" s="1">
        <v>5.0000000000000001E-4</v>
      </c>
      <c r="F5463" s="1">
        <v>0.97550000000000003</v>
      </c>
      <c r="G5463" s="1">
        <v>2.0000000000000001E-4</v>
      </c>
      <c r="H5463" s="1">
        <v>2.3800000000000002E-2</v>
      </c>
    </row>
    <row r="5464" spans="1:8">
      <c r="A5464" s="25" t="s">
        <v>208</v>
      </c>
      <c r="B5464">
        <v>2242</v>
      </c>
      <c r="C5464" t="s">
        <v>189</v>
      </c>
      <c r="D5464">
        <v>10411</v>
      </c>
      <c r="E5464" s="1">
        <v>0</v>
      </c>
      <c r="F5464" s="1">
        <v>0.89490000000000003</v>
      </c>
      <c r="H5464" s="1">
        <v>0.1051</v>
      </c>
    </row>
    <row r="5465" spans="1:8">
      <c r="A5465" s="25" t="s">
        <v>209</v>
      </c>
      <c r="B5465">
        <v>931</v>
      </c>
      <c r="C5465" t="s">
        <v>189</v>
      </c>
      <c r="D5465">
        <v>10411</v>
      </c>
      <c r="F5465" s="1">
        <v>0.98470000000000002</v>
      </c>
      <c r="H5465" s="1">
        <v>1.5299999999999999E-2</v>
      </c>
    </row>
    <row r="5466" spans="1:8">
      <c r="A5466" s="25" t="s">
        <v>192</v>
      </c>
      <c r="B5466">
        <v>10411</v>
      </c>
      <c r="C5466" t="s">
        <v>192</v>
      </c>
      <c r="D5466">
        <v>10411</v>
      </c>
      <c r="E5466" s="1">
        <v>4.0000000000000002E-4</v>
      </c>
      <c r="F5466" s="1">
        <v>0.95809999999999995</v>
      </c>
      <c r="G5466" s="1">
        <v>1E-4</v>
      </c>
      <c r="H5466" s="1">
        <v>4.1399999999999999E-2</v>
      </c>
    </row>
    <row r="5468" spans="1:8" ht="43.5">
      <c r="A5468" s="25" t="s">
        <v>1551</v>
      </c>
    </row>
    <row r="5469" spans="1:8">
      <c r="A5469" s="25" t="s">
        <v>182</v>
      </c>
      <c r="B5469" t="s">
        <v>219</v>
      </c>
      <c r="C5469" t="s">
        <v>181</v>
      </c>
      <c r="D5469" t="s">
        <v>188</v>
      </c>
      <c r="E5469" t="s">
        <v>241</v>
      </c>
      <c r="F5469" t="s">
        <v>220</v>
      </c>
      <c r="G5469" t="s">
        <v>243</v>
      </c>
      <c r="H5469" t="s">
        <v>221</v>
      </c>
    </row>
    <row r="5470" spans="1:8">
      <c r="A5470" s="25" t="s">
        <v>211</v>
      </c>
      <c r="B5470">
        <v>4960</v>
      </c>
      <c r="C5470" t="s">
        <v>189</v>
      </c>
      <c r="D5470">
        <v>10411</v>
      </c>
      <c r="E5470" s="1">
        <v>8.0000000000000004E-4</v>
      </c>
      <c r="F5470" s="1">
        <v>0.98370000000000002</v>
      </c>
      <c r="G5470" s="1">
        <v>2.0000000000000001E-4</v>
      </c>
      <c r="H5470" s="1">
        <v>1.5299999999999999E-2</v>
      </c>
    </row>
    <row r="5471" spans="1:8">
      <c r="A5471" s="25" t="s">
        <v>212</v>
      </c>
      <c r="B5471">
        <v>3372</v>
      </c>
      <c r="C5471" t="s">
        <v>189</v>
      </c>
      <c r="D5471">
        <v>10411</v>
      </c>
      <c r="F5471" s="1">
        <v>0.93669999999999998</v>
      </c>
      <c r="G5471" s="1">
        <v>0</v>
      </c>
      <c r="H5471" s="1">
        <v>6.3200000000000006E-2</v>
      </c>
    </row>
    <row r="5472" spans="1:8">
      <c r="A5472" s="25" t="s">
        <v>213</v>
      </c>
      <c r="B5472">
        <v>2079</v>
      </c>
      <c r="C5472" t="s">
        <v>189</v>
      </c>
      <c r="D5472">
        <v>10411</v>
      </c>
      <c r="E5472" s="1">
        <v>0</v>
      </c>
      <c r="F5472" s="1">
        <v>0.9335</v>
      </c>
      <c r="H5472" s="1">
        <v>6.6500000000000004E-2</v>
      </c>
    </row>
    <row r="5473" spans="1:8">
      <c r="A5473" s="25" t="s">
        <v>192</v>
      </c>
      <c r="B5473">
        <v>10411</v>
      </c>
      <c r="C5473" t="s">
        <v>192</v>
      </c>
      <c r="D5473">
        <v>10411</v>
      </c>
      <c r="E5473" s="1">
        <v>4.0000000000000002E-4</v>
      </c>
      <c r="F5473" s="1">
        <v>0.95809999999999995</v>
      </c>
      <c r="G5473" s="1">
        <v>1E-4</v>
      </c>
      <c r="H5473" s="1">
        <v>4.1399999999999999E-2</v>
      </c>
    </row>
    <row r="5475" spans="1:8" ht="43.5">
      <c r="A5475" s="25" t="s">
        <v>1552</v>
      </c>
    </row>
    <row r="5476" spans="1:8">
      <c r="A5476" s="25" t="s">
        <v>181</v>
      </c>
      <c r="B5476" t="s">
        <v>182</v>
      </c>
      <c r="C5476" t="s">
        <v>183</v>
      </c>
      <c r="D5476" t="s">
        <v>184</v>
      </c>
      <c r="E5476" t="s">
        <v>185</v>
      </c>
      <c r="F5476" t="s">
        <v>186</v>
      </c>
      <c r="G5476" t="s">
        <v>187</v>
      </c>
      <c r="H5476" t="s">
        <v>188</v>
      </c>
    </row>
    <row r="5477" spans="1:8">
      <c r="A5477" s="25" t="s">
        <v>189</v>
      </c>
      <c r="B5477" t="s">
        <v>190</v>
      </c>
      <c r="C5477">
        <v>3.3610853267888738</v>
      </c>
      <c r="D5477">
        <v>2</v>
      </c>
      <c r="E5477">
        <v>1</v>
      </c>
      <c r="F5477">
        <v>23</v>
      </c>
      <c r="G5477">
        <v>90</v>
      </c>
      <c r="H5477">
        <v>273</v>
      </c>
    </row>
    <row r="5478" spans="1:8">
      <c r="A5478" s="25" t="s">
        <v>189</v>
      </c>
      <c r="B5478" t="s">
        <v>191</v>
      </c>
      <c r="C5478">
        <v>5.1617456580150849</v>
      </c>
      <c r="D5478">
        <v>3</v>
      </c>
      <c r="E5478">
        <v>1</v>
      </c>
      <c r="F5478">
        <v>39</v>
      </c>
      <c r="G5478">
        <v>182</v>
      </c>
      <c r="H5478">
        <v>273</v>
      </c>
    </row>
    <row r="5479" spans="1:8">
      <c r="A5479" s="25" t="s">
        <v>192</v>
      </c>
      <c r="B5479" t="s">
        <v>192</v>
      </c>
      <c r="C5479">
        <v>4.7823339987363598</v>
      </c>
      <c r="D5479">
        <v>3</v>
      </c>
      <c r="E5479">
        <v>1</v>
      </c>
      <c r="F5479">
        <v>39</v>
      </c>
      <c r="G5479">
        <v>273</v>
      </c>
      <c r="H5479">
        <v>273</v>
      </c>
    </row>
    <row r="5481" spans="1:8" ht="43.5">
      <c r="A5481" s="25" t="s">
        <v>1553</v>
      </c>
    </row>
    <row r="5482" spans="1:8">
      <c r="A5482" s="25" t="s">
        <v>181</v>
      </c>
      <c r="B5482" t="s">
        <v>182</v>
      </c>
      <c r="C5482" t="s">
        <v>183</v>
      </c>
      <c r="D5482" t="s">
        <v>184</v>
      </c>
      <c r="E5482" t="s">
        <v>185</v>
      </c>
      <c r="F5482" t="s">
        <v>186</v>
      </c>
      <c r="G5482" t="s">
        <v>187</v>
      </c>
      <c r="H5482" t="s">
        <v>188</v>
      </c>
    </row>
    <row r="5483" spans="1:8">
      <c r="A5483" s="25" t="s">
        <v>189</v>
      </c>
      <c r="B5483" t="s">
        <v>194</v>
      </c>
      <c r="C5483">
        <v>5.3163133086453911</v>
      </c>
      <c r="D5483">
        <v>3</v>
      </c>
      <c r="E5483">
        <v>1</v>
      </c>
      <c r="F5483">
        <v>39</v>
      </c>
      <c r="G5483">
        <v>174</v>
      </c>
      <c r="H5483">
        <v>273</v>
      </c>
    </row>
    <row r="5484" spans="1:8">
      <c r="A5484" s="25" t="s">
        <v>189</v>
      </c>
      <c r="B5484" t="s">
        <v>195</v>
      </c>
      <c r="C5484">
        <v>3.184932097488625</v>
      </c>
      <c r="D5484">
        <v>3</v>
      </c>
      <c r="E5484">
        <v>1</v>
      </c>
      <c r="F5484">
        <v>15</v>
      </c>
      <c r="G5484">
        <v>58</v>
      </c>
      <c r="H5484">
        <v>273</v>
      </c>
    </row>
    <row r="5485" spans="1:8">
      <c r="A5485" s="25" t="s">
        <v>189</v>
      </c>
      <c r="B5485" t="s">
        <v>196</v>
      </c>
      <c r="C5485">
        <v>3.0248821685549938</v>
      </c>
      <c r="D5485">
        <v>3</v>
      </c>
      <c r="E5485">
        <v>1</v>
      </c>
      <c r="F5485">
        <v>15</v>
      </c>
      <c r="G5485">
        <v>40</v>
      </c>
      <c r="H5485">
        <v>273</v>
      </c>
    </row>
    <row r="5486" spans="1:8">
      <c r="A5486" s="25" t="s">
        <v>192</v>
      </c>
      <c r="B5486" t="s">
        <v>192</v>
      </c>
      <c r="C5486">
        <v>4.7823339987363598</v>
      </c>
      <c r="D5486">
        <v>3</v>
      </c>
      <c r="E5486">
        <v>1</v>
      </c>
      <c r="F5486">
        <v>39</v>
      </c>
      <c r="G5486">
        <v>273</v>
      </c>
      <c r="H5486">
        <v>273</v>
      </c>
    </row>
    <row r="5488" spans="1:8" ht="43.5">
      <c r="A5488" s="25" t="s">
        <v>1554</v>
      </c>
    </row>
    <row r="5489" spans="1:8">
      <c r="A5489" s="25" t="s">
        <v>181</v>
      </c>
      <c r="B5489" t="s">
        <v>182</v>
      </c>
      <c r="C5489" t="s">
        <v>183</v>
      </c>
      <c r="D5489" t="s">
        <v>184</v>
      </c>
      <c r="E5489" t="s">
        <v>185</v>
      </c>
      <c r="F5489" t="s">
        <v>186</v>
      </c>
      <c r="G5489" t="s">
        <v>187</v>
      </c>
      <c r="H5489" t="s">
        <v>188</v>
      </c>
    </row>
    <row r="5490" spans="1:8">
      <c r="A5490" s="25" t="s">
        <v>189</v>
      </c>
      <c r="B5490" t="s">
        <v>198</v>
      </c>
      <c r="C5490">
        <v>3.7305904778748951</v>
      </c>
      <c r="D5490">
        <v>2</v>
      </c>
      <c r="E5490">
        <v>1</v>
      </c>
      <c r="F5490">
        <v>23</v>
      </c>
      <c r="G5490">
        <v>55</v>
      </c>
      <c r="H5490">
        <v>273</v>
      </c>
    </row>
    <row r="5491" spans="1:8">
      <c r="A5491" s="25" t="s">
        <v>189</v>
      </c>
      <c r="B5491" t="s">
        <v>199</v>
      </c>
      <c r="C5491">
        <v>4.9623820824032299</v>
      </c>
      <c r="D5491">
        <v>3</v>
      </c>
      <c r="E5491">
        <v>1</v>
      </c>
      <c r="F5491">
        <v>39</v>
      </c>
      <c r="G5491">
        <v>218</v>
      </c>
      <c r="H5491">
        <v>273</v>
      </c>
    </row>
    <row r="5492" spans="1:8">
      <c r="A5492" s="25" t="s">
        <v>192</v>
      </c>
      <c r="B5492" t="s">
        <v>192</v>
      </c>
      <c r="C5492">
        <v>4.7823339987363598</v>
      </c>
      <c r="D5492">
        <v>3</v>
      </c>
      <c r="E5492">
        <v>1</v>
      </c>
      <c r="F5492">
        <v>39</v>
      </c>
      <c r="G5492">
        <v>273</v>
      </c>
      <c r="H5492">
        <v>273</v>
      </c>
    </row>
    <row r="5494" spans="1:8" ht="43.5">
      <c r="A5494" s="25" t="s">
        <v>1555</v>
      </c>
    </row>
    <row r="5495" spans="1:8">
      <c r="A5495" s="25" t="s">
        <v>181</v>
      </c>
      <c r="B5495" t="s">
        <v>182</v>
      </c>
      <c r="C5495" t="s">
        <v>183</v>
      </c>
      <c r="D5495" t="s">
        <v>184</v>
      </c>
      <c r="E5495" t="s">
        <v>185</v>
      </c>
      <c r="F5495" t="s">
        <v>186</v>
      </c>
      <c r="G5495" t="s">
        <v>187</v>
      </c>
      <c r="H5495" t="s">
        <v>188</v>
      </c>
    </row>
    <row r="5496" spans="1:8">
      <c r="A5496" s="25" t="s">
        <v>189</v>
      </c>
      <c r="B5496" t="s">
        <v>201</v>
      </c>
      <c r="C5496">
        <v>7.351930210759499</v>
      </c>
      <c r="D5496">
        <v>3</v>
      </c>
      <c r="E5496">
        <v>1</v>
      </c>
      <c r="F5496">
        <v>39</v>
      </c>
      <c r="G5496">
        <v>79</v>
      </c>
      <c r="H5496">
        <v>273</v>
      </c>
    </row>
    <row r="5497" spans="1:8">
      <c r="A5497" s="25" t="s">
        <v>189</v>
      </c>
      <c r="B5497" t="s">
        <v>202</v>
      </c>
      <c r="C5497">
        <v>6.9253343131319598</v>
      </c>
      <c r="D5497">
        <v>2</v>
      </c>
      <c r="E5497">
        <v>1</v>
      </c>
      <c r="F5497">
        <v>23</v>
      </c>
      <c r="G5497">
        <v>4</v>
      </c>
      <c r="H5497">
        <v>273</v>
      </c>
    </row>
    <row r="5498" spans="1:8">
      <c r="A5498" s="25" t="s">
        <v>189</v>
      </c>
      <c r="B5498" t="s">
        <v>203</v>
      </c>
      <c r="C5498">
        <v>3.9594096978658859</v>
      </c>
      <c r="D5498">
        <v>3</v>
      </c>
      <c r="E5498">
        <v>1</v>
      </c>
      <c r="F5498">
        <v>15</v>
      </c>
      <c r="G5498">
        <v>156</v>
      </c>
      <c r="H5498">
        <v>273</v>
      </c>
    </row>
    <row r="5499" spans="1:8">
      <c r="A5499" s="25" t="s">
        <v>189</v>
      </c>
      <c r="B5499" t="s">
        <v>204</v>
      </c>
      <c r="C5499">
        <v>6</v>
      </c>
      <c r="D5499">
        <v>6</v>
      </c>
      <c r="E5499">
        <v>6</v>
      </c>
      <c r="F5499">
        <v>6</v>
      </c>
      <c r="G5499">
        <v>1</v>
      </c>
      <c r="H5499">
        <v>273</v>
      </c>
    </row>
    <row r="5500" spans="1:8">
      <c r="A5500" s="25" t="s">
        <v>189</v>
      </c>
      <c r="B5500" t="s">
        <v>205</v>
      </c>
      <c r="C5500">
        <v>4.105058595547832</v>
      </c>
      <c r="D5500">
        <v>2</v>
      </c>
      <c r="E5500">
        <v>1</v>
      </c>
      <c r="F5500">
        <v>20</v>
      </c>
      <c r="G5500">
        <v>33</v>
      </c>
      <c r="H5500">
        <v>273</v>
      </c>
    </row>
    <row r="5501" spans="1:8">
      <c r="A5501" s="25" t="s">
        <v>192</v>
      </c>
      <c r="B5501" t="s">
        <v>192</v>
      </c>
      <c r="C5501">
        <v>4.7823339987363598</v>
      </c>
      <c r="D5501">
        <v>3</v>
      </c>
      <c r="E5501">
        <v>1</v>
      </c>
      <c r="F5501">
        <v>39</v>
      </c>
      <c r="G5501">
        <v>273</v>
      </c>
      <c r="H5501">
        <v>273</v>
      </c>
    </row>
    <row r="5503" spans="1:8" ht="43.5">
      <c r="A5503" s="25" t="s">
        <v>1556</v>
      </c>
    </row>
    <row r="5504" spans="1:8">
      <c r="A5504" s="25" t="s">
        <v>181</v>
      </c>
      <c r="B5504" t="s">
        <v>182</v>
      </c>
      <c r="C5504" t="s">
        <v>183</v>
      </c>
      <c r="D5504" t="s">
        <v>184</v>
      </c>
      <c r="E5504" t="s">
        <v>185</v>
      </c>
      <c r="F5504" t="s">
        <v>186</v>
      </c>
      <c r="G5504" t="s">
        <v>187</v>
      </c>
      <c r="H5504" t="s">
        <v>188</v>
      </c>
    </row>
    <row r="5505" spans="1:8">
      <c r="A5505" s="25" t="s">
        <v>189</v>
      </c>
      <c r="B5505" t="s">
        <v>207</v>
      </c>
      <c r="C5505">
        <v>3.784666266279606</v>
      </c>
      <c r="D5505">
        <v>3</v>
      </c>
      <c r="E5505">
        <v>1</v>
      </c>
      <c r="F5505">
        <v>20</v>
      </c>
      <c r="G5505">
        <v>151</v>
      </c>
      <c r="H5505">
        <v>273</v>
      </c>
    </row>
    <row r="5506" spans="1:8">
      <c r="A5506" s="25" t="s">
        <v>189</v>
      </c>
      <c r="B5506" t="s">
        <v>208</v>
      </c>
      <c r="C5506">
        <v>5.7000536990542194</v>
      </c>
      <c r="D5506">
        <v>3</v>
      </c>
      <c r="E5506">
        <v>1</v>
      </c>
      <c r="F5506">
        <v>39</v>
      </c>
      <c r="G5506">
        <v>110</v>
      </c>
      <c r="H5506">
        <v>273</v>
      </c>
    </row>
    <row r="5507" spans="1:8">
      <c r="A5507" s="25" t="s">
        <v>189</v>
      </c>
      <c r="B5507" t="s">
        <v>209</v>
      </c>
      <c r="C5507">
        <v>2.811963788513177</v>
      </c>
      <c r="D5507">
        <v>3</v>
      </c>
      <c r="E5507">
        <v>1</v>
      </c>
      <c r="F5507">
        <v>6</v>
      </c>
      <c r="G5507">
        <v>12</v>
      </c>
      <c r="H5507">
        <v>273</v>
      </c>
    </row>
    <row r="5508" spans="1:8">
      <c r="A5508" s="25" t="s">
        <v>192</v>
      </c>
      <c r="B5508" t="s">
        <v>192</v>
      </c>
      <c r="C5508">
        <v>4.7823339987363598</v>
      </c>
      <c r="D5508">
        <v>3</v>
      </c>
      <c r="E5508">
        <v>1</v>
      </c>
      <c r="F5508">
        <v>39</v>
      </c>
      <c r="G5508">
        <v>273</v>
      </c>
      <c r="H5508">
        <v>273</v>
      </c>
    </row>
    <row r="5510" spans="1:8" ht="43.5">
      <c r="A5510" s="25" t="s">
        <v>1557</v>
      </c>
    </row>
    <row r="5511" spans="1:8">
      <c r="A5511" s="25" t="s">
        <v>181</v>
      </c>
      <c r="B5511" t="s">
        <v>182</v>
      </c>
      <c r="C5511" t="s">
        <v>183</v>
      </c>
      <c r="D5511" t="s">
        <v>184</v>
      </c>
      <c r="E5511" t="s">
        <v>185</v>
      </c>
      <c r="F5511" t="s">
        <v>186</v>
      </c>
      <c r="G5511" t="s">
        <v>187</v>
      </c>
      <c r="H5511" t="s">
        <v>188</v>
      </c>
    </row>
    <row r="5512" spans="1:8">
      <c r="A5512" s="25" t="s">
        <v>189</v>
      </c>
      <c r="B5512" t="s">
        <v>211</v>
      </c>
      <c r="C5512">
        <v>3.2996116302348488</v>
      </c>
      <c r="D5512">
        <v>3</v>
      </c>
      <c r="E5512">
        <v>1</v>
      </c>
      <c r="F5512">
        <v>9</v>
      </c>
      <c r="G5512">
        <v>72</v>
      </c>
      <c r="H5512">
        <v>273</v>
      </c>
    </row>
    <row r="5513" spans="1:8">
      <c r="A5513" s="25" t="s">
        <v>189</v>
      </c>
      <c r="B5513" t="s">
        <v>212</v>
      </c>
      <c r="C5513">
        <v>4.8692801947911732</v>
      </c>
      <c r="D5513">
        <v>3</v>
      </c>
      <c r="E5513">
        <v>1</v>
      </c>
      <c r="F5513">
        <v>23</v>
      </c>
      <c r="G5513">
        <v>127</v>
      </c>
      <c r="H5513">
        <v>273</v>
      </c>
    </row>
    <row r="5514" spans="1:8">
      <c r="A5514" s="25" t="s">
        <v>189</v>
      </c>
      <c r="B5514" t="s">
        <v>213</v>
      </c>
      <c r="C5514">
        <v>5.4838743926534317</v>
      </c>
      <c r="D5514">
        <v>3</v>
      </c>
      <c r="E5514">
        <v>1</v>
      </c>
      <c r="F5514">
        <v>39</v>
      </c>
      <c r="G5514">
        <v>74</v>
      </c>
      <c r="H5514">
        <v>273</v>
      </c>
    </row>
    <row r="5515" spans="1:8">
      <c r="A5515" s="25" t="s">
        <v>192</v>
      </c>
      <c r="B5515" t="s">
        <v>192</v>
      </c>
      <c r="C5515">
        <v>4.7823339987363598</v>
      </c>
      <c r="D5515">
        <v>3</v>
      </c>
      <c r="E5515">
        <v>1</v>
      </c>
      <c r="F5515">
        <v>39</v>
      </c>
      <c r="G5515">
        <v>273</v>
      </c>
      <c r="H5515">
        <v>273</v>
      </c>
    </row>
    <row r="5517" spans="1:8" ht="43.5">
      <c r="A5517" s="25" t="s">
        <v>1558</v>
      </c>
    </row>
    <row r="5518" spans="1:8">
      <c r="A5518" s="25" t="s">
        <v>182</v>
      </c>
      <c r="B5518" t="s">
        <v>219</v>
      </c>
      <c r="C5518" t="s">
        <v>181</v>
      </c>
      <c r="D5518" t="s">
        <v>188</v>
      </c>
      <c r="E5518" t="s">
        <v>241</v>
      </c>
      <c r="F5518" t="s">
        <v>220</v>
      </c>
      <c r="G5518" t="s">
        <v>243</v>
      </c>
      <c r="H5518" t="s">
        <v>221</v>
      </c>
    </row>
    <row r="5519" spans="1:8">
      <c r="A5519" s="25" t="s">
        <v>190</v>
      </c>
      <c r="B5519">
        <v>4868</v>
      </c>
      <c r="C5519" t="s">
        <v>189</v>
      </c>
      <c r="D5519">
        <v>10382</v>
      </c>
      <c r="E5519" s="1">
        <v>2.8E-3</v>
      </c>
      <c r="F5519" s="1">
        <v>0.24049999999999999</v>
      </c>
      <c r="G5519" s="1">
        <v>1.1999999999999999E-3</v>
      </c>
      <c r="H5519" s="1">
        <v>0.75539999999999996</v>
      </c>
    </row>
    <row r="5520" spans="1:8">
      <c r="A5520" s="25" t="s">
        <v>191</v>
      </c>
      <c r="B5520">
        <v>5457</v>
      </c>
      <c r="C5520" t="s">
        <v>189</v>
      </c>
      <c r="D5520">
        <v>10382</v>
      </c>
      <c r="E5520" s="1">
        <v>6.9999999999999999E-4</v>
      </c>
      <c r="F5520" s="1">
        <v>5.8099999999999999E-2</v>
      </c>
      <c r="G5520" s="1">
        <v>2.9999999999999997E-4</v>
      </c>
      <c r="H5520" s="1">
        <v>0.94089999999999996</v>
      </c>
    </row>
    <row r="5521" spans="1:8">
      <c r="A5521" s="25" t="s">
        <v>192</v>
      </c>
      <c r="B5521">
        <v>10382</v>
      </c>
      <c r="C5521" t="s">
        <v>192</v>
      </c>
      <c r="D5521">
        <v>10382</v>
      </c>
      <c r="E5521" s="1">
        <v>1.5E-3</v>
      </c>
      <c r="F5521" s="1">
        <v>0.1275</v>
      </c>
      <c r="G5521" s="1">
        <v>6.9999999999999999E-4</v>
      </c>
      <c r="H5521" s="1">
        <v>0.87029999999999996</v>
      </c>
    </row>
    <row r="5523" spans="1:8" ht="43.5">
      <c r="A5523" s="25" t="s">
        <v>1559</v>
      </c>
    </row>
    <row r="5524" spans="1:8">
      <c r="A5524" s="25" t="s">
        <v>182</v>
      </c>
      <c r="B5524" t="s">
        <v>219</v>
      </c>
      <c r="C5524" t="s">
        <v>181</v>
      </c>
      <c r="D5524" t="s">
        <v>188</v>
      </c>
      <c r="E5524" t="s">
        <v>241</v>
      </c>
      <c r="F5524" t="s">
        <v>220</v>
      </c>
      <c r="G5524" t="s">
        <v>243</v>
      </c>
      <c r="H5524" t="s">
        <v>221</v>
      </c>
    </row>
    <row r="5525" spans="1:8" ht="29.1">
      <c r="A5525" s="25" t="s">
        <v>194</v>
      </c>
      <c r="B5525">
        <v>5922</v>
      </c>
      <c r="C5525" t="s">
        <v>189</v>
      </c>
      <c r="D5525">
        <v>10382</v>
      </c>
      <c r="E5525" s="1">
        <v>1.9E-3</v>
      </c>
      <c r="F5525" s="1">
        <v>0.1356</v>
      </c>
      <c r="G5525" s="1">
        <v>6.9999999999999999E-4</v>
      </c>
      <c r="H5525" s="1">
        <v>0.86180000000000001</v>
      </c>
    </row>
    <row r="5526" spans="1:8" ht="29.1">
      <c r="A5526" s="25" t="s">
        <v>195</v>
      </c>
      <c r="B5526">
        <v>2694</v>
      </c>
      <c r="C5526" t="s">
        <v>189</v>
      </c>
      <c r="D5526">
        <v>10382</v>
      </c>
      <c r="E5526" s="1">
        <v>2.9999999999999997E-4</v>
      </c>
      <c r="F5526" s="1">
        <v>0.1203</v>
      </c>
      <c r="G5526" s="1">
        <v>8.0000000000000004E-4</v>
      </c>
      <c r="H5526" s="1">
        <v>0.87860000000000005</v>
      </c>
    </row>
    <row r="5527" spans="1:8" ht="29.1">
      <c r="A5527" s="25" t="s">
        <v>196</v>
      </c>
      <c r="B5527">
        <v>1709</v>
      </c>
      <c r="C5527" t="s">
        <v>189</v>
      </c>
      <c r="D5527">
        <v>10382</v>
      </c>
      <c r="E5527" s="1">
        <v>1.1000000000000001E-3</v>
      </c>
      <c r="F5527" s="1">
        <v>8.0500000000000002E-2</v>
      </c>
      <c r="G5527" s="1">
        <v>2.9999999999999997E-4</v>
      </c>
      <c r="H5527" s="1">
        <v>0.91810000000000003</v>
      </c>
    </row>
    <row r="5528" spans="1:8">
      <c r="A5528" s="25" t="s">
        <v>192</v>
      </c>
      <c r="B5528">
        <v>10382</v>
      </c>
      <c r="C5528" t="s">
        <v>192</v>
      </c>
      <c r="D5528">
        <v>10382</v>
      </c>
      <c r="E5528" s="1">
        <v>1.5E-3</v>
      </c>
      <c r="F5528" s="1">
        <v>0.1275</v>
      </c>
      <c r="G5528" s="1">
        <v>6.9999999999999999E-4</v>
      </c>
      <c r="H5528" s="1">
        <v>0.87029999999999996</v>
      </c>
    </row>
    <row r="5530" spans="1:8" ht="43.5">
      <c r="A5530" s="25" t="s">
        <v>1560</v>
      </c>
    </row>
    <row r="5531" spans="1:8">
      <c r="A5531" s="25" t="s">
        <v>182</v>
      </c>
      <c r="B5531" t="s">
        <v>219</v>
      </c>
      <c r="C5531" t="s">
        <v>181</v>
      </c>
      <c r="D5531" t="s">
        <v>188</v>
      </c>
      <c r="E5531" t="s">
        <v>241</v>
      </c>
      <c r="F5531" t="s">
        <v>220</v>
      </c>
      <c r="G5531" t="s">
        <v>243</v>
      </c>
      <c r="H5531" t="s">
        <v>221</v>
      </c>
    </row>
    <row r="5532" spans="1:8">
      <c r="A5532" s="25" t="s">
        <v>198</v>
      </c>
      <c r="B5532">
        <v>2241</v>
      </c>
      <c r="C5532" t="s">
        <v>189</v>
      </c>
      <c r="D5532">
        <v>10382</v>
      </c>
      <c r="E5532" s="1">
        <v>1E-3</v>
      </c>
      <c r="F5532" s="1">
        <v>0.17330000000000001</v>
      </c>
      <c r="G5532" s="1">
        <v>6.9999999999999999E-4</v>
      </c>
      <c r="H5532" s="1">
        <v>0.82489999999999997</v>
      </c>
    </row>
    <row r="5533" spans="1:8">
      <c r="A5533" s="25" t="s">
        <v>199</v>
      </c>
      <c r="B5533">
        <v>8141</v>
      </c>
      <c r="C5533" t="s">
        <v>189</v>
      </c>
      <c r="D5533">
        <v>10382</v>
      </c>
      <c r="E5533" s="1">
        <v>1.6000000000000001E-3</v>
      </c>
      <c r="F5533" s="1">
        <v>0.1173</v>
      </c>
      <c r="G5533" s="1">
        <v>6.9999999999999999E-4</v>
      </c>
      <c r="H5533" s="1">
        <v>0.88049999999999995</v>
      </c>
    </row>
    <row r="5534" spans="1:8">
      <c r="A5534" s="25" t="s">
        <v>192</v>
      </c>
      <c r="B5534">
        <v>10382</v>
      </c>
      <c r="C5534" t="s">
        <v>192</v>
      </c>
      <c r="D5534">
        <v>10382</v>
      </c>
      <c r="E5534" s="1">
        <v>1.5E-3</v>
      </c>
      <c r="F5534" s="1">
        <v>0.1275</v>
      </c>
      <c r="G5534" s="1">
        <v>6.9999999999999999E-4</v>
      </c>
      <c r="H5534" s="1">
        <v>0.87029999999999996</v>
      </c>
    </row>
    <row r="5536" spans="1:8" ht="43.5">
      <c r="A5536" s="25" t="s">
        <v>1561</v>
      </c>
    </row>
    <row r="5537" spans="1:8">
      <c r="A5537" s="25" t="s">
        <v>182</v>
      </c>
      <c r="B5537" t="s">
        <v>219</v>
      </c>
      <c r="C5537" t="s">
        <v>181</v>
      </c>
      <c r="D5537" t="s">
        <v>188</v>
      </c>
      <c r="E5537" t="s">
        <v>241</v>
      </c>
      <c r="F5537" t="s">
        <v>220</v>
      </c>
      <c r="G5537" t="s">
        <v>243</v>
      </c>
      <c r="H5537" t="s">
        <v>221</v>
      </c>
    </row>
    <row r="5538" spans="1:8">
      <c r="A5538" s="25" t="s">
        <v>201</v>
      </c>
      <c r="B5538">
        <v>762</v>
      </c>
      <c r="C5538" t="s">
        <v>189</v>
      </c>
      <c r="D5538">
        <v>10382</v>
      </c>
      <c r="E5538" s="1">
        <v>6.4000000000000003E-3</v>
      </c>
      <c r="F5538" s="1">
        <v>0.10150000000000001</v>
      </c>
      <c r="G5538" s="1">
        <v>1.6000000000000001E-3</v>
      </c>
      <c r="H5538" s="1">
        <v>0.89049999999999996</v>
      </c>
    </row>
    <row r="5539" spans="1:8">
      <c r="A5539" s="25" t="s">
        <v>202</v>
      </c>
      <c r="B5539">
        <v>109</v>
      </c>
      <c r="C5539" t="s">
        <v>189</v>
      </c>
      <c r="D5539">
        <v>10382</v>
      </c>
      <c r="F5539" s="1">
        <v>9.2899999999999996E-2</v>
      </c>
      <c r="H5539" s="1">
        <v>0.90710000000000002</v>
      </c>
    </row>
    <row r="5540" spans="1:8">
      <c r="A5540" s="25" t="s">
        <v>203</v>
      </c>
      <c r="B5540">
        <v>8006</v>
      </c>
      <c r="C5540" t="s">
        <v>189</v>
      </c>
      <c r="D5540">
        <v>10382</v>
      </c>
      <c r="E5540" s="1">
        <v>1.4E-3</v>
      </c>
      <c r="F5540" s="1">
        <v>0.1449</v>
      </c>
      <c r="G5540" s="1">
        <v>6.9999999999999999E-4</v>
      </c>
      <c r="H5540" s="1">
        <v>0.85309999999999997</v>
      </c>
    </row>
    <row r="5541" spans="1:8">
      <c r="A5541" s="25" t="s">
        <v>204</v>
      </c>
      <c r="B5541">
        <v>28</v>
      </c>
      <c r="C5541" t="s">
        <v>189</v>
      </c>
      <c r="D5541">
        <v>10382</v>
      </c>
      <c r="F5541" s="1">
        <v>0.13020000000000001</v>
      </c>
      <c r="G5541" s="1">
        <v>2.3599999999999999E-2</v>
      </c>
      <c r="H5541" s="1">
        <v>0.84609999999999996</v>
      </c>
    </row>
    <row r="5542" spans="1:8">
      <c r="A5542" s="25" t="s">
        <v>205</v>
      </c>
      <c r="B5542">
        <v>1477</v>
      </c>
      <c r="C5542" t="s">
        <v>189</v>
      </c>
      <c r="D5542">
        <v>10382</v>
      </c>
      <c r="E5542" s="1">
        <v>0</v>
      </c>
      <c r="F5542" s="1">
        <v>4.2900000000000001E-2</v>
      </c>
      <c r="H5542" s="1">
        <v>0.95709999999999995</v>
      </c>
    </row>
    <row r="5543" spans="1:8">
      <c r="A5543" s="25" t="s">
        <v>192</v>
      </c>
      <c r="B5543">
        <v>10382</v>
      </c>
      <c r="C5543" t="s">
        <v>192</v>
      </c>
      <c r="D5543">
        <v>10382</v>
      </c>
      <c r="E5543" s="1">
        <v>1.5E-3</v>
      </c>
      <c r="F5543" s="1">
        <v>0.1275</v>
      </c>
      <c r="G5543" s="1">
        <v>6.9999999999999999E-4</v>
      </c>
      <c r="H5543" s="1">
        <v>0.87029999999999996</v>
      </c>
    </row>
    <row r="5545" spans="1:8" ht="43.5">
      <c r="A5545" s="25" t="s">
        <v>1562</v>
      </c>
    </row>
    <row r="5546" spans="1:8">
      <c r="A5546" s="25" t="s">
        <v>182</v>
      </c>
      <c r="B5546" t="s">
        <v>219</v>
      </c>
      <c r="C5546" t="s">
        <v>181</v>
      </c>
      <c r="D5546" t="s">
        <v>188</v>
      </c>
      <c r="E5546" t="s">
        <v>241</v>
      </c>
      <c r="F5546" t="s">
        <v>220</v>
      </c>
      <c r="G5546" t="s">
        <v>243</v>
      </c>
      <c r="H5546" t="s">
        <v>221</v>
      </c>
    </row>
    <row r="5547" spans="1:8">
      <c r="A5547" s="25" t="s">
        <v>207</v>
      </c>
      <c r="B5547">
        <v>7225</v>
      </c>
      <c r="C5547" t="s">
        <v>189</v>
      </c>
      <c r="D5547">
        <v>10382</v>
      </c>
      <c r="E5547" s="1">
        <v>1.9E-3</v>
      </c>
      <c r="F5547" s="1">
        <v>0.1084</v>
      </c>
      <c r="G5547" s="1">
        <v>5.9999999999999995E-4</v>
      </c>
      <c r="H5547" s="1">
        <v>0.8891</v>
      </c>
    </row>
    <row r="5548" spans="1:8">
      <c r="A5548" s="25" t="s">
        <v>208</v>
      </c>
      <c r="B5548">
        <v>2228</v>
      </c>
      <c r="C5548" t="s">
        <v>189</v>
      </c>
      <c r="D5548">
        <v>10382</v>
      </c>
      <c r="E5548" s="1">
        <v>1E-3</v>
      </c>
      <c r="F5548" s="1">
        <v>0.18310000000000001</v>
      </c>
      <c r="G5548" s="1">
        <v>5.9999999999999995E-4</v>
      </c>
      <c r="H5548" s="1">
        <v>0.81530000000000002</v>
      </c>
    </row>
    <row r="5549" spans="1:8">
      <c r="A5549" s="25" t="s">
        <v>209</v>
      </c>
      <c r="B5549">
        <v>929</v>
      </c>
      <c r="C5549" t="s">
        <v>189</v>
      </c>
      <c r="D5549">
        <v>10382</v>
      </c>
      <c r="F5549" s="1">
        <v>0.13739999999999999</v>
      </c>
      <c r="G5549" s="1">
        <v>1.5E-3</v>
      </c>
      <c r="H5549" s="1">
        <v>0.86109999999999998</v>
      </c>
    </row>
    <row r="5550" spans="1:8">
      <c r="A5550" s="25" t="s">
        <v>192</v>
      </c>
      <c r="B5550">
        <v>10382</v>
      </c>
      <c r="C5550" t="s">
        <v>192</v>
      </c>
      <c r="D5550">
        <v>10382</v>
      </c>
      <c r="E5550" s="1">
        <v>1.5E-3</v>
      </c>
      <c r="F5550" s="1">
        <v>0.1275</v>
      </c>
      <c r="G5550" s="1">
        <v>6.9999999999999999E-4</v>
      </c>
      <c r="H5550" s="1">
        <v>0.87029999999999996</v>
      </c>
    </row>
    <row r="5552" spans="1:8" ht="43.5">
      <c r="A5552" s="25" t="s">
        <v>1563</v>
      </c>
    </row>
    <row r="5553" spans="1:12">
      <c r="A5553" s="25" t="s">
        <v>182</v>
      </c>
      <c r="B5553" t="s">
        <v>219</v>
      </c>
      <c r="C5553" t="s">
        <v>181</v>
      </c>
      <c r="D5553" t="s">
        <v>188</v>
      </c>
      <c r="E5553" t="s">
        <v>241</v>
      </c>
      <c r="F5553" t="s">
        <v>220</v>
      </c>
      <c r="G5553" t="s">
        <v>243</v>
      </c>
      <c r="H5553" t="s">
        <v>221</v>
      </c>
    </row>
    <row r="5554" spans="1:12">
      <c r="A5554" s="25" t="s">
        <v>211</v>
      </c>
      <c r="B5554">
        <v>4953</v>
      </c>
      <c r="C5554" t="s">
        <v>189</v>
      </c>
      <c r="D5554">
        <v>10382</v>
      </c>
      <c r="E5554" s="1">
        <v>1.6000000000000001E-3</v>
      </c>
      <c r="F5554" s="1">
        <v>0.1027</v>
      </c>
      <c r="G5554" s="1">
        <v>2.9999999999999997E-4</v>
      </c>
      <c r="H5554" s="1">
        <v>0.89539999999999997</v>
      </c>
    </row>
    <row r="5555" spans="1:12">
      <c r="A5555" s="25" t="s">
        <v>212</v>
      </c>
      <c r="B5555">
        <v>3357</v>
      </c>
      <c r="C5555" t="s">
        <v>189</v>
      </c>
      <c r="D5555">
        <v>10382</v>
      </c>
      <c r="E5555" s="1">
        <v>2.2000000000000001E-3</v>
      </c>
      <c r="F5555" s="1">
        <v>0.1638</v>
      </c>
      <c r="G5555" s="1">
        <v>8.0000000000000004E-4</v>
      </c>
      <c r="H5555" s="1">
        <v>0.83320000000000005</v>
      </c>
    </row>
    <row r="5556" spans="1:12">
      <c r="A5556" s="25" t="s">
        <v>213</v>
      </c>
      <c r="B5556">
        <v>2072</v>
      </c>
      <c r="C5556" t="s">
        <v>189</v>
      </c>
      <c r="D5556">
        <v>10382</v>
      </c>
      <c r="E5556" s="1">
        <v>2.9999999999999997E-4</v>
      </c>
      <c r="F5556" s="1">
        <v>0.1293</v>
      </c>
      <c r="G5556" s="1">
        <v>1.1999999999999999E-3</v>
      </c>
      <c r="H5556" s="1">
        <v>0.86919999999999997</v>
      </c>
    </row>
    <row r="5557" spans="1:12">
      <c r="A5557" s="25" t="s">
        <v>192</v>
      </c>
      <c r="B5557">
        <v>10382</v>
      </c>
      <c r="C5557" t="s">
        <v>192</v>
      </c>
      <c r="D5557">
        <v>10382</v>
      </c>
      <c r="E5557" s="1">
        <v>1.5E-3</v>
      </c>
      <c r="F5557" s="1">
        <v>0.1275</v>
      </c>
      <c r="G5557" s="1">
        <v>6.9999999999999999E-4</v>
      </c>
      <c r="H5557" s="1">
        <v>0.87029999999999996</v>
      </c>
    </row>
    <row r="5559" spans="1:12" ht="43.5">
      <c r="A5559" s="25" t="s">
        <v>1564</v>
      </c>
    </row>
    <row r="5560" spans="1:12">
      <c r="A5560" s="25" t="s">
        <v>182</v>
      </c>
      <c r="B5560" t="s">
        <v>219</v>
      </c>
      <c r="C5560" t="s">
        <v>181</v>
      </c>
      <c r="D5560" t="s">
        <v>188</v>
      </c>
      <c r="E5560" t="s">
        <v>241</v>
      </c>
      <c r="F5560" t="s">
        <v>243</v>
      </c>
      <c r="G5560" t="s">
        <v>1565</v>
      </c>
      <c r="H5560" t="s">
        <v>1566</v>
      </c>
      <c r="I5560" t="s">
        <v>1567</v>
      </c>
      <c r="J5560" t="s">
        <v>1568</v>
      </c>
      <c r="K5560" t="s">
        <v>1569</v>
      </c>
      <c r="L5560" t="s">
        <v>1570</v>
      </c>
    </row>
    <row r="5561" spans="1:12">
      <c r="A5561" s="25" t="s">
        <v>190</v>
      </c>
      <c r="B5561">
        <v>4902</v>
      </c>
      <c r="C5561" t="s">
        <v>189</v>
      </c>
      <c r="D5561">
        <v>10433</v>
      </c>
      <c r="E5561" s="1">
        <v>8.0000000000000004E-4</v>
      </c>
      <c r="F5561" s="1">
        <v>4.8999999999999998E-3</v>
      </c>
      <c r="G5561" s="1">
        <v>5.2600000000000001E-2</v>
      </c>
      <c r="H5561" s="1">
        <v>1.49E-2</v>
      </c>
      <c r="I5561" s="1">
        <v>0.15809999999999999</v>
      </c>
      <c r="J5561" s="1">
        <v>9.9000000000000008E-3</v>
      </c>
      <c r="K5561" s="1">
        <v>0.19570000000000001</v>
      </c>
      <c r="L5561" s="1">
        <v>0.56299999999999994</v>
      </c>
    </row>
    <row r="5562" spans="1:12">
      <c r="A5562" s="25" t="s">
        <v>191</v>
      </c>
      <c r="B5562">
        <v>5474</v>
      </c>
      <c r="C5562" t="s">
        <v>189</v>
      </c>
      <c r="D5562">
        <v>10433</v>
      </c>
      <c r="E5562" s="1">
        <v>6.9999999999999999E-4</v>
      </c>
      <c r="F5562" s="1">
        <v>2.9999999999999997E-4</v>
      </c>
      <c r="G5562" s="1">
        <v>3.5000000000000001E-3</v>
      </c>
      <c r="H5562" s="1">
        <v>8.9999999999999998E-4</v>
      </c>
      <c r="I5562" s="1">
        <v>1.24E-2</v>
      </c>
      <c r="J5562" s="1">
        <v>2.5000000000000001E-3</v>
      </c>
      <c r="K5562" s="1">
        <v>3.5499999999999997E-2</v>
      </c>
      <c r="L5562" s="1">
        <v>0.94420000000000004</v>
      </c>
    </row>
    <row r="5563" spans="1:12">
      <c r="A5563" s="25" t="s">
        <v>192</v>
      </c>
      <c r="B5563">
        <v>10433</v>
      </c>
      <c r="C5563" t="s">
        <v>192</v>
      </c>
      <c r="D5563">
        <v>10433</v>
      </c>
      <c r="E5563" s="1">
        <v>6.9999999999999999E-4</v>
      </c>
      <c r="F5563" s="1">
        <v>2E-3</v>
      </c>
      <c r="G5563" s="1">
        <v>2.23E-2</v>
      </c>
      <c r="H5563" s="1">
        <v>6.3E-3</v>
      </c>
      <c r="I5563" s="1">
        <v>6.7900000000000002E-2</v>
      </c>
      <c r="J5563" s="1">
        <v>5.3E-3</v>
      </c>
      <c r="K5563" s="1">
        <v>9.6600000000000005E-2</v>
      </c>
      <c r="L5563" s="1">
        <v>0.79879999999999995</v>
      </c>
    </row>
    <row r="5565" spans="1:12" ht="43.5">
      <c r="A5565" s="25" t="s">
        <v>1571</v>
      </c>
    </row>
    <row r="5566" spans="1:12">
      <c r="A5566" s="25" t="s">
        <v>182</v>
      </c>
      <c r="B5566" t="s">
        <v>219</v>
      </c>
      <c r="C5566" t="s">
        <v>181</v>
      </c>
      <c r="D5566" t="s">
        <v>188</v>
      </c>
      <c r="E5566" t="s">
        <v>241</v>
      </c>
      <c r="F5566" t="s">
        <v>243</v>
      </c>
      <c r="G5566" t="s">
        <v>1565</v>
      </c>
      <c r="H5566" t="s">
        <v>1566</v>
      </c>
      <c r="I5566" t="s">
        <v>1567</v>
      </c>
      <c r="J5566" t="s">
        <v>1568</v>
      </c>
      <c r="K5566" t="s">
        <v>1569</v>
      </c>
      <c r="L5566" t="s">
        <v>1570</v>
      </c>
    </row>
    <row r="5567" spans="1:12" ht="29.1">
      <c r="A5567" s="25" t="s">
        <v>194</v>
      </c>
      <c r="B5567">
        <v>5953</v>
      </c>
      <c r="C5567" t="s">
        <v>189</v>
      </c>
      <c r="D5567">
        <v>10433</v>
      </c>
      <c r="E5567" s="1">
        <v>5.0000000000000001E-4</v>
      </c>
      <c r="F5567" s="1">
        <v>2.7000000000000001E-3</v>
      </c>
      <c r="G5567" s="1">
        <v>2.18E-2</v>
      </c>
      <c r="H5567" s="1">
        <v>6.7000000000000002E-3</v>
      </c>
      <c r="I5567" s="1">
        <v>7.5800000000000006E-2</v>
      </c>
      <c r="J5567" s="1">
        <v>5.0000000000000001E-3</v>
      </c>
      <c r="K5567" s="1">
        <v>0.1057</v>
      </c>
      <c r="L5567" s="1">
        <v>0.78190000000000004</v>
      </c>
    </row>
    <row r="5568" spans="1:12" ht="29.1">
      <c r="A5568" s="25" t="s">
        <v>195</v>
      </c>
      <c r="B5568">
        <v>2703</v>
      </c>
      <c r="C5568" t="s">
        <v>189</v>
      </c>
      <c r="D5568">
        <v>10433</v>
      </c>
      <c r="E5568" s="1">
        <v>1.6999999999999999E-3</v>
      </c>
      <c r="F5568" s="1">
        <v>5.0000000000000001E-4</v>
      </c>
      <c r="G5568" s="1">
        <v>2.58E-2</v>
      </c>
      <c r="H5568" s="1">
        <v>5.1000000000000004E-3</v>
      </c>
      <c r="I5568" s="1">
        <v>6.1400000000000003E-2</v>
      </c>
      <c r="J5568" s="1">
        <v>6.8999999999999999E-3</v>
      </c>
      <c r="K5568" s="1">
        <v>9.3700000000000006E-2</v>
      </c>
      <c r="L5568" s="1">
        <v>0.80489999999999995</v>
      </c>
    </row>
    <row r="5569" spans="1:12" ht="29.1">
      <c r="A5569" s="25" t="s">
        <v>196</v>
      </c>
      <c r="B5569">
        <v>1720</v>
      </c>
      <c r="C5569" t="s">
        <v>189</v>
      </c>
      <c r="D5569">
        <v>10433</v>
      </c>
      <c r="E5569" s="1">
        <v>4.0000000000000002E-4</v>
      </c>
      <c r="G5569" s="1">
        <v>1.8800000000000001E-2</v>
      </c>
      <c r="H5569" s="1">
        <v>5.5999999999999999E-3</v>
      </c>
      <c r="I5569" s="1">
        <v>2.1999999999999999E-2</v>
      </c>
      <c r="J5569" s="1">
        <v>4.3E-3</v>
      </c>
      <c r="K5569" s="1">
        <v>3.39E-2</v>
      </c>
      <c r="L5569" s="1">
        <v>0.91510000000000002</v>
      </c>
    </row>
    <row r="5570" spans="1:12">
      <c r="A5570" s="25" t="s">
        <v>192</v>
      </c>
      <c r="B5570">
        <v>10433</v>
      </c>
      <c r="C5570" t="s">
        <v>192</v>
      </c>
      <c r="D5570">
        <v>10433</v>
      </c>
      <c r="E5570" s="1">
        <v>6.9999999999999999E-4</v>
      </c>
      <c r="F5570" s="1">
        <v>2E-3</v>
      </c>
      <c r="G5570" s="1">
        <v>2.23E-2</v>
      </c>
      <c r="H5570" s="1">
        <v>6.3E-3</v>
      </c>
      <c r="I5570" s="1">
        <v>6.7900000000000002E-2</v>
      </c>
      <c r="J5570" s="1">
        <v>5.3E-3</v>
      </c>
      <c r="K5570" s="1">
        <v>9.6600000000000005E-2</v>
      </c>
      <c r="L5570" s="1">
        <v>0.79879999999999995</v>
      </c>
    </row>
    <row r="5572" spans="1:12" ht="43.5">
      <c r="A5572" s="25" t="s">
        <v>1572</v>
      </c>
    </row>
    <row r="5573" spans="1:12">
      <c r="A5573" s="25" t="s">
        <v>182</v>
      </c>
      <c r="B5573" t="s">
        <v>219</v>
      </c>
      <c r="C5573" t="s">
        <v>181</v>
      </c>
      <c r="D5573" t="s">
        <v>188</v>
      </c>
      <c r="E5573" t="s">
        <v>241</v>
      </c>
      <c r="F5573" t="s">
        <v>243</v>
      </c>
      <c r="G5573" t="s">
        <v>1565</v>
      </c>
      <c r="H5573" t="s">
        <v>1566</v>
      </c>
      <c r="I5573" t="s">
        <v>1567</v>
      </c>
      <c r="J5573" t="s">
        <v>1568</v>
      </c>
      <c r="K5573" t="s">
        <v>1569</v>
      </c>
      <c r="L5573" t="s">
        <v>1570</v>
      </c>
    </row>
    <row r="5574" spans="1:12">
      <c r="A5574" s="25" t="s">
        <v>198</v>
      </c>
      <c r="B5574">
        <v>2263</v>
      </c>
      <c r="C5574" t="s">
        <v>189</v>
      </c>
      <c r="D5574">
        <v>10433</v>
      </c>
      <c r="E5574" s="1">
        <v>2.7000000000000001E-3</v>
      </c>
      <c r="F5574" s="1">
        <v>1.5E-3</v>
      </c>
      <c r="G5574" s="1">
        <v>3.15E-2</v>
      </c>
      <c r="H5574" s="1">
        <v>1.15E-2</v>
      </c>
      <c r="I5574" s="1">
        <v>8.1500000000000003E-2</v>
      </c>
      <c r="J5574" s="1">
        <v>6.1000000000000004E-3</v>
      </c>
      <c r="K5574" s="1">
        <v>0.11</v>
      </c>
      <c r="L5574" s="1">
        <v>0.75529999999999997</v>
      </c>
    </row>
    <row r="5575" spans="1:12">
      <c r="A5575" s="25" t="s">
        <v>199</v>
      </c>
      <c r="B5575">
        <v>8170</v>
      </c>
      <c r="C5575" t="s">
        <v>189</v>
      </c>
      <c r="D5575">
        <v>10433</v>
      </c>
      <c r="E5575" s="1">
        <v>2.9999999999999997E-4</v>
      </c>
      <c r="F5575" s="1">
        <v>2.0999999999999999E-3</v>
      </c>
      <c r="G5575" s="1">
        <v>2.0299999999999999E-2</v>
      </c>
      <c r="H5575" s="1">
        <v>5.1000000000000004E-3</v>
      </c>
      <c r="I5575" s="1">
        <v>6.4899999999999999E-2</v>
      </c>
      <c r="J5575" s="1">
        <v>5.1000000000000004E-3</v>
      </c>
      <c r="K5575" s="1">
        <v>9.3600000000000003E-2</v>
      </c>
      <c r="L5575" s="1">
        <v>0.8085</v>
      </c>
    </row>
    <row r="5576" spans="1:12">
      <c r="A5576" s="25" t="s">
        <v>192</v>
      </c>
      <c r="B5576">
        <v>10433</v>
      </c>
      <c r="C5576" t="s">
        <v>192</v>
      </c>
      <c r="D5576">
        <v>10433</v>
      </c>
      <c r="E5576" s="1">
        <v>6.9999999999999999E-4</v>
      </c>
      <c r="F5576" s="1">
        <v>2E-3</v>
      </c>
      <c r="G5576" s="1">
        <v>2.23E-2</v>
      </c>
      <c r="H5576" s="1">
        <v>6.3E-3</v>
      </c>
      <c r="I5576" s="1">
        <v>6.7900000000000002E-2</v>
      </c>
      <c r="J5576" s="1">
        <v>5.3E-3</v>
      </c>
      <c r="K5576" s="1">
        <v>9.6600000000000005E-2</v>
      </c>
      <c r="L5576" s="1">
        <v>0.79879999999999995</v>
      </c>
    </row>
    <row r="5578" spans="1:12" ht="43.5">
      <c r="A5578" s="25" t="s">
        <v>1573</v>
      </c>
    </row>
    <row r="5579" spans="1:12">
      <c r="A5579" s="25" t="s">
        <v>182</v>
      </c>
      <c r="B5579" t="s">
        <v>219</v>
      </c>
      <c r="C5579" t="s">
        <v>181</v>
      </c>
      <c r="D5579" t="s">
        <v>188</v>
      </c>
      <c r="E5579" t="s">
        <v>241</v>
      </c>
      <c r="F5579" t="s">
        <v>243</v>
      </c>
      <c r="G5579" t="s">
        <v>1565</v>
      </c>
      <c r="H5579" t="s">
        <v>1566</v>
      </c>
      <c r="I5579" t="s">
        <v>1567</v>
      </c>
      <c r="J5579" t="s">
        <v>1568</v>
      </c>
      <c r="K5579" t="s">
        <v>1569</v>
      </c>
      <c r="L5579" t="s">
        <v>1570</v>
      </c>
    </row>
    <row r="5580" spans="1:12">
      <c r="A5580" s="25" t="s">
        <v>201</v>
      </c>
      <c r="B5580">
        <v>767</v>
      </c>
      <c r="C5580" t="s">
        <v>189</v>
      </c>
      <c r="D5580">
        <v>10433</v>
      </c>
      <c r="E5580" s="1">
        <v>7.3000000000000001E-3</v>
      </c>
      <c r="G5580" s="1">
        <v>1.7500000000000002E-2</v>
      </c>
      <c r="H5580" s="1">
        <v>9.4000000000000004E-3</v>
      </c>
      <c r="I5580" s="1">
        <v>1.72E-2</v>
      </c>
      <c r="J5580" s="1">
        <v>2.7000000000000001E-3</v>
      </c>
      <c r="K5580" s="1">
        <v>5.1400000000000001E-2</v>
      </c>
      <c r="L5580" s="1">
        <v>0.89449999999999996</v>
      </c>
    </row>
    <row r="5581" spans="1:12">
      <c r="A5581" s="25" t="s">
        <v>202</v>
      </c>
      <c r="B5581">
        <v>110</v>
      </c>
      <c r="C5581" t="s">
        <v>189</v>
      </c>
      <c r="D5581">
        <v>10433</v>
      </c>
      <c r="E5581" s="1">
        <v>6.4000000000000003E-3</v>
      </c>
      <c r="G5581" s="1">
        <v>9.9000000000000008E-3</v>
      </c>
      <c r="H5581" s="1">
        <v>5.0000000000000001E-3</v>
      </c>
      <c r="I5581" s="1">
        <v>5.2200000000000003E-2</v>
      </c>
      <c r="J5581" s="1">
        <v>1.6899999999999998E-2</v>
      </c>
      <c r="K5581" s="1">
        <v>0.10059999999999999</v>
      </c>
      <c r="L5581" s="1">
        <v>0.80900000000000005</v>
      </c>
    </row>
    <row r="5582" spans="1:12">
      <c r="A5582" s="25" t="s">
        <v>203</v>
      </c>
      <c r="B5582">
        <v>8041</v>
      </c>
      <c r="C5582" t="s">
        <v>189</v>
      </c>
      <c r="D5582">
        <v>10433</v>
      </c>
      <c r="E5582" s="1">
        <v>2.0000000000000001E-4</v>
      </c>
      <c r="F5582" s="1">
        <v>2.0999999999999999E-3</v>
      </c>
      <c r="G5582" s="1">
        <v>2.4899999999999999E-2</v>
      </c>
      <c r="H5582" s="1">
        <v>6.7000000000000002E-3</v>
      </c>
      <c r="I5582" s="1">
        <v>8.09E-2</v>
      </c>
      <c r="J5582" s="1">
        <v>5.7999999999999996E-3</v>
      </c>
      <c r="K5582" s="1">
        <v>0.1108</v>
      </c>
      <c r="L5582" s="1">
        <v>0.76870000000000005</v>
      </c>
    </row>
    <row r="5583" spans="1:12">
      <c r="A5583" s="25" t="s">
        <v>204</v>
      </c>
      <c r="B5583">
        <v>31</v>
      </c>
      <c r="C5583" t="s">
        <v>189</v>
      </c>
      <c r="D5583">
        <v>10433</v>
      </c>
      <c r="F5583" s="1">
        <v>7.2400000000000006E-2</v>
      </c>
      <c r="G5583" s="1">
        <v>2.1700000000000001E-2</v>
      </c>
      <c r="I5583" s="1">
        <v>4.8000000000000001E-2</v>
      </c>
      <c r="K5583" s="1">
        <v>0.1421</v>
      </c>
      <c r="L5583" s="1">
        <v>0.71589999999999998</v>
      </c>
    </row>
    <row r="5584" spans="1:12">
      <c r="A5584" s="25" t="s">
        <v>205</v>
      </c>
      <c r="B5584">
        <v>1484</v>
      </c>
      <c r="C5584" t="s">
        <v>189</v>
      </c>
      <c r="D5584">
        <v>10433</v>
      </c>
      <c r="E5584" s="1">
        <v>2.9999999999999997E-4</v>
      </c>
      <c r="F5584" s="1">
        <v>2E-3</v>
      </c>
      <c r="G5584" s="1">
        <v>1.04E-2</v>
      </c>
      <c r="H5584" s="1">
        <v>2.2000000000000001E-3</v>
      </c>
      <c r="I5584" s="1">
        <v>2.0400000000000001E-2</v>
      </c>
      <c r="J5584" s="1">
        <v>3.5000000000000001E-3</v>
      </c>
      <c r="K5584" s="1">
        <v>3.8100000000000002E-2</v>
      </c>
      <c r="L5584" s="1">
        <v>0.92320000000000002</v>
      </c>
    </row>
    <row r="5585" spans="1:12">
      <c r="A5585" s="25" t="s">
        <v>192</v>
      </c>
      <c r="B5585">
        <v>10433</v>
      </c>
      <c r="C5585" t="s">
        <v>192</v>
      </c>
      <c r="D5585">
        <v>10433</v>
      </c>
      <c r="E5585" s="1">
        <v>6.9999999999999999E-4</v>
      </c>
      <c r="F5585" s="1">
        <v>2E-3</v>
      </c>
      <c r="G5585" s="1">
        <v>2.23E-2</v>
      </c>
      <c r="H5585" s="1">
        <v>6.3E-3</v>
      </c>
      <c r="I5585" s="1">
        <v>6.7900000000000002E-2</v>
      </c>
      <c r="J5585" s="1">
        <v>5.3E-3</v>
      </c>
      <c r="K5585" s="1">
        <v>9.6600000000000005E-2</v>
      </c>
      <c r="L5585" s="1">
        <v>0.79879999999999995</v>
      </c>
    </row>
    <row r="5587" spans="1:12" ht="43.5">
      <c r="A5587" s="25" t="s">
        <v>1574</v>
      </c>
    </row>
    <row r="5588" spans="1:12">
      <c r="A5588" s="25" t="s">
        <v>182</v>
      </c>
      <c r="B5588" t="s">
        <v>219</v>
      </c>
      <c r="C5588" t="s">
        <v>181</v>
      </c>
      <c r="D5588" t="s">
        <v>188</v>
      </c>
      <c r="E5588" t="s">
        <v>241</v>
      </c>
      <c r="F5588" t="s">
        <v>243</v>
      </c>
      <c r="G5588" t="s">
        <v>1565</v>
      </c>
      <c r="H5588" t="s">
        <v>1566</v>
      </c>
      <c r="I5588" t="s">
        <v>1567</v>
      </c>
      <c r="J5588" t="s">
        <v>1568</v>
      </c>
      <c r="K5588" t="s">
        <v>1569</v>
      </c>
      <c r="L5588" t="s">
        <v>1570</v>
      </c>
    </row>
    <row r="5589" spans="1:12">
      <c r="A5589" s="25" t="s">
        <v>207</v>
      </c>
      <c r="B5589">
        <v>7253</v>
      </c>
      <c r="C5589" t="s">
        <v>189</v>
      </c>
      <c r="D5589">
        <v>10433</v>
      </c>
      <c r="E5589" s="1">
        <v>5.0000000000000001E-4</v>
      </c>
      <c r="F5589" s="1">
        <v>2.0999999999999999E-3</v>
      </c>
      <c r="G5589" s="1">
        <v>1.9900000000000001E-2</v>
      </c>
      <c r="H5589" s="1">
        <v>5.1999999999999998E-3</v>
      </c>
      <c r="I5589" s="1">
        <v>6.0100000000000001E-2</v>
      </c>
      <c r="J5589" s="1">
        <v>6.0000000000000001E-3</v>
      </c>
      <c r="K5589" s="1">
        <v>9.7299999999999998E-2</v>
      </c>
      <c r="L5589" s="1">
        <v>0.80900000000000005</v>
      </c>
    </row>
    <row r="5590" spans="1:12">
      <c r="A5590" s="25" t="s">
        <v>208</v>
      </c>
      <c r="B5590">
        <v>2245</v>
      </c>
      <c r="C5590" t="s">
        <v>189</v>
      </c>
      <c r="D5590">
        <v>10433</v>
      </c>
      <c r="E5590" s="1">
        <v>1.9E-3</v>
      </c>
      <c r="F5590" s="1">
        <v>2.5999999999999999E-3</v>
      </c>
      <c r="G5590" s="1">
        <v>2.8500000000000001E-2</v>
      </c>
      <c r="H5590" s="1">
        <v>7.9000000000000008E-3</v>
      </c>
      <c r="I5590" s="1">
        <v>9.6299999999999997E-2</v>
      </c>
      <c r="J5590" s="1">
        <v>2.2000000000000001E-3</v>
      </c>
      <c r="K5590" s="1">
        <v>7.17E-2</v>
      </c>
      <c r="L5590" s="1">
        <v>0.78890000000000005</v>
      </c>
    </row>
    <row r="5591" spans="1:12">
      <c r="A5591" s="25" t="s">
        <v>209</v>
      </c>
      <c r="B5591">
        <v>935</v>
      </c>
      <c r="C5591" t="s">
        <v>189</v>
      </c>
      <c r="D5591">
        <v>10433</v>
      </c>
      <c r="G5591" s="1">
        <v>2.6100000000000002E-2</v>
      </c>
      <c r="H5591" s="1">
        <v>1.14E-2</v>
      </c>
      <c r="I5591" s="1">
        <v>5.6599999999999998E-2</v>
      </c>
      <c r="J5591" s="1">
        <v>7.9000000000000008E-3</v>
      </c>
      <c r="K5591" s="1">
        <v>0.16170000000000001</v>
      </c>
      <c r="L5591" s="1">
        <v>0.73629999999999995</v>
      </c>
    </row>
    <row r="5592" spans="1:12">
      <c r="A5592" s="25" t="s">
        <v>192</v>
      </c>
      <c r="B5592">
        <v>10433</v>
      </c>
      <c r="C5592" t="s">
        <v>192</v>
      </c>
      <c r="D5592">
        <v>10433</v>
      </c>
      <c r="E5592" s="1">
        <v>6.9999999999999999E-4</v>
      </c>
      <c r="F5592" s="1">
        <v>2E-3</v>
      </c>
      <c r="G5592" s="1">
        <v>2.23E-2</v>
      </c>
      <c r="H5592" s="1">
        <v>6.3E-3</v>
      </c>
      <c r="I5592" s="1">
        <v>6.7900000000000002E-2</v>
      </c>
      <c r="J5592" s="1">
        <v>5.3E-3</v>
      </c>
      <c r="K5592" s="1">
        <v>9.6600000000000005E-2</v>
      </c>
      <c r="L5592" s="1">
        <v>0.79879999999999995</v>
      </c>
    </row>
    <row r="5594" spans="1:12" ht="43.5">
      <c r="A5594" s="25" t="s">
        <v>1575</v>
      </c>
    </row>
    <row r="5595" spans="1:12">
      <c r="A5595" s="25" t="s">
        <v>182</v>
      </c>
      <c r="B5595" t="s">
        <v>219</v>
      </c>
      <c r="C5595" t="s">
        <v>181</v>
      </c>
      <c r="D5595" t="s">
        <v>188</v>
      </c>
      <c r="E5595" t="s">
        <v>241</v>
      </c>
      <c r="F5595" t="s">
        <v>243</v>
      </c>
      <c r="G5595" t="s">
        <v>1565</v>
      </c>
      <c r="H5595" t="s">
        <v>1566</v>
      </c>
      <c r="I5595" t="s">
        <v>1567</v>
      </c>
      <c r="J5595" t="s">
        <v>1568</v>
      </c>
      <c r="K5595" t="s">
        <v>1569</v>
      </c>
      <c r="L5595" t="s">
        <v>1570</v>
      </c>
    </row>
    <row r="5596" spans="1:12">
      <c r="A5596" s="25" t="s">
        <v>211</v>
      </c>
      <c r="B5596">
        <v>4971</v>
      </c>
      <c r="C5596" t="s">
        <v>189</v>
      </c>
      <c r="D5596">
        <v>10433</v>
      </c>
      <c r="E5596" s="1">
        <v>6.9999999999999999E-4</v>
      </c>
      <c r="F5596" s="1">
        <v>1.5E-3</v>
      </c>
      <c r="G5596" s="1">
        <v>2.1600000000000001E-2</v>
      </c>
      <c r="H5596" s="1">
        <v>5.8999999999999999E-3</v>
      </c>
      <c r="I5596" s="1">
        <v>6.2399999999999997E-2</v>
      </c>
      <c r="J5596" s="1">
        <v>5.0000000000000001E-3</v>
      </c>
      <c r="K5596" s="1">
        <v>0.1062</v>
      </c>
      <c r="L5596" s="1">
        <v>0.79679999999999995</v>
      </c>
    </row>
    <row r="5597" spans="1:12">
      <c r="A5597" s="25" t="s">
        <v>212</v>
      </c>
      <c r="B5597">
        <v>3376</v>
      </c>
      <c r="C5597" t="s">
        <v>189</v>
      </c>
      <c r="D5597">
        <v>10433</v>
      </c>
      <c r="E5597" s="1">
        <v>4.0000000000000002E-4</v>
      </c>
      <c r="F5597" s="1">
        <v>2.8999999999999998E-3</v>
      </c>
      <c r="G5597" s="1">
        <v>2.4899999999999999E-2</v>
      </c>
      <c r="H5597" s="1">
        <v>8.0000000000000002E-3</v>
      </c>
      <c r="I5597" s="1">
        <v>7.7499999999999999E-2</v>
      </c>
      <c r="J5597" s="1">
        <v>5.5999999999999999E-3</v>
      </c>
      <c r="K5597" s="1">
        <v>7.6200000000000004E-2</v>
      </c>
      <c r="L5597" s="1">
        <v>0.80449999999999999</v>
      </c>
    </row>
    <row r="5598" spans="1:12">
      <c r="A5598" s="25" t="s">
        <v>213</v>
      </c>
      <c r="B5598">
        <v>2086</v>
      </c>
      <c r="C5598" t="s">
        <v>189</v>
      </c>
      <c r="D5598">
        <v>10433</v>
      </c>
      <c r="E5598" s="1">
        <v>1.2999999999999999E-3</v>
      </c>
      <c r="F5598" s="1">
        <v>1.9E-3</v>
      </c>
      <c r="G5598" s="1">
        <v>2.0199999999999999E-2</v>
      </c>
      <c r="H5598" s="1">
        <v>4.5999999999999999E-3</v>
      </c>
      <c r="I5598" s="1">
        <v>6.6100000000000006E-2</v>
      </c>
      <c r="J5598" s="1">
        <v>5.7000000000000002E-3</v>
      </c>
      <c r="K5598" s="1">
        <v>0.1052</v>
      </c>
      <c r="L5598" s="1">
        <v>0.79500000000000004</v>
      </c>
    </row>
    <row r="5599" spans="1:12">
      <c r="A5599" s="25" t="s">
        <v>192</v>
      </c>
      <c r="B5599">
        <v>10433</v>
      </c>
      <c r="C5599" t="s">
        <v>192</v>
      </c>
      <c r="D5599">
        <v>10433</v>
      </c>
      <c r="E5599" s="1">
        <v>6.9999999999999999E-4</v>
      </c>
      <c r="F5599" s="1">
        <v>2E-3</v>
      </c>
      <c r="G5599" s="1">
        <v>2.23E-2</v>
      </c>
      <c r="H5599" s="1">
        <v>6.3E-3</v>
      </c>
      <c r="I5599" s="1">
        <v>6.7900000000000002E-2</v>
      </c>
      <c r="J5599" s="1">
        <v>5.3E-3</v>
      </c>
      <c r="K5599" s="1">
        <v>9.6600000000000005E-2</v>
      </c>
      <c r="L5599" s="1">
        <v>0.79879999999999995</v>
      </c>
    </row>
    <row r="5601" spans="1:14" ht="29.1">
      <c r="A5601" s="25" t="s">
        <v>1576</v>
      </c>
    </row>
    <row r="5602" spans="1:14">
      <c r="A5602" s="25" t="s">
        <v>182</v>
      </c>
      <c r="B5602" t="s">
        <v>219</v>
      </c>
      <c r="C5602" t="s">
        <v>181</v>
      </c>
      <c r="D5602" t="s">
        <v>188</v>
      </c>
      <c r="E5602" t="s">
        <v>241</v>
      </c>
      <c r="F5602" t="s">
        <v>1577</v>
      </c>
      <c r="G5602" t="s">
        <v>1578</v>
      </c>
      <c r="H5602" t="s">
        <v>243</v>
      </c>
      <c r="I5602" t="s">
        <v>1579</v>
      </c>
      <c r="J5602" t="s">
        <v>1580</v>
      </c>
      <c r="K5602" t="s">
        <v>1581</v>
      </c>
      <c r="L5602" t="s">
        <v>1582</v>
      </c>
      <c r="M5602" t="s">
        <v>1583</v>
      </c>
      <c r="N5602" t="s">
        <v>1584</v>
      </c>
    </row>
    <row r="5603" spans="1:14">
      <c r="A5603" s="25" t="s">
        <v>190</v>
      </c>
      <c r="B5603">
        <v>3977</v>
      </c>
      <c r="C5603" t="s">
        <v>189</v>
      </c>
      <c r="D5603">
        <v>6061</v>
      </c>
      <c r="E5603" s="1">
        <v>4.0000000000000001E-3</v>
      </c>
      <c r="F5603" s="1">
        <v>0.26869999999999999</v>
      </c>
      <c r="G5603" s="1">
        <v>0.6169</v>
      </c>
      <c r="H5603" s="1">
        <v>8.0000000000000004E-4</v>
      </c>
      <c r="I5603" s="1">
        <v>8.0000000000000002E-3</v>
      </c>
      <c r="J5603" s="1">
        <v>8.9999999999999998E-4</v>
      </c>
      <c r="K5603" s="1">
        <v>8.0699999999999994E-2</v>
      </c>
      <c r="L5603" s="1">
        <v>8.0000000000000004E-4</v>
      </c>
      <c r="M5603" s="1">
        <v>1.3599999999999999E-2</v>
      </c>
      <c r="N5603" s="1">
        <v>5.5999999999999999E-3</v>
      </c>
    </row>
    <row r="5604" spans="1:14">
      <c r="A5604" s="25" t="s">
        <v>191</v>
      </c>
      <c r="B5604">
        <v>2051</v>
      </c>
      <c r="C5604" t="s">
        <v>189</v>
      </c>
      <c r="D5604">
        <v>6061</v>
      </c>
      <c r="E5604" s="1">
        <v>8.8000000000000005E-3</v>
      </c>
      <c r="F5604" s="1">
        <v>0.13719999999999999</v>
      </c>
      <c r="G5604" s="1">
        <v>0.6794</v>
      </c>
      <c r="H5604" s="1">
        <v>8.9999999999999998E-4</v>
      </c>
      <c r="I5604" s="1">
        <v>1.2800000000000001E-2</v>
      </c>
      <c r="J5604" s="1">
        <v>3.8999999999999998E-3</v>
      </c>
      <c r="K5604" s="1">
        <v>0.152</v>
      </c>
      <c r="M5604" s="1">
        <v>1.9E-3</v>
      </c>
      <c r="N5604" s="1">
        <v>3.3E-3</v>
      </c>
    </row>
    <row r="5605" spans="1:14">
      <c r="A5605" s="25" t="s">
        <v>192</v>
      </c>
      <c r="B5605">
        <v>6061</v>
      </c>
      <c r="C5605" t="s">
        <v>192</v>
      </c>
      <c r="D5605">
        <v>6061</v>
      </c>
      <c r="E5605" s="1">
        <v>5.5999999999999999E-3</v>
      </c>
      <c r="F5605" s="1">
        <v>0.2253</v>
      </c>
      <c r="G5605" s="1">
        <v>0.63759999999999994</v>
      </c>
      <c r="H5605" s="1">
        <v>8.0000000000000004E-4</v>
      </c>
      <c r="I5605" s="1">
        <v>9.4999999999999998E-3</v>
      </c>
      <c r="J5605" s="1">
        <v>1.9E-3</v>
      </c>
      <c r="K5605" s="1">
        <v>0.1042</v>
      </c>
      <c r="L5605" s="1">
        <v>5.0000000000000001E-4</v>
      </c>
      <c r="M5605" s="1">
        <v>9.7000000000000003E-3</v>
      </c>
      <c r="N5605" s="1">
        <v>4.7999999999999996E-3</v>
      </c>
    </row>
    <row r="5607" spans="1:14" ht="43.5">
      <c r="A5607" s="25" t="s">
        <v>1585</v>
      </c>
    </row>
    <row r="5608" spans="1:14">
      <c r="A5608" s="25" t="s">
        <v>182</v>
      </c>
      <c r="B5608" t="s">
        <v>219</v>
      </c>
      <c r="C5608" t="s">
        <v>181</v>
      </c>
      <c r="D5608" t="s">
        <v>188</v>
      </c>
      <c r="E5608" t="s">
        <v>241</v>
      </c>
      <c r="F5608" t="s">
        <v>1577</v>
      </c>
      <c r="G5608" t="s">
        <v>1578</v>
      </c>
      <c r="H5608" t="s">
        <v>243</v>
      </c>
      <c r="I5608" t="s">
        <v>1579</v>
      </c>
      <c r="J5608" t="s">
        <v>1580</v>
      </c>
      <c r="K5608" t="s">
        <v>1581</v>
      </c>
      <c r="L5608" t="s">
        <v>1582</v>
      </c>
      <c r="M5608" t="s">
        <v>1583</v>
      </c>
      <c r="N5608" t="s">
        <v>1584</v>
      </c>
    </row>
    <row r="5609" spans="1:14" ht="29.1">
      <c r="A5609" s="25" t="s">
        <v>194</v>
      </c>
      <c r="B5609">
        <v>3591</v>
      </c>
      <c r="C5609" t="s">
        <v>189</v>
      </c>
      <c r="D5609">
        <v>6061</v>
      </c>
      <c r="E5609" s="1">
        <v>6.4000000000000003E-3</v>
      </c>
      <c r="F5609" s="1">
        <v>0.23469999999999999</v>
      </c>
      <c r="G5609" s="1">
        <v>0.62509999999999999</v>
      </c>
      <c r="H5609" s="1">
        <v>1E-3</v>
      </c>
      <c r="I5609" s="1">
        <v>1.0500000000000001E-2</v>
      </c>
      <c r="J5609" s="1">
        <v>1.4E-3</v>
      </c>
      <c r="K5609" s="1">
        <v>0.1046</v>
      </c>
      <c r="L5609" s="1">
        <v>5.9999999999999995E-4</v>
      </c>
      <c r="M5609" s="1">
        <v>9.9000000000000008E-3</v>
      </c>
      <c r="N5609" s="1">
        <v>5.7000000000000002E-3</v>
      </c>
    </row>
    <row r="5610" spans="1:14" ht="29.1">
      <c r="A5610" s="25" t="s">
        <v>195</v>
      </c>
      <c r="B5610">
        <v>1639</v>
      </c>
      <c r="C5610" t="s">
        <v>189</v>
      </c>
      <c r="D5610">
        <v>6061</v>
      </c>
      <c r="E5610" s="1">
        <v>2.5000000000000001E-3</v>
      </c>
      <c r="F5610" s="1">
        <v>0.2082</v>
      </c>
      <c r="G5610" s="1">
        <v>0.68669999999999998</v>
      </c>
      <c r="I5610" s="1">
        <v>6.1000000000000004E-3</v>
      </c>
      <c r="J5610" s="1">
        <v>3.8999999999999998E-3</v>
      </c>
      <c r="K5610" s="1">
        <v>8.1799999999999998E-2</v>
      </c>
      <c r="L5610" s="1">
        <v>2.0000000000000001E-4</v>
      </c>
      <c r="M5610" s="1">
        <v>9.7000000000000003E-3</v>
      </c>
      <c r="N5610" s="1">
        <v>1E-3</v>
      </c>
    </row>
    <row r="5611" spans="1:14" ht="29.1">
      <c r="A5611" s="25" t="s">
        <v>196</v>
      </c>
      <c r="B5611">
        <v>798</v>
      </c>
      <c r="C5611" t="s">
        <v>189</v>
      </c>
      <c r="D5611">
        <v>6061</v>
      </c>
      <c r="E5611" s="1">
        <v>4.5999999999999999E-3</v>
      </c>
      <c r="F5611" s="1">
        <v>0.16539999999999999</v>
      </c>
      <c r="G5611" s="1">
        <v>0.63300000000000001</v>
      </c>
      <c r="H5611" s="1">
        <v>5.0000000000000001E-4</v>
      </c>
      <c r="I5611" s="1">
        <v>9.4999999999999998E-3</v>
      </c>
      <c r="J5611" s="1">
        <v>1.4E-3</v>
      </c>
      <c r="K5611" s="1">
        <v>0.17180000000000001</v>
      </c>
      <c r="M5611" s="1">
        <v>7.9000000000000008E-3</v>
      </c>
      <c r="N5611" s="1">
        <v>5.7999999999999996E-3</v>
      </c>
    </row>
    <row r="5612" spans="1:14">
      <c r="A5612" s="25" t="s">
        <v>192</v>
      </c>
      <c r="B5612">
        <v>6061</v>
      </c>
      <c r="C5612" t="s">
        <v>192</v>
      </c>
      <c r="D5612">
        <v>6061</v>
      </c>
      <c r="E5612" s="1">
        <v>5.5999999999999999E-3</v>
      </c>
      <c r="F5612" s="1">
        <v>0.2253</v>
      </c>
      <c r="G5612" s="1">
        <v>0.63759999999999994</v>
      </c>
      <c r="H5612" s="1">
        <v>8.0000000000000004E-4</v>
      </c>
      <c r="I5612" s="1">
        <v>9.4999999999999998E-3</v>
      </c>
      <c r="J5612" s="1">
        <v>1.9E-3</v>
      </c>
      <c r="K5612" s="1">
        <v>0.1042</v>
      </c>
      <c r="L5612" s="1">
        <v>5.0000000000000001E-4</v>
      </c>
      <c r="M5612" s="1">
        <v>9.7000000000000003E-3</v>
      </c>
      <c r="N5612" s="1">
        <v>4.7999999999999996E-3</v>
      </c>
    </row>
    <row r="5614" spans="1:14" ht="43.5">
      <c r="A5614" s="25" t="s">
        <v>1586</v>
      </c>
    </row>
    <row r="5615" spans="1:14">
      <c r="A5615" s="25" t="s">
        <v>182</v>
      </c>
      <c r="B5615" t="s">
        <v>219</v>
      </c>
      <c r="C5615" t="s">
        <v>181</v>
      </c>
      <c r="D5615" t="s">
        <v>188</v>
      </c>
      <c r="E5615" t="s">
        <v>241</v>
      </c>
      <c r="F5615" t="s">
        <v>1577</v>
      </c>
      <c r="G5615" t="s">
        <v>1578</v>
      </c>
      <c r="H5615" t="s">
        <v>243</v>
      </c>
      <c r="I5615" t="s">
        <v>1579</v>
      </c>
      <c r="J5615" t="s">
        <v>1580</v>
      </c>
      <c r="K5615" t="s">
        <v>1581</v>
      </c>
      <c r="L5615" t="s">
        <v>1582</v>
      </c>
      <c r="M5615" t="s">
        <v>1583</v>
      </c>
      <c r="N5615" t="s">
        <v>1584</v>
      </c>
    </row>
    <row r="5616" spans="1:14">
      <c r="A5616" s="25" t="s">
        <v>198</v>
      </c>
      <c r="B5616">
        <v>1457</v>
      </c>
      <c r="C5616" t="s">
        <v>189</v>
      </c>
      <c r="D5616">
        <v>6061</v>
      </c>
      <c r="E5616" s="1">
        <v>8.5000000000000006E-3</v>
      </c>
      <c r="F5616" s="1">
        <v>0.28139999999999998</v>
      </c>
      <c r="G5616" s="1">
        <v>0.51390000000000002</v>
      </c>
      <c r="H5616" s="1">
        <v>2.5000000000000001E-3</v>
      </c>
      <c r="I5616" s="1">
        <v>1.14E-2</v>
      </c>
      <c r="J5616" s="1">
        <v>2.8E-3</v>
      </c>
      <c r="K5616" s="1">
        <v>0.15989999999999999</v>
      </c>
      <c r="L5616" s="1">
        <v>2.0000000000000001E-4</v>
      </c>
      <c r="M5616" s="1">
        <v>1.1900000000000001E-2</v>
      </c>
      <c r="N5616" s="1">
        <v>7.4999999999999997E-3</v>
      </c>
    </row>
    <row r="5617" spans="1:14">
      <c r="A5617" s="25" t="s">
        <v>199</v>
      </c>
      <c r="B5617">
        <v>4604</v>
      </c>
      <c r="C5617" t="s">
        <v>189</v>
      </c>
      <c r="D5617">
        <v>6061</v>
      </c>
      <c r="E5617" s="1">
        <v>4.7000000000000002E-3</v>
      </c>
      <c r="F5617" s="1">
        <v>0.2099</v>
      </c>
      <c r="G5617" s="1">
        <v>0.67179999999999995</v>
      </c>
      <c r="H5617" s="1">
        <v>2.9999999999999997E-4</v>
      </c>
      <c r="I5617" s="1">
        <v>8.9999999999999993E-3</v>
      </c>
      <c r="J5617" s="1">
        <v>1.6000000000000001E-3</v>
      </c>
      <c r="K5617" s="1">
        <v>8.8800000000000004E-2</v>
      </c>
      <c r="L5617" s="1">
        <v>5.9999999999999995E-4</v>
      </c>
      <c r="M5617" s="1">
        <v>9.1000000000000004E-3</v>
      </c>
      <c r="N5617" s="1">
        <v>4.1000000000000003E-3</v>
      </c>
    </row>
    <row r="5618" spans="1:14">
      <c r="A5618" s="25" t="s">
        <v>192</v>
      </c>
      <c r="B5618">
        <v>6061</v>
      </c>
      <c r="C5618" t="s">
        <v>192</v>
      </c>
      <c r="D5618">
        <v>6061</v>
      </c>
      <c r="E5618" s="1">
        <v>5.5999999999999999E-3</v>
      </c>
      <c r="F5618" s="1">
        <v>0.2253</v>
      </c>
      <c r="G5618" s="1">
        <v>0.63759999999999994</v>
      </c>
      <c r="H5618" s="1">
        <v>8.0000000000000004E-4</v>
      </c>
      <c r="I5618" s="1">
        <v>9.4999999999999998E-3</v>
      </c>
      <c r="J5618" s="1">
        <v>1.9E-3</v>
      </c>
      <c r="K5618" s="1">
        <v>0.1042</v>
      </c>
      <c r="L5618" s="1">
        <v>5.0000000000000001E-4</v>
      </c>
      <c r="M5618" s="1">
        <v>9.7000000000000003E-3</v>
      </c>
      <c r="N5618" s="1">
        <v>4.7999999999999996E-3</v>
      </c>
    </row>
    <row r="5620" spans="1:14" ht="43.5">
      <c r="A5620" s="25" t="s">
        <v>1587</v>
      </c>
    </row>
    <row r="5621" spans="1:14">
      <c r="A5621" s="25" t="s">
        <v>182</v>
      </c>
      <c r="B5621" t="s">
        <v>219</v>
      </c>
      <c r="C5621" t="s">
        <v>181</v>
      </c>
      <c r="D5621" t="s">
        <v>188</v>
      </c>
      <c r="E5621" t="s">
        <v>241</v>
      </c>
      <c r="F5621" t="s">
        <v>1577</v>
      </c>
      <c r="G5621" t="s">
        <v>1578</v>
      </c>
      <c r="H5621" t="s">
        <v>243</v>
      </c>
      <c r="I5621" t="s">
        <v>1579</v>
      </c>
      <c r="J5621" t="s">
        <v>1580</v>
      </c>
      <c r="K5621" t="s">
        <v>1581</v>
      </c>
      <c r="L5621" t="s">
        <v>1582</v>
      </c>
      <c r="M5621" t="s">
        <v>1583</v>
      </c>
      <c r="N5621" t="s">
        <v>1584</v>
      </c>
    </row>
    <row r="5622" spans="1:14">
      <c r="A5622" s="25" t="s">
        <v>201</v>
      </c>
      <c r="B5622">
        <v>346</v>
      </c>
      <c r="C5622" t="s">
        <v>189</v>
      </c>
      <c r="D5622">
        <v>6061</v>
      </c>
      <c r="E5622" s="1">
        <v>4.7699999999999999E-2</v>
      </c>
      <c r="F5622" s="1">
        <v>0.30280000000000001</v>
      </c>
      <c r="G5622" s="1">
        <v>0.48270000000000002</v>
      </c>
      <c r="I5622" s="1">
        <v>1.44E-2</v>
      </c>
      <c r="J5622" s="1">
        <v>7.7000000000000002E-3</v>
      </c>
      <c r="K5622" s="1">
        <v>0.1321</v>
      </c>
      <c r="M5622" s="1">
        <v>7.6E-3</v>
      </c>
      <c r="N5622" s="1">
        <v>5.1000000000000004E-3</v>
      </c>
    </row>
    <row r="5623" spans="1:14">
      <c r="A5623" s="25" t="s">
        <v>202</v>
      </c>
      <c r="B5623">
        <v>50</v>
      </c>
      <c r="C5623" t="s">
        <v>189</v>
      </c>
      <c r="D5623">
        <v>6061</v>
      </c>
      <c r="E5623" s="1">
        <v>1.5800000000000002E-2</v>
      </c>
      <c r="F5623" s="1">
        <v>0.13969999999999999</v>
      </c>
      <c r="G5623" s="1">
        <v>0.77180000000000004</v>
      </c>
      <c r="K5623" s="1">
        <v>5.4699999999999999E-2</v>
      </c>
      <c r="M5623" s="1">
        <v>8.2000000000000007E-3</v>
      </c>
      <c r="N5623" s="1">
        <v>9.9000000000000008E-3</v>
      </c>
    </row>
    <row r="5624" spans="1:14">
      <c r="A5624" s="25" t="s">
        <v>203</v>
      </c>
      <c r="B5624">
        <v>5014</v>
      </c>
      <c r="C5624" t="s">
        <v>189</v>
      </c>
      <c r="D5624">
        <v>6061</v>
      </c>
      <c r="E5624" s="1">
        <v>3.3E-3</v>
      </c>
      <c r="F5624" s="1">
        <v>0.22550000000000001</v>
      </c>
      <c r="G5624" s="1">
        <v>0.64290000000000003</v>
      </c>
      <c r="H5624" s="1">
        <v>5.9999999999999995E-4</v>
      </c>
      <c r="I5624" s="1">
        <v>7.3000000000000001E-3</v>
      </c>
      <c r="J5624" s="1">
        <v>1.6999999999999999E-3</v>
      </c>
      <c r="K5624" s="1">
        <v>0.10390000000000001</v>
      </c>
      <c r="L5624" s="1">
        <v>5.9999999999999995E-4</v>
      </c>
      <c r="M5624" s="1">
        <v>1.03E-2</v>
      </c>
      <c r="N5624" s="1">
        <v>3.8999999999999998E-3</v>
      </c>
    </row>
    <row r="5625" spans="1:14">
      <c r="A5625" s="25" t="s">
        <v>204</v>
      </c>
      <c r="B5625">
        <v>11</v>
      </c>
      <c r="C5625" t="s">
        <v>189</v>
      </c>
      <c r="D5625">
        <v>6061</v>
      </c>
      <c r="F5625" s="1">
        <v>0.47549999999999998</v>
      </c>
      <c r="G5625" s="1">
        <v>0.3553</v>
      </c>
      <c r="H5625" s="1">
        <v>0.1691</v>
      </c>
    </row>
    <row r="5626" spans="1:14">
      <c r="A5626" s="25" t="s">
        <v>205</v>
      </c>
      <c r="B5626">
        <v>640</v>
      </c>
      <c r="C5626" t="s">
        <v>189</v>
      </c>
      <c r="D5626">
        <v>6061</v>
      </c>
      <c r="E5626" s="1">
        <v>1.01E-2</v>
      </c>
      <c r="F5626" s="1">
        <v>0.1812</v>
      </c>
      <c r="G5626" s="1">
        <v>0.65200000000000002</v>
      </c>
      <c r="H5626" s="1">
        <v>4.0000000000000002E-4</v>
      </c>
      <c r="I5626" s="1">
        <v>3.56E-2</v>
      </c>
      <c r="J5626" s="1">
        <v>1.6999999999999999E-3</v>
      </c>
      <c r="K5626" s="1">
        <v>9.9099999999999994E-2</v>
      </c>
      <c r="M5626" s="1">
        <v>4.3E-3</v>
      </c>
      <c r="N5626" s="1">
        <v>1.5599999999999999E-2</v>
      </c>
    </row>
    <row r="5627" spans="1:14">
      <c r="A5627" s="25" t="s">
        <v>192</v>
      </c>
      <c r="B5627">
        <v>6061</v>
      </c>
      <c r="C5627" t="s">
        <v>192</v>
      </c>
      <c r="D5627">
        <v>6061</v>
      </c>
      <c r="E5627" s="1">
        <v>5.5999999999999999E-3</v>
      </c>
      <c r="F5627" s="1">
        <v>0.2253</v>
      </c>
      <c r="G5627" s="1">
        <v>0.63759999999999994</v>
      </c>
      <c r="H5627" s="1">
        <v>8.0000000000000004E-4</v>
      </c>
      <c r="I5627" s="1">
        <v>9.4999999999999998E-3</v>
      </c>
      <c r="J5627" s="1">
        <v>1.9E-3</v>
      </c>
      <c r="K5627" s="1">
        <v>0.1042</v>
      </c>
      <c r="L5627" s="1">
        <v>5.0000000000000001E-4</v>
      </c>
      <c r="M5627" s="1">
        <v>9.7000000000000003E-3</v>
      </c>
      <c r="N5627" s="1">
        <v>4.7999999999999996E-3</v>
      </c>
    </row>
    <row r="5629" spans="1:14" ht="43.5">
      <c r="A5629" s="25" t="s">
        <v>1588</v>
      </c>
    </row>
    <row r="5630" spans="1:14">
      <c r="A5630" s="25" t="s">
        <v>182</v>
      </c>
      <c r="B5630" t="s">
        <v>219</v>
      </c>
      <c r="C5630" t="s">
        <v>181</v>
      </c>
      <c r="D5630" t="s">
        <v>188</v>
      </c>
      <c r="E5630" t="s">
        <v>241</v>
      </c>
      <c r="F5630" t="s">
        <v>1577</v>
      </c>
      <c r="G5630" t="s">
        <v>1578</v>
      </c>
      <c r="H5630" t="s">
        <v>243</v>
      </c>
      <c r="I5630" t="s">
        <v>1579</v>
      </c>
      <c r="J5630" t="s">
        <v>1580</v>
      </c>
      <c r="K5630" t="s">
        <v>1581</v>
      </c>
      <c r="L5630" t="s">
        <v>1582</v>
      </c>
      <c r="M5630" t="s">
        <v>1583</v>
      </c>
      <c r="N5630" t="s">
        <v>1584</v>
      </c>
    </row>
    <row r="5631" spans="1:14">
      <c r="A5631" s="25" t="s">
        <v>207</v>
      </c>
      <c r="B5631">
        <v>4106</v>
      </c>
      <c r="C5631" t="s">
        <v>189</v>
      </c>
      <c r="D5631">
        <v>6061</v>
      </c>
      <c r="E5631" s="1">
        <v>5.3E-3</v>
      </c>
      <c r="F5631" s="1">
        <v>0.20649999999999999</v>
      </c>
      <c r="G5631" s="1">
        <v>0.66610000000000003</v>
      </c>
      <c r="H5631" s="1">
        <v>8.0000000000000004E-4</v>
      </c>
      <c r="I5631" s="1">
        <v>1.0500000000000001E-2</v>
      </c>
      <c r="J5631" s="1">
        <v>1.6999999999999999E-3</v>
      </c>
      <c r="K5631" s="1">
        <v>9.5600000000000004E-2</v>
      </c>
      <c r="L5631" s="1">
        <v>6.9999999999999999E-4</v>
      </c>
      <c r="M5631" s="1">
        <v>9.2999999999999992E-3</v>
      </c>
      <c r="N5631" s="1">
        <v>3.3999999999999998E-3</v>
      </c>
    </row>
    <row r="5632" spans="1:14">
      <c r="A5632" s="25" t="s">
        <v>208</v>
      </c>
      <c r="B5632">
        <v>1288</v>
      </c>
      <c r="C5632" t="s">
        <v>189</v>
      </c>
      <c r="D5632">
        <v>6061</v>
      </c>
      <c r="E5632" s="1">
        <v>7.9000000000000008E-3</v>
      </c>
      <c r="F5632" s="1">
        <v>0.29859999999999998</v>
      </c>
      <c r="G5632" s="1">
        <v>0.52070000000000005</v>
      </c>
      <c r="H5632" s="1">
        <v>1.1000000000000001E-3</v>
      </c>
      <c r="I5632" s="1">
        <v>6.7000000000000002E-3</v>
      </c>
      <c r="J5632" s="1">
        <v>2.7000000000000001E-3</v>
      </c>
      <c r="K5632" s="1">
        <v>0.1429</v>
      </c>
      <c r="M5632" s="1">
        <v>1.35E-2</v>
      </c>
      <c r="N5632" s="1">
        <v>5.8999999999999999E-3</v>
      </c>
    </row>
    <row r="5633" spans="1:14">
      <c r="A5633" s="25" t="s">
        <v>209</v>
      </c>
      <c r="B5633">
        <v>667</v>
      </c>
      <c r="C5633" t="s">
        <v>189</v>
      </c>
      <c r="D5633">
        <v>6061</v>
      </c>
      <c r="E5633" s="1">
        <v>2.3999999999999998E-3</v>
      </c>
      <c r="F5633" s="1">
        <v>0.19670000000000001</v>
      </c>
      <c r="G5633" s="1">
        <v>0.69279999999999997</v>
      </c>
      <c r="I5633" s="1">
        <v>9.4000000000000004E-3</v>
      </c>
      <c r="J5633" s="1">
        <v>1.1000000000000001E-3</v>
      </c>
      <c r="K5633" s="1">
        <v>8.14E-2</v>
      </c>
      <c r="L5633" s="1">
        <v>2.9999999999999997E-4</v>
      </c>
      <c r="M5633" s="1">
        <v>4.7000000000000002E-3</v>
      </c>
      <c r="N5633" s="1">
        <v>1.11E-2</v>
      </c>
    </row>
    <row r="5634" spans="1:14">
      <c r="A5634" s="25" t="s">
        <v>192</v>
      </c>
      <c r="B5634">
        <v>6061</v>
      </c>
      <c r="C5634" t="s">
        <v>192</v>
      </c>
      <c r="D5634">
        <v>6061</v>
      </c>
      <c r="E5634" s="1">
        <v>5.5999999999999999E-3</v>
      </c>
      <c r="F5634" s="1">
        <v>0.2253</v>
      </c>
      <c r="G5634" s="1">
        <v>0.63759999999999994</v>
      </c>
      <c r="H5634" s="1">
        <v>8.0000000000000004E-4</v>
      </c>
      <c r="I5634" s="1">
        <v>9.4999999999999998E-3</v>
      </c>
      <c r="J5634" s="1">
        <v>1.9E-3</v>
      </c>
      <c r="K5634" s="1">
        <v>0.1042</v>
      </c>
      <c r="L5634" s="1">
        <v>5.0000000000000001E-4</v>
      </c>
      <c r="M5634" s="1">
        <v>9.7000000000000003E-3</v>
      </c>
      <c r="N5634" s="1">
        <v>4.7999999999999996E-3</v>
      </c>
    </row>
    <row r="5636" spans="1:14" ht="43.5">
      <c r="A5636" s="25" t="s">
        <v>1589</v>
      </c>
    </row>
    <row r="5637" spans="1:14">
      <c r="A5637" s="25" t="s">
        <v>182</v>
      </c>
      <c r="B5637" t="s">
        <v>219</v>
      </c>
      <c r="C5637" t="s">
        <v>181</v>
      </c>
      <c r="D5637" t="s">
        <v>188</v>
      </c>
      <c r="E5637" t="s">
        <v>241</v>
      </c>
      <c r="F5637" t="s">
        <v>1577</v>
      </c>
      <c r="G5637" t="s">
        <v>1578</v>
      </c>
      <c r="H5637" t="s">
        <v>243</v>
      </c>
      <c r="I5637" t="s">
        <v>1579</v>
      </c>
      <c r="J5637" t="s">
        <v>1580</v>
      </c>
      <c r="K5637" t="s">
        <v>1581</v>
      </c>
      <c r="L5637" t="s">
        <v>1582</v>
      </c>
      <c r="M5637" t="s">
        <v>1583</v>
      </c>
      <c r="N5637" t="s">
        <v>1584</v>
      </c>
    </row>
    <row r="5638" spans="1:14">
      <c r="A5638" s="25" t="s">
        <v>211</v>
      </c>
      <c r="B5638">
        <v>2945</v>
      </c>
      <c r="C5638" t="s">
        <v>189</v>
      </c>
      <c r="D5638">
        <v>6061</v>
      </c>
      <c r="E5638" s="1">
        <v>2.8999999999999998E-3</v>
      </c>
      <c r="F5638" s="1">
        <v>0.20699999999999999</v>
      </c>
      <c r="G5638" s="1">
        <v>0.66790000000000005</v>
      </c>
      <c r="H5638" s="1">
        <v>5.0000000000000001E-4</v>
      </c>
      <c r="I5638" s="1">
        <v>1.0699999999999999E-2</v>
      </c>
      <c r="J5638" s="1">
        <v>2.2000000000000001E-3</v>
      </c>
      <c r="K5638" s="1">
        <v>9.64E-2</v>
      </c>
      <c r="M5638" s="1">
        <v>8.3000000000000001E-3</v>
      </c>
      <c r="N5638" s="1">
        <v>4.1000000000000003E-3</v>
      </c>
    </row>
    <row r="5639" spans="1:14">
      <c r="A5639" s="25" t="s">
        <v>212</v>
      </c>
      <c r="B5639">
        <v>1904</v>
      </c>
      <c r="C5639" t="s">
        <v>189</v>
      </c>
      <c r="D5639">
        <v>6061</v>
      </c>
      <c r="E5639" s="1">
        <v>1.15E-2</v>
      </c>
      <c r="F5639" s="1">
        <v>0.25309999999999999</v>
      </c>
      <c r="G5639" s="1">
        <v>0.57379999999999998</v>
      </c>
      <c r="H5639" s="1">
        <v>8.9999999999999998E-4</v>
      </c>
      <c r="I5639" s="1">
        <v>8.3999999999999995E-3</v>
      </c>
      <c r="J5639" s="1">
        <v>2.2000000000000001E-3</v>
      </c>
      <c r="K5639" s="1">
        <v>0.13239999999999999</v>
      </c>
      <c r="M5639" s="1">
        <v>1.2E-2</v>
      </c>
      <c r="N5639" s="1">
        <v>5.5999999999999999E-3</v>
      </c>
    </row>
    <row r="5640" spans="1:14">
      <c r="A5640" s="25" t="s">
        <v>213</v>
      </c>
      <c r="B5640">
        <v>1212</v>
      </c>
      <c r="C5640" t="s">
        <v>189</v>
      </c>
      <c r="D5640">
        <v>6061</v>
      </c>
      <c r="E5640" s="1">
        <v>2.8999999999999998E-3</v>
      </c>
      <c r="F5640" s="1">
        <v>0.22559999999999999</v>
      </c>
      <c r="G5640" s="1">
        <v>0.66249999999999998</v>
      </c>
      <c r="H5640" s="1">
        <v>1.2999999999999999E-3</v>
      </c>
      <c r="I5640" s="1">
        <v>8.6999999999999994E-3</v>
      </c>
      <c r="J5640" s="1">
        <v>8.0000000000000004E-4</v>
      </c>
      <c r="K5640" s="1">
        <v>8.1199999999999994E-2</v>
      </c>
      <c r="L5640" s="1">
        <v>2.3E-3</v>
      </c>
      <c r="M5640" s="1">
        <v>9.4999999999999998E-3</v>
      </c>
      <c r="N5640" s="1">
        <v>5.3E-3</v>
      </c>
    </row>
    <row r="5641" spans="1:14">
      <c r="A5641" s="25" t="s">
        <v>192</v>
      </c>
      <c r="B5641">
        <v>6061</v>
      </c>
      <c r="C5641" t="s">
        <v>192</v>
      </c>
      <c r="D5641">
        <v>6061</v>
      </c>
      <c r="E5641" s="1">
        <v>5.5999999999999999E-3</v>
      </c>
      <c r="F5641" s="1">
        <v>0.2253</v>
      </c>
      <c r="G5641" s="1">
        <v>0.63759999999999994</v>
      </c>
      <c r="H5641" s="1">
        <v>8.0000000000000004E-4</v>
      </c>
      <c r="I5641" s="1">
        <v>9.4999999999999998E-3</v>
      </c>
      <c r="J5641" s="1">
        <v>1.9E-3</v>
      </c>
      <c r="K5641" s="1">
        <v>0.1042</v>
      </c>
      <c r="L5641" s="1">
        <v>5.0000000000000001E-4</v>
      </c>
      <c r="M5641" s="1">
        <v>9.7000000000000003E-3</v>
      </c>
      <c r="N5641" s="1">
        <v>4.7999999999999996E-3</v>
      </c>
    </row>
    <row r="5643" spans="1:14" ht="43.5">
      <c r="A5643" s="25" t="s">
        <v>1590</v>
      </c>
    </row>
    <row r="5644" spans="1:14">
      <c r="A5644" s="25" t="s">
        <v>182</v>
      </c>
      <c r="B5644" t="s">
        <v>219</v>
      </c>
      <c r="C5644" t="s">
        <v>181</v>
      </c>
      <c r="D5644" t="s">
        <v>188</v>
      </c>
      <c r="E5644" t="s">
        <v>241</v>
      </c>
      <c r="F5644" t="s">
        <v>220</v>
      </c>
      <c r="G5644" t="s">
        <v>243</v>
      </c>
      <c r="H5644" t="s">
        <v>221</v>
      </c>
    </row>
    <row r="5645" spans="1:14">
      <c r="A5645" s="25" t="s">
        <v>190</v>
      </c>
      <c r="B5645">
        <v>4903</v>
      </c>
      <c r="C5645" t="s">
        <v>189</v>
      </c>
      <c r="D5645">
        <v>10434</v>
      </c>
      <c r="E5645" s="1">
        <v>5.1000000000000004E-3</v>
      </c>
      <c r="F5645" s="1">
        <v>0.60940000000000005</v>
      </c>
      <c r="G5645" s="1">
        <v>6.1999999999999998E-3</v>
      </c>
      <c r="H5645" s="1">
        <v>0.37930000000000003</v>
      </c>
    </row>
    <row r="5646" spans="1:14">
      <c r="A5646" s="25" t="s">
        <v>191</v>
      </c>
      <c r="B5646">
        <v>5474</v>
      </c>
      <c r="C5646" t="s">
        <v>189</v>
      </c>
      <c r="D5646">
        <v>10434</v>
      </c>
      <c r="E5646" s="1">
        <v>7.0000000000000001E-3</v>
      </c>
      <c r="F5646" s="1">
        <v>0.66010000000000002</v>
      </c>
      <c r="G5646" s="1">
        <v>3.8999999999999998E-3</v>
      </c>
      <c r="H5646" s="1">
        <v>0.32900000000000001</v>
      </c>
    </row>
    <row r="5647" spans="1:14">
      <c r="A5647" s="25" t="s">
        <v>192</v>
      </c>
      <c r="B5647">
        <v>10434</v>
      </c>
      <c r="C5647" t="s">
        <v>192</v>
      </c>
      <c r="D5647">
        <v>10434</v>
      </c>
      <c r="E5647" s="1">
        <v>6.3E-3</v>
      </c>
      <c r="F5647" s="1">
        <v>0.64070000000000005</v>
      </c>
      <c r="G5647" s="1">
        <v>4.7000000000000002E-3</v>
      </c>
      <c r="H5647" s="1">
        <v>0.34820000000000001</v>
      </c>
    </row>
    <row r="5649" spans="1:8" ht="57.95">
      <c r="A5649" s="25" t="s">
        <v>1591</v>
      </c>
    </row>
    <row r="5650" spans="1:8">
      <c r="A5650" s="25" t="s">
        <v>182</v>
      </c>
      <c r="B5650" t="s">
        <v>219</v>
      </c>
      <c r="C5650" t="s">
        <v>181</v>
      </c>
      <c r="D5650" t="s">
        <v>188</v>
      </c>
      <c r="E5650" t="s">
        <v>241</v>
      </c>
      <c r="F5650" t="s">
        <v>220</v>
      </c>
      <c r="G5650" t="s">
        <v>243</v>
      </c>
      <c r="H5650" t="s">
        <v>221</v>
      </c>
    </row>
    <row r="5651" spans="1:8" ht="29.1">
      <c r="A5651" s="25" t="s">
        <v>194</v>
      </c>
      <c r="B5651">
        <v>5954</v>
      </c>
      <c r="C5651" t="s">
        <v>189</v>
      </c>
      <c r="D5651">
        <v>10434</v>
      </c>
      <c r="E5651" s="1">
        <v>4.1000000000000003E-3</v>
      </c>
      <c r="F5651" s="1">
        <v>0.66820000000000002</v>
      </c>
      <c r="G5651" s="1">
        <v>3.8E-3</v>
      </c>
      <c r="H5651" s="1">
        <v>0.32390000000000002</v>
      </c>
    </row>
    <row r="5652" spans="1:8" ht="29.1">
      <c r="A5652" s="25" t="s">
        <v>195</v>
      </c>
      <c r="B5652">
        <v>2703</v>
      </c>
      <c r="C5652" t="s">
        <v>189</v>
      </c>
      <c r="D5652">
        <v>10434</v>
      </c>
      <c r="E5652" s="1">
        <v>6.4000000000000003E-3</v>
      </c>
      <c r="F5652" s="1">
        <v>0.61650000000000005</v>
      </c>
      <c r="G5652" s="1">
        <v>6.7999999999999996E-3</v>
      </c>
      <c r="H5652" s="1">
        <v>0.37030000000000002</v>
      </c>
    </row>
    <row r="5653" spans="1:8" ht="29.1">
      <c r="A5653" s="25" t="s">
        <v>196</v>
      </c>
      <c r="B5653">
        <v>1720</v>
      </c>
      <c r="C5653" t="s">
        <v>189</v>
      </c>
      <c r="D5653">
        <v>10434</v>
      </c>
      <c r="E5653" s="1">
        <v>2.29E-2</v>
      </c>
      <c r="F5653" s="1">
        <v>0.48180000000000001</v>
      </c>
      <c r="G5653" s="1">
        <v>7.4999999999999997E-3</v>
      </c>
      <c r="H5653" s="1">
        <v>0.48770000000000002</v>
      </c>
    </row>
    <row r="5654" spans="1:8">
      <c r="A5654" s="25" t="s">
        <v>192</v>
      </c>
      <c r="B5654">
        <v>10434</v>
      </c>
      <c r="C5654" t="s">
        <v>192</v>
      </c>
      <c r="D5654">
        <v>10434</v>
      </c>
      <c r="E5654" s="1">
        <v>6.3E-3</v>
      </c>
      <c r="F5654" s="1">
        <v>0.64070000000000005</v>
      </c>
      <c r="G5654" s="1">
        <v>4.7000000000000002E-3</v>
      </c>
      <c r="H5654" s="1">
        <v>0.34820000000000001</v>
      </c>
    </row>
    <row r="5656" spans="1:8" ht="43.5">
      <c r="A5656" s="25" t="s">
        <v>1592</v>
      </c>
    </row>
    <row r="5657" spans="1:8">
      <c r="A5657" s="25" t="s">
        <v>182</v>
      </c>
      <c r="B5657" t="s">
        <v>219</v>
      </c>
      <c r="C5657" t="s">
        <v>181</v>
      </c>
      <c r="D5657" t="s">
        <v>188</v>
      </c>
      <c r="E5657" t="s">
        <v>241</v>
      </c>
      <c r="F5657" t="s">
        <v>220</v>
      </c>
      <c r="G5657" t="s">
        <v>243</v>
      </c>
      <c r="H5657" t="s">
        <v>221</v>
      </c>
    </row>
    <row r="5658" spans="1:8">
      <c r="A5658" s="25" t="s">
        <v>198</v>
      </c>
      <c r="B5658">
        <v>2264</v>
      </c>
      <c r="C5658" t="s">
        <v>189</v>
      </c>
      <c r="D5658">
        <v>10434</v>
      </c>
      <c r="E5658" s="1">
        <v>9.7999999999999997E-3</v>
      </c>
      <c r="F5658" s="1">
        <v>0.45739999999999997</v>
      </c>
      <c r="G5658" s="1">
        <v>6.6E-3</v>
      </c>
      <c r="H5658" s="1">
        <v>0.52610000000000001</v>
      </c>
    </row>
    <row r="5659" spans="1:8">
      <c r="A5659" s="25" t="s">
        <v>199</v>
      </c>
      <c r="B5659">
        <v>8170</v>
      </c>
      <c r="C5659" t="s">
        <v>189</v>
      </c>
      <c r="D5659">
        <v>10434</v>
      </c>
      <c r="E5659" s="1">
        <v>5.4999999999999997E-3</v>
      </c>
      <c r="F5659" s="1">
        <v>0.68179999999999996</v>
      </c>
      <c r="G5659" s="1">
        <v>4.3E-3</v>
      </c>
      <c r="H5659" s="1">
        <v>0.30830000000000002</v>
      </c>
    </row>
    <row r="5660" spans="1:8">
      <c r="A5660" s="25" t="s">
        <v>192</v>
      </c>
      <c r="B5660">
        <v>10434</v>
      </c>
      <c r="C5660" t="s">
        <v>192</v>
      </c>
      <c r="D5660">
        <v>10434</v>
      </c>
      <c r="E5660" s="1">
        <v>6.3E-3</v>
      </c>
      <c r="F5660" s="1">
        <v>0.64070000000000005</v>
      </c>
      <c r="G5660" s="1">
        <v>4.7000000000000002E-3</v>
      </c>
      <c r="H5660" s="1">
        <v>0.34820000000000001</v>
      </c>
    </row>
    <row r="5662" spans="1:8" ht="43.5">
      <c r="A5662" s="25" t="s">
        <v>1593</v>
      </c>
    </row>
    <row r="5663" spans="1:8">
      <c r="A5663" s="25" t="s">
        <v>182</v>
      </c>
      <c r="B5663" t="s">
        <v>219</v>
      </c>
      <c r="C5663" t="s">
        <v>181</v>
      </c>
      <c r="D5663" t="s">
        <v>188</v>
      </c>
      <c r="E5663" t="s">
        <v>241</v>
      </c>
      <c r="F5663" t="s">
        <v>220</v>
      </c>
      <c r="G5663" t="s">
        <v>243</v>
      </c>
      <c r="H5663" t="s">
        <v>221</v>
      </c>
    </row>
    <row r="5664" spans="1:8">
      <c r="A5664" s="25" t="s">
        <v>201</v>
      </c>
      <c r="B5664">
        <v>767</v>
      </c>
      <c r="C5664" t="s">
        <v>189</v>
      </c>
      <c r="D5664">
        <v>10434</v>
      </c>
      <c r="E5664" s="1">
        <v>1.49E-2</v>
      </c>
      <c r="F5664" s="1">
        <v>0.48470000000000002</v>
      </c>
      <c r="G5664" s="1">
        <v>3.0999999999999999E-3</v>
      </c>
      <c r="H5664" s="1">
        <v>0.49740000000000001</v>
      </c>
    </row>
    <row r="5665" spans="1:8">
      <c r="A5665" s="25" t="s">
        <v>202</v>
      </c>
      <c r="B5665">
        <v>110</v>
      </c>
      <c r="C5665" t="s">
        <v>189</v>
      </c>
      <c r="D5665">
        <v>10434</v>
      </c>
      <c r="E5665" s="1">
        <v>6.3E-3</v>
      </c>
      <c r="F5665" s="1">
        <v>0.43559999999999999</v>
      </c>
      <c r="G5665" s="1">
        <v>2.5999999999999999E-3</v>
      </c>
      <c r="H5665" s="1">
        <v>0.55549999999999999</v>
      </c>
    </row>
    <row r="5666" spans="1:8">
      <c r="A5666" s="25" t="s">
        <v>203</v>
      </c>
      <c r="B5666">
        <v>8042</v>
      </c>
      <c r="C5666" t="s">
        <v>189</v>
      </c>
      <c r="D5666">
        <v>10434</v>
      </c>
      <c r="E5666" s="1">
        <v>5.7000000000000002E-3</v>
      </c>
      <c r="F5666" s="1">
        <v>0.64300000000000002</v>
      </c>
      <c r="G5666" s="1">
        <v>5.0000000000000001E-3</v>
      </c>
      <c r="H5666" s="1">
        <v>0.34620000000000001</v>
      </c>
    </row>
    <row r="5667" spans="1:8">
      <c r="A5667" s="25" t="s">
        <v>204</v>
      </c>
      <c r="B5667">
        <v>31</v>
      </c>
      <c r="C5667" t="s">
        <v>189</v>
      </c>
      <c r="D5667">
        <v>10434</v>
      </c>
      <c r="E5667" s="1">
        <v>6.25E-2</v>
      </c>
      <c r="F5667" s="1">
        <v>0.66349999999999998</v>
      </c>
      <c r="G5667" s="1">
        <v>3.1199999999999999E-2</v>
      </c>
      <c r="H5667" s="1">
        <v>0.2427</v>
      </c>
    </row>
    <row r="5668" spans="1:8">
      <c r="A5668" s="25" t="s">
        <v>205</v>
      </c>
      <c r="B5668">
        <v>1484</v>
      </c>
      <c r="C5668" t="s">
        <v>189</v>
      </c>
      <c r="D5668">
        <v>10434</v>
      </c>
      <c r="E5668" s="1">
        <v>4.4999999999999997E-3</v>
      </c>
      <c r="F5668" s="1">
        <v>0.71489999999999998</v>
      </c>
      <c r="G5668" s="1">
        <v>3.5999999999999999E-3</v>
      </c>
      <c r="H5668" s="1">
        <v>0.27700000000000002</v>
      </c>
    </row>
    <row r="5669" spans="1:8">
      <c r="A5669" s="25" t="s">
        <v>192</v>
      </c>
      <c r="B5669">
        <v>10434</v>
      </c>
      <c r="C5669" t="s">
        <v>192</v>
      </c>
      <c r="D5669">
        <v>10434</v>
      </c>
      <c r="E5669" s="1">
        <v>6.3E-3</v>
      </c>
      <c r="F5669" s="1">
        <v>0.64070000000000005</v>
      </c>
      <c r="G5669" s="1">
        <v>4.7000000000000002E-3</v>
      </c>
      <c r="H5669" s="1">
        <v>0.34820000000000001</v>
      </c>
    </row>
    <row r="5671" spans="1:8" ht="43.5">
      <c r="A5671" s="25" t="s">
        <v>1594</v>
      </c>
    </row>
    <row r="5672" spans="1:8">
      <c r="A5672" s="25" t="s">
        <v>182</v>
      </c>
      <c r="B5672" t="s">
        <v>219</v>
      </c>
      <c r="C5672" t="s">
        <v>181</v>
      </c>
      <c r="D5672" t="s">
        <v>188</v>
      </c>
      <c r="E5672" t="s">
        <v>241</v>
      </c>
      <c r="F5672" t="s">
        <v>220</v>
      </c>
      <c r="G5672" t="s">
        <v>243</v>
      </c>
      <c r="H5672" t="s">
        <v>221</v>
      </c>
    </row>
    <row r="5673" spans="1:8">
      <c r="A5673" s="25" t="s">
        <v>207</v>
      </c>
      <c r="B5673">
        <v>7254</v>
      </c>
      <c r="C5673" t="s">
        <v>189</v>
      </c>
      <c r="D5673">
        <v>10434</v>
      </c>
      <c r="E5673" s="1">
        <v>5.8999999999999999E-3</v>
      </c>
      <c r="F5673" s="1">
        <v>0.6694</v>
      </c>
      <c r="G5673" s="1">
        <v>4.4999999999999997E-3</v>
      </c>
      <c r="H5673" s="1">
        <v>0.32019999999999998</v>
      </c>
    </row>
    <row r="5674" spans="1:8">
      <c r="A5674" s="25" t="s">
        <v>208</v>
      </c>
      <c r="B5674">
        <v>2245</v>
      </c>
      <c r="C5674" t="s">
        <v>189</v>
      </c>
      <c r="D5674">
        <v>10434</v>
      </c>
      <c r="E5674" s="1">
        <v>5.7000000000000002E-3</v>
      </c>
      <c r="F5674" s="1">
        <v>0.54300000000000004</v>
      </c>
      <c r="G5674" s="1">
        <v>5.1999999999999998E-3</v>
      </c>
      <c r="H5674" s="1">
        <v>0.4461</v>
      </c>
    </row>
    <row r="5675" spans="1:8">
      <c r="A5675" s="25" t="s">
        <v>209</v>
      </c>
      <c r="B5675">
        <v>935</v>
      </c>
      <c r="C5675" t="s">
        <v>189</v>
      </c>
      <c r="D5675">
        <v>10434</v>
      </c>
      <c r="E5675" s="1">
        <v>1.12E-2</v>
      </c>
      <c r="F5675" s="1">
        <v>0.6663</v>
      </c>
      <c r="G5675" s="1">
        <v>5.8999999999999999E-3</v>
      </c>
      <c r="H5675" s="1">
        <v>0.31659999999999999</v>
      </c>
    </row>
    <row r="5676" spans="1:8">
      <c r="A5676" s="25" t="s">
        <v>192</v>
      </c>
      <c r="B5676">
        <v>10434</v>
      </c>
      <c r="C5676" t="s">
        <v>192</v>
      </c>
      <c r="D5676">
        <v>10434</v>
      </c>
      <c r="E5676" s="1">
        <v>6.3E-3</v>
      </c>
      <c r="F5676" s="1">
        <v>0.64070000000000005</v>
      </c>
      <c r="G5676" s="1">
        <v>4.7000000000000002E-3</v>
      </c>
      <c r="H5676" s="1">
        <v>0.34820000000000001</v>
      </c>
    </row>
    <row r="5678" spans="1:8" ht="43.5">
      <c r="A5678" s="25" t="s">
        <v>1595</v>
      </c>
    </row>
    <row r="5679" spans="1:8">
      <c r="A5679" s="25" t="s">
        <v>182</v>
      </c>
      <c r="B5679" t="s">
        <v>219</v>
      </c>
      <c r="C5679" t="s">
        <v>181</v>
      </c>
      <c r="D5679" t="s">
        <v>188</v>
      </c>
      <c r="E5679" t="s">
        <v>241</v>
      </c>
      <c r="F5679" t="s">
        <v>220</v>
      </c>
      <c r="G5679" t="s">
        <v>243</v>
      </c>
      <c r="H5679" t="s">
        <v>221</v>
      </c>
    </row>
    <row r="5680" spans="1:8">
      <c r="A5680" s="25" t="s">
        <v>211</v>
      </c>
      <c r="B5680">
        <v>4972</v>
      </c>
      <c r="C5680" t="s">
        <v>189</v>
      </c>
      <c r="D5680">
        <v>10434</v>
      </c>
      <c r="E5680" s="1">
        <v>5.4999999999999997E-3</v>
      </c>
      <c r="F5680" s="1">
        <v>0.69099999999999995</v>
      </c>
      <c r="G5680" s="1">
        <v>6.1999999999999998E-3</v>
      </c>
      <c r="H5680" s="1">
        <v>0.29730000000000001</v>
      </c>
    </row>
    <row r="5681" spans="1:15">
      <c r="A5681" s="25" t="s">
        <v>212</v>
      </c>
      <c r="B5681">
        <v>3376</v>
      </c>
      <c r="C5681" t="s">
        <v>189</v>
      </c>
      <c r="D5681">
        <v>10434</v>
      </c>
      <c r="E5681" s="1">
        <v>6.7000000000000002E-3</v>
      </c>
      <c r="F5681" s="1">
        <v>0.52500000000000002</v>
      </c>
      <c r="G5681" s="1">
        <v>3.5999999999999999E-3</v>
      </c>
      <c r="H5681" s="1">
        <v>0.46479999999999999</v>
      </c>
    </row>
    <row r="5682" spans="1:15">
      <c r="A5682" s="25" t="s">
        <v>213</v>
      </c>
      <c r="B5682">
        <v>2086</v>
      </c>
      <c r="C5682" t="s">
        <v>189</v>
      </c>
      <c r="D5682">
        <v>10434</v>
      </c>
      <c r="E5682" s="1">
        <v>7.4000000000000003E-3</v>
      </c>
      <c r="F5682" s="1">
        <v>0.69720000000000004</v>
      </c>
      <c r="G5682" s="1">
        <v>3.3E-3</v>
      </c>
      <c r="H5682" s="1">
        <v>0.29220000000000002</v>
      </c>
    </row>
    <row r="5683" spans="1:15">
      <c r="A5683" s="25" t="s">
        <v>192</v>
      </c>
      <c r="B5683">
        <v>10434</v>
      </c>
      <c r="C5683" t="s">
        <v>192</v>
      </c>
      <c r="D5683">
        <v>10434</v>
      </c>
      <c r="E5683" s="1">
        <v>6.3E-3</v>
      </c>
      <c r="F5683" s="1">
        <v>0.64070000000000005</v>
      </c>
      <c r="G5683" s="1">
        <v>4.7000000000000002E-3</v>
      </c>
      <c r="H5683" s="1">
        <v>0.34820000000000001</v>
      </c>
    </row>
    <row r="5685" spans="1:15" ht="43.5">
      <c r="A5685" s="25" t="s">
        <v>1596</v>
      </c>
    </row>
    <row r="5686" spans="1:15">
      <c r="A5686" s="25" t="s">
        <v>182</v>
      </c>
      <c r="B5686" t="s">
        <v>219</v>
      </c>
      <c r="C5686" t="s">
        <v>181</v>
      </c>
      <c r="D5686" t="s">
        <v>188</v>
      </c>
      <c r="E5686" t="s">
        <v>1597</v>
      </c>
      <c r="F5686" t="s">
        <v>1598</v>
      </c>
      <c r="G5686" t="s">
        <v>241</v>
      </c>
      <c r="H5686" t="s">
        <v>1599</v>
      </c>
      <c r="I5686" t="s">
        <v>269</v>
      </c>
      <c r="J5686" t="s">
        <v>1600</v>
      </c>
      <c r="K5686" t="s">
        <v>243</v>
      </c>
      <c r="L5686" t="s">
        <v>1601</v>
      </c>
      <c r="M5686" t="s">
        <v>1602</v>
      </c>
      <c r="N5686" t="s">
        <v>1603</v>
      </c>
      <c r="O5686" t="s">
        <v>1604</v>
      </c>
    </row>
    <row r="5687" spans="1:15">
      <c r="A5687" s="25" t="s">
        <v>190</v>
      </c>
      <c r="B5687">
        <v>2119</v>
      </c>
      <c r="C5687" t="s">
        <v>189</v>
      </c>
      <c r="D5687">
        <v>4191</v>
      </c>
      <c r="E5687" s="1">
        <v>2.1999999999999999E-2</v>
      </c>
      <c r="F5687" s="1">
        <v>3.2300000000000002E-2</v>
      </c>
      <c r="G5687" s="1">
        <v>2.2000000000000001E-3</v>
      </c>
      <c r="H5687" s="1">
        <v>0.16</v>
      </c>
      <c r="I5687" s="1">
        <v>1.2999999999999999E-3</v>
      </c>
      <c r="J5687" s="1">
        <v>0.57250000000000001</v>
      </c>
      <c r="K5687" s="1">
        <v>2.9999999999999997E-4</v>
      </c>
      <c r="L5687" s="1">
        <v>0.67320000000000002</v>
      </c>
      <c r="M5687" s="1">
        <v>0.33700000000000002</v>
      </c>
      <c r="N5687" s="1">
        <v>2.0999999999999999E-3</v>
      </c>
      <c r="O5687" s="1">
        <v>1.9E-3</v>
      </c>
    </row>
    <row r="5688" spans="1:15">
      <c r="A5688" s="25" t="s">
        <v>191</v>
      </c>
      <c r="B5688">
        <v>2046</v>
      </c>
      <c r="C5688" t="s">
        <v>189</v>
      </c>
      <c r="D5688">
        <v>4191</v>
      </c>
      <c r="E5688" s="1">
        <v>3.49E-2</v>
      </c>
      <c r="F5688" s="1">
        <v>3.6900000000000002E-2</v>
      </c>
      <c r="G5688" s="1">
        <v>5.0000000000000001E-4</v>
      </c>
      <c r="H5688" s="1">
        <v>0.1246</v>
      </c>
      <c r="I5688" s="1">
        <v>1.1599999999999999E-2</v>
      </c>
      <c r="J5688" s="1">
        <v>0.46650000000000003</v>
      </c>
      <c r="K5688" s="1">
        <v>8.0000000000000004E-4</v>
      </c>
      <c r="L5688" s="1">
        <v>0.71960000000000002</v>
      </c>
      <c r="M5688" s="1">
        <v>0.38159999999999999</v>
      </c>
      <c r="N5688" s="1">
        <v>2.2000000000000001E-3</v>
      </c>
      <c r="O5688" s="1">
        <v>1.6999999999999999E-3</v>
      </c>
    </row>
    <row r="5689" spans="1:15">
      <c r="A5689" s="25" t="s">
        <v>192</v>
      </c>
      <c r="B5689">
        <v>4191</v>
      </c>
      <c r="C5689" t="s">
        <v>192</v>
      </c>
      <c r="D5689">
        <v>4191</v>
      </c>
      <c r="E5689" s="1">
        <v>2.9600000000000001E-2</v>
      </c>
      <c r="F5689" s="1">
        <v>3.5000000000000003E-2</v>
      </c>
      <c r="G5689" s="1">
        <v>1.1999999999999999E-3</v>
      </c>
      <c r="H5689" s="1">
        <v>0.13950000000000001</v>
      </c>
      <c r="I5689" s="1">
        <v>7.3000000000000001E-3</v>
      </c>
      <c r="J5689" s="1">
        <v>0.51039999999999996</v>
      </c>
      <c r="K5689" s="1">
        <v>5.9999999999999995E-4</v>
      </c>
      <c r="L5689" s="1">
        <v>0.69979999999999998</v>
      </c>
      <c r="M5689" s="1">
        <v>0.36320000000000002</v>
      </c>
      <c r="N5689" s="1">
        <v>2.0999999999999999E-3</v>
      </c>
      <c r="O5689" s="1">
        <v>1.8E-3</v>
      </c>
    </row>
    <row r="5691" spans="1:15" ht="57.95">
      <c r="A5691" s="25" t="s">
        <v>1605</v>
      </c>
    </row>
    <row r="5692" spans="1:15">
      <c r="A5692" s="25" t="s">
        <v>182</v>
      </c>
      <c r="B5692" t="s">
        <v>219</v>
      </c>
      <c r="C5692" t="s">
        <v>181</v>
      </c>
      <c r="D5692" t="s">
        <v>188</v>
      </c>
      <c r="E5692" t="s">
        <v>1597</v>
      </c>
      <c r="F5692" t="s">
        <v>1598</v>
      </c>
      <c r="G5692" t="s">
        <v>241</v>
      </c>
      <c r="H5692" t="s">
        <v>1599</v>
      </c>
      <c r="I5692" t="s">
        <v>269</v>
      </c>
      <c r="J5692" t="s">
        <v>1600</v>
      </c>
      <c r="K5692" t="s">
        <v>243</v>
      </c>
      <c r="L5692" t="s">
        <v>1601</v>
      </c>
      <c r="M5692" t="s">
        <v>1602</v>
      </c>
      <c r="N5692" t="s">
        <v>1603</v>
      </c>
      <c r="O5692" t="s">
        <v>1604</v>
      </c>
    </row>
    <row r="5693" spans="1:15" ht="29.1">
      <c r="A5693" s="25" t="s">
        <v>194</v>
      </c>
      <c r="B5693">
        <v>2208</v>
      </c>
      <c r="C5693" t="s">
        <v>189</v>
      </c>
      <c r="D5693">
        <v>4191</v>
      </c>
      <c r="E5693" s="1">
        <v>2.8299999999999999E-2</v>
      </c>
      <c r="F5693" s="1">
        <v>1.9699999999999999E-2</v>
      </c>
      <c r="G5693" s="1">
        <v>6.9999999999999999E-4</v>
      </c>
      <c r="H5693" s="1">
        <v>0.12959999999999999</v>
      </c>
      <c r="I5693" s="1">
        <v>4.5999999999999999E-3</v>
      </c>
      <c r="J5693" s="1">
        <v>0.54720000000000002</v>
      </c>
      <c r="K5693" s="1">
        <v>5.9999999999999995E-4</v>
      </c>
      <c r="L5693" s="1">
        <v>0.71870000000000001</v>
      </c>
      <c r="M5693" s="1">
        <v>0.35249999999999998</v>
      </c>
      <c r="N5693" s="1">
        <v>1.4E-3</v>
      </c>
      <c r="O5693" s="1">
        <v>6.9999999999999999E-4</v>
      </c>
    </row>
    <row r="5694" spans="1:15" ht="29.1">
      <c r="A5694" s="25" t="s">
        <v>195</v>
      </c>
      <c r="B5694">
        <v>1126</v>
      </c>
      <c r="C5694" t="s">
        <v>189</v>
      </c>
      <c r="D5694">
        <v>4191</v>
      </c>
      <c r="E5694" s="1">
        <v>2.1299999999999999E-2</v>
      </c>
      <c r="F5694" s="1">
        <v>7.2700000000000001E-2</v>
      </c>
      <c r="G5694" s="1">
        <v>1E-3</v>
      </c>
      <c r="H5694" s="1">
        <v>0.154</v>
      </c>
      <c r="I5694" s="1">
        <v>0.01</v>
      </c>
      <c r="J5694" s="1">
        <v>0.43780000000000002</v>
      </c>
      <c r="L5694" s="1">
        <v>0.63680000000000003</v>
      </c>
      <c r="M5694" s="1">
        <v>0.37859999999999999</v>
      </c>
      <c r="N5694" s="1">
        <v>1.1999999999999999E-3</v>
      </c>
      <c r="O5694" s="1">
        <v>3.8E-3</v>
      </c>
    </row>
    <row r="5695" spans="1:15" ht="29.1">
      <c r="A5695" s="25" t="s">
        <v>196</v>
      </c>
      <c r="B5695">
        <v>831</v>
      </c>
      <c r="C5695" t="s">
        <v>189</v>
      </c>
      <c r="D5695">
        <v>4191</v>
      </c>
      <c r="E5695" s="1">
        <v>4.8399999999999999E-2</v>
      </c>
      <c r="F5695" s="1">
        <v>5.4399999999999997E-2</v>
      </c>
      <c r="G5695" s="1">
        <v>4.1999999999999997E-3</v>
      </c>
      <c r="H5695" s="1">
        <v>0.1658</v>
      </c>
      <c r="I5695" s="1">
        <v>1.6400000000000001E-2</v>
      </c>
      <c r="J5695" s="1">
        <v>0.43709999999999999</v>
      </c>
      <c r="K5695" s="1">
        <v>1.2999999999999999E-3</v>
      </c>
      <c r="L5695" s="1">
        <v>0.70530000000000004</v>
      </c>
      <c r="M5695" s="1">
        <v>0.39279999999999998</v>
      </c>
      <c r="N5695" s="1">
        <v>7.3000000000000001E-3</v>
      </c>
      <c r="O5695" s="1">
        <v>4.1000000000000003E-3</v>
      </c>
    </row>
    <row r="5696" spans="1:15">
      <c r="A5696" s="25" t="s">
        <v>192</v>
      </c>
      <c r="B5696">
        <v>4191</v>
      </c>
      <c r="C5696" t="s">
        <v>192</v>
      </c>
      <c r="D5696">
        <v>4191</v>
      </c>
      <c r="E5696" s="1">
        <v>2.9600000000000001E-2</v>
      </c>
      <c r="F5696" s="1">
        <v>3.5000000000000003E-2</v>
      </c>
      <c r="G5696" s="1">
        <v>1.1999999999999999E-3</v>
      </c>
      <c r="H5696" s="1">
        <v>0.13950000000000001</v>
      </c>
      <c r="I5696" s="1">
        <v>7.3000000000000001E-3</v>
      </c>
      <c r="J5696" s="1">
        <v>0.51039999999999996</v>
      </c>
      <c r="K5696" s="1">
        <v>5.9999999999999995E-4</v>
      </c>
      <c r="L5696" s="1">
        <v>0.69979999999999998</v>
      </c>
      <c r="M5696" s="1">
        <v>0.36320000000000002</v>
      </c>
      <c r="N5696" s="1">
        <v>2.0999999999999999E-3</v>
      </c>
      <c r="O5696" s="1">
        <v>1.8E-3</v>
      </c>
    </row>
    <row r="5698" spans="1:15" ht="43.5">
      <c r="A5698" s="25" t="s">
        <v>1606</v>
      </c>
    </row>
    <row r="5699" spans="1:15">
      <c r="A5699" s="25" t="s">
        <v>182</v>
      </c>
      <c r="B5699" t="s">
        <v>219</v>
      </c>
      <c r="C5699" t="s">
        <v>181</v>
      </c>
      <c r="D5699" t="s">
        <v>188</v>
      </c>
      <c r="E5699" t="s">
        <v>1597</v>
      </c>
      <c r="F5699" t="s">
        <v>1598</v>
      </c>
      <c r="G5699" t="s">
        <v>241</v>
      </c>
      <c r="H5699" t="s">
        <v>1599</v>
      </c>
      <c r="I5699" t="s">
        <v>269</v>
      </c>
      <c r="J5699" t="s">
        <v>1600</v>
      </c>
      <c r="K5699" t="s">
        <v>243</v>
      </c>
      <c r="L5699" t="s">
        <v>1601</v>
      </c>
      <c r="M5699" t="s">
        <v>1602</v>
      </c>
      <c r="N5699" t="s">
        <v>1603</v>
      </c>
      <c r="O5699" t="s">
        <v>1604</v>
      </c>
    </row>
    <row r="5700" spans="1:15">
      <c r="A5700" s="25" t="s">
        <v>198</v>
      </c>
      <c r="B5700">
        <v>1263</v>
      </c>
      <c r="C5700" t="s">
        <v>189</v>
      </c>
      <c r="D5700">
        <v>4191</v>
      </c>
      <c r="E5700" s="1">
        <v>3.7699999999999997E-2</v>
      </c>
      <c r="F5700" s="1">
        <v>2.8299999999999999E-2</v>
      </c>
      <c r="G5700" s="1">
        <v>8.9999999999999998E-4</v>
      </c>
      <c r="H5700" s="1">
        <v>0.11600000000000001</v>
      </c>
      <c r="I5700" s="1">
        <v>2E-3</v>
      </c>
      <c r="J5700" s="1">
        <v>0.68830000000000002</v>
      </c>
      <c r="K5700" s="1">
        <v>2.0000000000000001E-4</v>
      </c>
      <c r="L5700" s="1">
        <v>0.73060000000000003</v>
      </c>
      <c r="M5700" s="1">
        <v>0.26679999999999998</v>
      </c>
      <c r="N5700" s="1">
        <v>3.7000000000000002E-3</v>
      </c>
      <c r="O5700" s="1">
        <v>3.0000000000000001E-3</v>
      </c>
    </row>
    <row r="5701" spans="1:15">
      <c r="A5701" s="25" t="s">
        <v>199</v>
      </c>
      <c r="B5701">
        <v>2928</v>
      </c>
      <c r="C5701" t="s">
        <v>189</v>
      </c>
      <c r="D5701">
        <v>4191</v>
      </c>
      <c r="E5701" s="1">
        <v>2.6499999999999999E-2</v>
      </c>
      <c r="F5701" s="1">
        <v>3.7499999999999999E-2</v>
      </c>
      <c r="G5701" s="1">
        <v>1.2999999999999999E-3</v>
      </c>
      <c r="H5701" s="1">
        <v>0.14860000000000001</v>
      </c>
      <c r="I5701" s="1">
        <v>9.2999999999999992E-3</v>
      </c>
      <c r="J5701" s="1">
        <v>0.44219999999999998</v>
      </c>
      <c r="K5701" s="1">
        <v>6.9999999999999999E-4</v>
      </c>
      <c r="L5701" s="1">
        <v>0.68810000000000004</v>
      </c>
      <c r="M5701" s="1">
        <v>0.4002</v>
      </c>
      <c r="N5701" s="1">
        <v>1.5E-3</v>
      </c>
      <c r="O5701" s="1">
        <v>1.2999999999999999E-3</v>
      </c>
    </row>
    <row r="5702" spans="1:15">
      <c r="A5702" s="25" t="s">
        <v>192</v>
      </c>
      <c r="B5702">
        <v>4191</v>
      </c>
      <c r="C5702" t="s">
        <v>192</v>
      </c>
      <c r="D5702">
        <v>4191</v>
      </c>
      <c r="E5702" s="1">
        <v>2.9600000000000001E-2</v>
      </c>
      <c r="F5702" s="1">
        <v>3.5000000000000003E-2</v>
      </c>
      <c r="G5702" s="1">
        <v>1.1999999999999999E-3</v>
      </c>
      <c r="H5702" s="1">
        <v>0.13950000000000001</v>
      </c>
      <c r="I5702" s="1">
        <v>7.3000000000000001E-3</v>
      </c>
      <c r="J5702" s="1">
        <v>0.51039999999999996</v>
      </c>
      <c r="K5702" s="1">
        <v>5.9999999999999995E-4</v>
      </c>
      <c r="L5702" s="1">
        <v>0.69979999999999998</v>
      </c>
      <c r="M5702" s="1">
        <v>0.36320000000000002</v>
      </c>
      <c r="N5702" s="1">
        <v>2.0999999999999999E-3</v>
      </c>
      <c r="O5702" s="1">
        <v>1.8E-3</v>
      </c>
    </row>
    <row r="5704" spans="1:15" ht="43.5">
      <c r="A5704" s="25" t="s">
        <v>1607</v>
      </c>
    </row>
    <row r="5705" spans="1:15">
      <c r="A5705" s="25" t="s">
        <v>182</v>
      </c>
      <c r="B5705" t="s">
        <v>219</v>
      </c>
      <c r="C5705" t="s">
        <v>181</v>
      </c>
      <c r="D5705" t="s">
        <v>188</v>
      </c>
      <c r="E5705" t="s">
        <v>1597</v>
      </c>
      <c r="F5705" t="s">
        <v>1598</v>
      </c>
      <c r="G5705" t="s">
        <v>241</v>
      </c>
      <c r="H5705" t="s">
        <v>1599</v>
      </c>
      <c r="I5705" t="s">
        <v>269</v>
      </c>
      <c r="J5705" t="s">
        <v>1600</v>
      </c>
      <c r="K5705" t="s">
        <v>243</v>
      </c>
      <c r="L5705" t="s">
        <v>1601</v>
      </c>
      <c r="M5705" t="s">
        <v>1602</v>
      </c>
      <c r="N5705" t="s">
        <v>1603</v>
      </c>
      <c r="O5705" t="s">
        <v>1604</v>
      </c>
    </row>
    <row r="5706" spans="1:15">
      <c r="A5706" s="25" t="s">
        <v>201</v>
      </c>
      <c r="B5706">
        <v>393</v>
      </c>
      <c r="C5706" t="s">
        <v>189</v>
      </c>
      <c r="D5706">
        <v>4191</v>
      </c>
      <c r="E5706" s="1">
        <v>0.1227</v>
      </c>
      <c r="F5706" s="1">
        <v>3.9100000000000003E-2</v>
      </c>
      <c r="G5706" s="1">
        <v>2E-3</v>
      </c>
      <c r="H5706" s="1">
        <v>0.2346</v>
      </c>
      <c r="I5706" s="1">
        <v>3.1699999999999999E-2</v>
      </c>
      <c r="J5706" s="1">
        <v>0.40150000000000002</v>
      </c>
      <c r="L5706" s="1">
        <v>0.71389999999999998</v>
      </c>
      <c r="M5706" s="1">
        <v>0.35759999999999997</v>
      </c>
      <c r="N5706" s="1">
        <v>3.7000000000000002E-3</v>
      </c>
    </row>
    <row r="5707" spans="1:15">
      <c r="A5707" s="25" t="s">
        <v>202</v>
      </c>
      <c r="B5707">
        <v>59</v>
      </c>
      <c r="C5707" t="s">
        <v>189</v>
      </c>
      <c r="D5707">
        <v>4191</v>
      </c>
      <c r="E5707" s="1">
        <v>8.5500000000000007E-2</v>
      </c>
      <c r="F5707" s="1">
        <v>4.87E-2</v>
      </c>
      <c r="G5707" s="1">
        <v>4.4999999999999997E-3</v>
      </c>
      <c r="H5707" s="1">
        <v>0.12479999999999999</v>
      </c>
      <c r="I5707" s="1">
        <v>8.4400000000000003E-2</v>
      </c>
      <c r="J5707" s="1">
        <v>0.54249999999999998</v>
      </c>
      <c r="L5707" s="1">
        <v>0.58709999999999996</v>
      </c>
      <c r="M5707" s="1">
        <v>0.42380000000000001</v>
      </c>
      <c r="N5707" s="1">
        <v>1.1299999999999999E-2</v>
      </c>
      <c r="O5707" s="1">
        <v>1.6500000000000001E-2</v>
      </c>
    </row>
    <row r="5708" spans="1:15">
      <c r="A5708" s="25" t="s">
        <v>203</v>
      </c>
      <c r="B5708">
        <v>3198</v>
      </c>
      <c r="C5708" t="s">
        <v>189</v>
      </c>
      <c r="D5708">
        <v>4191</v>
      </c>
      <c r="E5708" s="1">
        <v>1.9300000000000001E-2</v>
      </c>
      <c r="F5708" s="1">
        <v>3.0599999999999999E-2</v>
      </c>
      <c r="G5708" s="1">
        <v>5.9999999999999995E-4</v>
      </c>
      <c r="H5708" s="1">
        <v>0.1283</v>
      </c>
      <c r="I5708" s="1">
        <v>3.0000000000000001E-3</v>
      </c>
      <c r="J5708" s="1">
        <v>0.54990000000000006</v>
      </c>
      <c r="K5708" s="1">
        <v>1E-4</v>
      </c>
      <c r="L5708" s="1">
        <v>0.68269999999999997</v>
      </c>
      <c r="M5708" s="1">
        <v>0.3493</v>
      </c>
      <c r="N5708" s="1">
        <v>2.0999999999999999E-3</v>
      </c>
      <c r="O5708" s="1">
        <v>1.9E-3</v>
      </c>
    </row>
    <row r="5709" spans="1:15">
      <c r="A5709" s="25" t="s">
        <v>204</v>
      </c>
      <c r="B5709">
        <v>11</v>
      </c>
      <c r="C5709" t="s">
        <v>189</v>
      </c>
      <c r="D5709">
        <v>4191</v>
      </c>
      <c r="F5709" s="1">
        <v>4.4600000000000001E-2</v>
      </c>
      <c r="G5709" s="1">
        <v>0.21959999999999999</v>
      </c>
      <c r="H5709" s="1">
        <v>4.4600000000000001E-2</v>
      </c>
      <c r="J5709" s="1">
        <v>0.38929999999999998</v>
      </c>
      <c r="L5709" s="1">
        <v>0.31680000000000003</v>
      </c>
      <c r="M5709" s="1">
        <v>0.14899999999999999</v>
      </c>
    </row>
    <row r="5710" spans="1:15">
      <c r="A5710" s="25" t="s">
        <v>205</v>
      </c>
      <c r="B5710">
        <v>530</v>
      </c>
      <c r="C5710" t="s">
        <v>189</v>
      </c>
      <c r="D5710">
        <v>4191</v>
      </c>
      <c r="E5710" s="1">
        <v>1.44E-2</v>
      </c>
      <c r="F5710" s="1">
        <v>6.0999999999999999E-2</v>
      </c>
      <c r="G5710" s="1">
        <v>1.6000000000000001E-3</v>
      </c>
      <c r="H5710" s="1">
        <v>0.13600000000000001</v>
      </c>
      <c r="I5710" s="1">
        <v>8.8000000000000005E-3</v>
      </c>
      <c r="J5710" s="1">
        <v>0.32590000000000002</v>
      </c>
      <c r="K5710" s="1">
        <v>4.1999999999999997E-3</v>
      </c>
      <c r="L5710" s="1">
        <v>0.82350000000000001</v>
      </c>
      <c r="M5710" s="1">
        <v>0.46529999999999999</v>
      </c>
      <c r="N5710" s="1">
        <v>5.0000000000000001E-4</v>
      </c>
      <c r="O5710" s="1">
        <v>1.1999999999999999E-3</v>
      </c>
    </row>
    <row r="5711" spans="1:15">
      <c r="A5711" s="25" t="s">
        <v>192</v>
      </c>
      <c r="B5711">
        <v>4191</v>
      </c>
      <c r="C5711" t="s">
        <v>192</v>
      </c>
      <c r="D5711">
        <v>4191</v>
      </c>
      <c r="E5711" s="1">
        <v>2.9600000000000001E-2</v>
      </c>
      <c r="F5711" s="1">
        <v>3.5000000000000003E-2</v>
      </c>
      <c r="G5711" s="1">
        <v>1.1999999999999999E-3</v>
      </c>
      <c r="H5711" s="1">
        <v>0.13950000000000001</v>
      </c>
      <c r="I5711" s="1">
        <v>7.3000000000000001E-3</v>
      </c>
      <c r="J5711" s="1">
        <v>0.51039999999999996</v>
      </c>
      <c r="K5711" s="1">
        <v>5.9999999999999995E-4</v>
      </c>
      <c r="L5711" s="1">
        <v>0.69979999999999998</v>
      </c>
      <c r="M5711" s="1">
        <v>0.36320000000000002</v>
      </c>
      <c r="N5711" s="1">
        <v>2.0999999999999999E-3</v>
      </c>
      <c r="O5711" s="1">
        <v>1.8E-3</v>
      </c>
    </row>
    <row r="5713" spans="1:15" ht="43.5">
      <c r="A5713" s="25" t="s">
        <v>1608</v>
      </c>
    </row>
    <row r="5714" spans="1:15">
      <c r="A5714" s="25" t="s">
        <v>182</v>
      </c>
      <c r="B5714" t="s">
        <v>219</v>
      </c>
      <c r="C5714" t="s">
        <v>181</v>
      </c>
      <c r="D5714" t="s">
        <v>188</v>
      </c>
      <c r="E5714" t="s">
        <v>1597</v>
      </c>
      <c r="F5714" t="s">
        <v>1598</v>
      </c>
      <c r="G5714" t="s">
        <v>241</v>
      </c>
      <c r="H5714" t="s">
        <v>1599</v>
      </c>
      <c r="I5714" t="s">
        <v>269</v>
      </c>
      <c r="J5714" t="s">
        <v>1600</v>
      </c>
      <c r="K5714" t="s">
        <v>243</v>
      </c>
      <c r="L5714" t="s">
        <v>1601</v>
      </c>
      <c r="M5714" t="s">
        <v>1602</v>
      </c>
      <c r="N5714" t="s">
        <v>1603</v>
      </c>
      <c r="O5714" t="s">
        <v>1604</v>
      </c>
    </row>
    <row r="5715" spans="1:15">
      <c r="A5715" s="25" t="s">
        <v>207</v>
      </c>
      <c r="B5715">
        <v>2697</v>
      </c>
      <c r="C5715" t="s">
        <v>189</v>
      </c>
      <c r="D5715">
        <v>4191</v>
      </c>
      <c r="E5715" s="1">
        <v>3.4000000000000002E-2</v>
      </c>
      <c r="F5715" s="1">
        <v>3.5499999999999997E-2</v>
      </c>
      <c r="G5715" s="1">
        <v>1.1000000000000001E-3</v>
      </c>
      <c r="H5715" s="1">
        <v>0.14230000000000001</v>
      </c>
      <c r="I5715" s="1">
        <v>9.7999999999999997E-3</v>
      </c>
      <c r="J5715" s="1">
        <v>0.45750000000000002</v>
      </c>
      <c r="K5715" s="1">
        <v>2.0000000000000001E-4</v>
      </c>
      <c r="L5715" s="1">
        <v>0.72660000000000002</v>
      </c>
      <c r="M5715" s="1">
        <v>0.42280000000000001</v>
      </c>
      <c r="N5715" s="1">
        <v>2E-3</v>
      </c>
      <c r="O5715" s="1">
        <v>2E-3</v>
      </c>
    </row>
    <row r="5716" spans="1:15">
      <c r="A5716" s="25" t="s">
        <v>208</v>
      </c>
      <c r="B5716">
        <v>1110</v>
      </c>
      <c r="C5716" t="s">
        <v>189</v>
      </c>
      <c r="D5716">
        <v>4191</v>
      </c>
      <c r="E5716" s="1">
        <v>2.1299999999999999E-2</v>
      </c>
      <c r="F5716" s="1">
        <v>2.47E-2</v>
      </c>
      <c r="G5716" s="1">
        <v>5.0000000000000001E-4</v>
      </c>
      <c r="H5716" s="1">
        <v>0.1106</v>
      </c>
      <c r="I5716" s="1">
        <v>3.3999999999999998E-3</v>
      </c>
      <c r="J5716" s="1">
        <v>0.65169999999999995</v>
      </c>
      <c r="K5716" s="1">
        <v>2.0000000000000001E-4</v>
      </c>
      <c r="L5716" s="1">
        <v>0.63749999999999996</v>
      </c>
      <c r="M5716" s="1">
        <v>0.16650000000000001</v>
      </c>
      <c r="N5716" s="1">
        <v>2.8E-3</v>
      </c>
      <c r="O5716" s="1">
        <v>1.6999999999999999E-3</v>
      </c>
    </row>
    <row r="5717" spans="1:15">
      <c r="A5717" s="25" t="s">
        <v>209</v>
      </c>
      <c r="B5717">
        <v>384</v>
      </c>
      <c r="C5717" t="s">
        <v>189</v>
      </c>
      <c r="D5717">
        <v>4191</v>
      </c>
      <c r="E5717" s="1">
        <v>2.3699999999999999E-2</v>
      </c>
      <c r="F5717" s="1">
        <v>7.1199999999999999E-2</v>
      </c>
      <c r="G5717" s="1">
        <v>5.1000000000000004E-3</v>
      </c>
      <c r="H5717" s="1">
        <v>0.23150000000000001</v>
      </c>
      <c r="J5717" s="1">
        <v>0.4153</v>
      </c>
      <c r="K5717" s="1">
        <v>5.4999999999999997E-3</v>
      </c>
      <c r="L5717" s="1">
        <v>0.71079999999999999</v>
      </c>
      <c r="M5717" s="1">
        <v>0.62190000000000001</v>
      </c>
    </row>
    <row r="5718" spans="1:15">
      <c r="A5718" s="25" t="s">
        <v>192</v>
      </c>
      <c r="B5718">
        <v>4191</v>
      </c>
      <c r="C5718" t="s">
        <v>192</v>
      </c>
      <c r="D5718">
        <v>4191</v>
      </c>
      <c r="E5718" s="1">
        <v>2.9600000000000001E-2</v>
      </c>
      <c r="F5718" s="1">
        <v>3.5000000000000003E-2</v>
      </c>
      <c r="G5718" s="1">
        <v>1.1999999999999999E-3</v>
      </c>
      <c r="H5718" s="1">
        <v>0.13950000000000001</v>
      </c>
      <c r="I5718" s="1">
        <v>7.3000000000000001E-3</v>
      </c>
      <c r="J5718" s="1">
        <v>0.51039999999999996</v>
      </c>
      <c r="K5718" s="1">
        <v>5.9999999999999995E-4</v>
      </c>
      <c r="L5718" s="1">
        <v>0.69979999999999998</v>
      </c>
      <c r="M5718" s="1">
        <v>0.36320000000000002</v>
      </c>
      <c r="N5718" s="1">
        <v>2.0999999999999999E-3</v>
      </c>
      <c r="O5718" s="1">
        <v>1.8E-3</v>
      </c>
    </row>
    <row r="5720" spans="1:15" ht="43.5">
      <c r="A5720" s="25" t="s">
        <v>1609</v>
      </c>
    </row>
    <row r="5721" spans="1:15">
      <c r="A5721" s="25" t="s">
        <v>182</v>
      </c>
      <c r="B5721" t="s">
        <v>219</v>
      </c>
      <c r="C5721" t="s">
        <v>181</v>
      </c>
      <c r="D5721" t="s">
        <v>188</v>
      </c>
      <c r="E5721" t="s">
        <v>1597</v>
      </c>
      <c r="F5721" t="s">
        <v>1598</v>
      </c>
      <c r="G5721" t="s">
        <v>241</v>
      </c>
      <c r="H5721" t="s">
        <v>1599</v>
      </c>
      <c r="I5721" t="s">
        <v>269</v>
      </c>
      <c r="J5721" t="s">
        <v>1600</v>
      </c>
      <c r="K5721" t="s">
        <v>243</v>
      </c>
      <c r="L5721" t="s">
        <v>1601</v>
      </c>
      <c r="M5721" t="s">
        <v>1602</v>
      </c>
      <c r="N5721" t="s">
        <v>1603</v>
      </c>
      <c r="O5721" t="s">
        <v>1604</v>
      </c>
    </row>
    <row r="5722" spans="1:15">
      <c r="A5722" s="25" t="s">
        <v>211</v>
      </c>
      <c r="B5722">
        <v>1752</v>
      </c>
      <c r="C5722" t="s">
        <v>189</v>
      </c>
      <c r="D5722">
        <v>4191</v>
      </c>
      <c r="E5722" s="1">
        <v>2.9000000000000001E-2</v>
      </c>
      <c r="F5722" s="1">
        <v>3.9899999999999998E-2</v>
      </c>
      <c r="G5722" s="1">
        <v>2E-3</v>
      </c>
      <c r="H5722" s="1">
        <v>0.1353</v>
      </c>
      <c r="I5722" s="1">
        <v>6.8999999999999999E-3</v>
      </c>
      <c r="J5722" s="1">
        <v>0.48060000000000003</v>
      </c>
      <c r="K5722" s="1">
        <v>1E-3</v>
      </c>
      <c r="L5722" s="1">
        <v>0.72470000000000001</v>
      </c>
      <c r="M5722" s="1">
        <v>0.46700000000000003</v>
      </c>
      <c r="N5722" s="1">
        <v>1.8E-3</v>
      </c>
      <c r="O5722" s="1">
        <v>1.2999999999999999E-3</v>
      </c>
    </row>
    <row r="5723" spans="1:15">
      <c r="A5723" s="25" t="s">
        <v>212</v>
      </c>
      <c r="B5723">
        <v>1714</v>
      </c>
      <c r="C5723" t="s">
        <v>189</v>
      </c>
      <c r="D5723">
        <v>4191</v>
      </c>
      <c r="E5723" s="1">
        <v>3.4200000000000001E-2</v>
      </c>
      <c r="F5723" s="1">
        <v>2.6100000000000002E-2</v>
      </c>
      <c r="G5723" s="1">
        <v>4.0000000000000002E-4</v>
      </c>
      <c r="H5723" s="1">
        <v>0.1124</v>
      </c>
      <c r="I5723" s="1">
        <v>4.1000000000000003E-3</v>
      </c>
      <c r="J5723" s="1">
        <v>0.58450000000000002</v>
      </c>
      <c r="K5723" s="1">
        <v>4.0000000000000002E-4</v>
      </c>
      <c r="L5723" s="1">
        <v>0.66839999999999999</v>
      </c>
      <c r="M5723" s="1">
        <v>0.28320000000000001</v>
      </c>
      <c r="N5723" s="1">
        <v>2.8999999999999998E-3</v>
      </c>
      <c r="O5723" s="1">
        <v>1.8E-3</v>
      </c>
    </row>
    <row r="5724" spans="1:15">
      <c r="A5724" s="25" t="s">
        <v>213</v>
      </c>
      <c r="B5724">
        <v>725</v>
      </c>
      <c r="C5724" t="s">
        <v>189</v>
      </c>
      <c r="D5724">
        <v>4191</v>
      </c>
      <c r="E5724" s="1">
        <v>2.0500000000000001E-2</v>
      </c>
      <c r="F5724" s="1">
        <v>4.41E-2</v>
      </c>
      <c r="G5724" s="1">
        <v>1.1000000000000001E-3</v>
      </c>
      <c r="H5724" s="1">
        <v>0.20979999999999999</v>
      </c>
      <c r="I5724" s="1">
        <v>1.5299999999999999E-2</v>
      </c>
      <c r="J5724" s="1">
        <v>0.40820000000000001</v>
      </c>
      <c r="L5724" s="1">
        <v>0.71640000000000004</v>
      </c>
      <c r="M5724" s="1">
        <v>0.31719999999999998</v>
      </c>
      <c r="N5724" s="1">
        <v>1E-3</v>
      </c>
      <c r="O5724" s="1">
        <v>2.7000000000000001E-3</v>
      </c>
    </row>
    <row r="5725" spans="1:15">
      <c r="A5725" s="25" t="s">
        <v>192</v>
      </c>
      <c r="B5725">
        <v>4191</v>
      </c>
      <c r="C5725" t="s">
        <v>192</v>
      </c>
      <c r="D5725">
        <v>4191</v>
      </c>
      <c r="E5725" s="1">
        <v>2.9600000000000001E-2</v>
      </c>
      <c r="F5725" s="1">
        <v>3.5000000000000003E-2</v>
      </c>
      <c r="G5725" s="1">
        <v>1.1999999999999999E-3</v>
      </c>
      <c r="H5725" s="1">
        <v>0.13950000000000001</v>
      </c>
      <c r="I5725" s="1">
        <v>7.3000000000000001E-3</v>
      </c>
      <c r="J5725" s="1">
        <v>0.51039999999999996</v>
      </c>
      <c r="K5725" s="1">
        <v>5.9999999999999995E-4</v>
      </c>
      <c r="L5725" s="1">
        <v>0.69979999999999998</v>
      </c>
      <c r="M5725" s="1">
        <v>0.36320000000000002</v>
      </c>
      <c r="N5725" s="1">
        <v>2.0999999999999999E-3</v>
      </c>
      <c r="O5725" s="1">
        <v>1.8E-3</v>
      </c>
    </row>
    <row r="5727" spans="1:15" ht="29.1">
      <c r="A5727" s="25" t="s">
        <v>1610</v>
      </c>
    </row>
    <row r="5728" spans="1:15">
      <c r="A5728" s="25" t="s">
        <v>182</v>
      </c>
      <c r="B5728" t="s">
        <v>219</v>
      </c>
      <c r="C5728" t="s">
        <v>181</v>
      </c>
      <c r="D5728" t="s">
        <v>188</v>
      </c>
      <c r="E5728" t="s">
        <v>1611</v>
      </c>
      <c r="F5728" t="s">
        <v>1612</v>
      </c>
      <c r="G5728" t="s">
        <v>1613</v>
      </c>
    </row>
    <row r="5729" spans="1:7">
      <c r="A5729" s="25" t="s">
        <v>190</v>
      </c>
      <c r="B5729">
        <v>4400</v>
      </c>
      <c r="C5729" t="s">
        <v>189</v>
      </c>
      <c r="D5729">
        <v>9336</v>
      </c>
      <c r="E5729" s="1">
        <v>3.0599999999999999E-2</v>
      </c>
      <c r="F5729" s="1">
        <v>0.70950000000000002</v>
      </c>
      <c r="G5729" s="1">
        <v>0.25990000000000002</v>
      </c>
    </row>
    <row r="5730" spans="1:7">
      <c r="A5730" s="25" t="s">
        <v>191</v>
      </c>
      <c r="B5730">
        <v>4888</v>
      </c>
      <c r="C5730" t="s">
        <v>189</v>
      </c>
      <c r="D5730">
        <v>9336</v>
      </c>
      <c r="E5730" s="1">
        <v>2.86E-2</v>
      </c>
      <c r="F5730" s="1">
        <v>0.74609999999999999</v>
      </c>
      <c r="G5730" s="1">
        <v>0.2253</v>
      </c>
    </row>
    <row r="5731" spans="1:7">
      <c r="A5731" s="25" t="s">
        <v>192</v>
      </c>
      <c r="B5731">
        <v>9336</v>
      </c>
      <c r="C5731" t="s">
        <v>192</v>
      </c>
      <c r="D5731">
        <v>9336</v>
      </c>
      <c r="E5731" s="1">
        <v>2.93E-2</v>
      </c>
      <c r="F5731" s="1">
        <v>0.73209999999999997</v>
      </c>
      <c r="G5731" s="1">
        <v>0.23860000000000001</v>
      </c>
    </row>
    <row r="5733" spans="1:7" ht="43.5">
      <c r="A5733" s="25" t="s">
        <v>1614</v>
      </c>
    </row>
    <row r="5734" spans="1:7">
      <c r="A5734" s="25" t="s">
        <v>182</v>
      </c>
      <c r="B5734" t="s">
        <v>219</v>
      </c>
      <c r="C5734" t="s">
        <v>181</v>
      </c>
      <c r="D5734" t="s">
        <v>188</v>
      </c>
      <c r="E5734" t="s">
        <v>1611</v>
      </c>
      <c r="F5734" t="s">
        <v>1612</v>
      </c>
      <c r="G5734" t="s">
        <v>1613</v>
      </c>
    </row>
    <row r="5735" spans="1:7" ht="29.1">
      <c r="A5735" s="25" t="s">
        <v>194</v>
      </c>
      <c r="B5735">
        <v>5449</v>
      </c>
      <c r="C5735" t="s">
        <v>189</v>
      </c>
      <c r="D5735">
        <v>9336</v>
      </c>
      <c r="E5735" s="1">
        <v>2.3900000000000001E-2</v>
      </c>
      <c r="F5735" s="1">
        <v>0.74860000000000004</v>
      </c>
      <c r="G5735" s="1">
        <v>0.22750000000000001</v>
      </c>
    </row>
    <row r="5736" spans="1:7" ht="29.1">
      <c r="A5736" s="25" t="s">
        <v>195</v>
      </c>
      <c r="B5736">
        <v>2448</v>
      </c>
      <c r="C5736" t="s">
        <v>189</v>
      </c>
      <c r="D5736">
        <v>9336</v>
      </c>
      <c r="E5736" s="1">
        <v>2.6499999999999999E-2</v>
      </c>
      <c r="F5736" s="1">
        <v>0.73050000000000004</v>
      </c>
      <c r="G5736" s="1">
        <v>0.24299999999999999</v>
      </c>
    </row>
    <row r="5737" spans="1:7" ht="29.1">
      <c r="A5737" s="25" t="s">
        <v>196</v>
      </c>
      <c r="B5737">
        <v>1391</v>
      </c>
      <c r="C5737" t="s">
        <v>189</v>
      </c>
      <c r="D5737">
        <v>9336</v>
      </c>
      <c r="E5737" s="1">
        <v>7.9299999999999995E-2</v>
      </c>
      <c r="F5737" s="1">
        <v>0.60340000000000005</v>
      </c>
      <c r="G5737" s="1">
        <v>0.31730000000000003</v>
      </c>
    </row>
    <row r="5738" spans="1:7">
      <c r="A5738" s="25" t="s">
        <v>192</v>
      </c>
      <c r="B5738">
        <v>9336</v>
      </c>
      <c r="C5738" t="s">
        <v>192</v>
      </c>
      <c r="D5738">
        <v>9336</v>
      </c>
      <c r="E5738" s="1">
        <v>2.93E-2</v>
      </c>
      <c r="F5738" s="1">
        <v>0.73209999999999997</v>
      </c>
      <c r="G5738" s="1">
        <v>0.23860000000000001</v>
      </c>
    </row>
    <row r="5740" spans="1:7" ht="43.5">
      <c r="A5740" s="25" t="s">
        <v>1615</v>
      </c>
    </row>
    <row r="5741" spans="1:7">
      <c r="A5741" s="25" t="s">
        <v>182</v>
      </c>
      <c r="B5741" t="s">
        <v>219</v>
      </c>
      <c r="C5741" t="s">
        <v>181</v>
      </c>
      <c r="D5741" t="s">
        <v>188</v>
      </c>
      <c r="E5741" t="s">
        <v>1611</v>
      </c>
      <c r="F5741" t="s">
        <v>1612</v>
      </c>
      <c r="G5741" t="s">
        <v>1613</v>
      </c>
    </row>
    <row r="5742" spans="1:7">
      <c r="A5742" s="25" t="s">
        <v>198</v>
      </c>
      <c r="B5742">
        <v>1930</v>
      </c>
      <c r="C5742" t="s">
        <v>189</v>
      </c>
      <c r="D5742">
        <v>9336</v>
      </c>
      <c r="E5742" s="1">
        <v>6.08E-2</v>
      </c>
      <c r="F5742" s="1">
        <v>0.55410000000000004</v>
      </c>
      <c r="G5742" s="1">
        <v>0.3851</v>
      </c>
    </row>
    <row r="5743" spans="1:7">
      <c r="A5743" s="25" t="s">
        <v>199</v>
      </c>
      <c r="B5743">
        <v>7406</v>
      </c>
      <c r="C5743" t="s">
        <v>189</v>
      </c>
      <c r="D5743">
        <v>9336</v>
      </c>
      <c r="E5743" s="1">
        <v>2.2700000000000001E-2</v>
      </c>
      <c r="F5743" s="1">
        <v>0.76939999999999997</v>
      </c>
      <c r="G5743" s="1">
        <v>0.2079</v>
      </c>
    </row>
    <row r="5744" spans="1:7">
      <c r="A5744" s="25" t="s">
        <v>192</v>
      </c>
      <c r="B5744">
        <v>9336</v>
      </c>
      <c r="C5744" t="s">
        <v>192</v>
      </c>
      <c r="D5744">
        <v>9336</v>
      </c>
      <c r="E5744" s="1">
        <v>2.93E-2</v>
      </c>
      <c r="F5744" s="1">
        <v>0.73209999999999997</v>
      </c>
      <c r="G5744" s="1">
        <v>0.23860000000000001</v>
      </c>
    </row>
    <row r="5746" spans="1:7" ht="43.5">
      <c r="A5746" s="25" t="s">
        <v>1616</v>
      </c>
    </row>
    <row r="5747" spans="1:7">
      <c r="A5747" s="25" t="s">
        <v>182</v>
      </c>
      <c r="B5747" t="s">
        <v>219</v>
      </c>
      <c r="C5747" t="s">
        <v>181</v>
      </c>
      <c r="D5747" t="s">
        <v>188</v>
      </c>
      <c r="E5747" t="s">
        <v>1611</v>
      </c>
      <c r="F5747" t="s">
        <v>1612</v>
      </c>
      <c r="G5747" t="s">
        <v>1613</v>
      </c>
    </row>
    <row r="5748" spans="1:7">
      <c r="A5748" s="25" t="s">
        <v>201</v>
      </c>
      <c r="B5748">
        <v>643</v>
      </c>
      <c r="C5748" t="s">
        <v>189</v>
      </c>
      <c r="D5748">
        <v>9336</v>
      </c>
      <c r="E5748" s="1">
        <v>6.1100000000000002E-2</v>
      </c>
      <c r="F5748" s="1">
        <v>0.6351</v>
      </c>
      <c r="G5748" s="1">
        <v>0.30380000000000001</v>
      </c>
    </row>
    <row r="5749" spans="1:7">
      <c r="A5749" s="25" t="s">
        <v>202</v>
      </c>
      <c r="B5749">
        <v>93</v>
      </c>
      <c r="C5749" t="s">
        <v>189</v>
      </c>
      <c r="D5749">
        <v>9336</v>
      </c>
      <c r="E5749" s="1">
        <v>5.0599999999999999E-2</v>
      </c>
      <c r="F5749" s="1">
        <v>0.64700000000000002</v>
      </c>
      <c r="G5749" s="1">
        <v>0.30249999999999999</v>
      </c>
    </row>
    <row r="5750" spans="1:7">
      <c r="A5750" s="25" t="s">
        <v>203</v>
      </c>
      <c r="B5750">
        <v>7308</v>
      </c>
      <c r="C5750" t="s">
        <v>189</v>
      </c>
      <c r="D5750">
        <v>9336</v>
      </c>
      <c r="E5750" s="1">
        <v>2.6700000000000002E-2</v>
      </c>
      <c r="F5750" s="1">
        <v>0.72809999999999997</v>
      </c>
      <c r="G5750" s="1">
        <v>0.24529999999999999</v>
      </c>
    </row>
    <row r="5751" spans="1:7">
      <c r="A5751" s="25" t="s">
        <v>204</v>
      </c>
      <c r="B5751">
        <v>24</v>
      </c>
      <c r="C5751" t="s">
        <v>189</v>
      </c>
      <c r="D5751">
        <v>9336</v>
      </c>
      <c r="E5751" s="1">
        <v>1.18E-2</v>
      </c>
      <c r="F5751" s="1">
        <v>0.874</v>
      </c>
      <c r="G5751" s="1">
        <v>0.1142</v>
      </c>
    </row>
    <row r="5752" spans="1:7">
      <c r="A5752" s="25" t="s">
        <v>205</v>
      </c>
      <c r="B5752">
        <v>1268</v>
      </c>
      <c r="C5752" t="s">
        <v>189</v>
      </c>
      <c r="D5752">
        <v>9336</v>
      </c>
      <c r="E5752" s="1">
        <v>2.8500000000000001E-2</v>
      </c>
      <c r="F5752" s="1">
        <v>0.80630000000000002</v>
      </c>
      <c r="G5752" s="1">
        <v>0.1651</v>
      </c>
    </row>
    <row r="5753" spans="1:7">
      <c r="A5753" s="25" t="s">
        <v>192</v>
      </c>
      <c r="B5753">
        <v>9336</v>
      </c>
      <c r="C5753" t="s">
        <v>192</v>
      </c>
      <c r="D5753">
        <v>9336</v>
      </c>
      <c r="E5753" s="1">
        <v>2.93E-2</v>
      </c>
      <c r="F5753" s="1">
        <v>0.73209999999999997</v>
      </c>
      <c r="G5753" s="1">
        <v>0.23860000000000001</v>
      </c>
    </row>
    <row r="5755" spans="1:7" ht="29.1">
      <c r="A5755" s="25" t="s">
        <v>1617</v>
      </c>
    </row>
    <row r="5756" spans="1:7">
      <c r="A5756" s="25" t="s">
        <v>182</v>
      </c>
      <c r="B5756" t="s">
        <v>219</v>
      </c>
      <c r="C5756" t="s">
        <v>181</v>
      </c>
      <c r="D5756" t="s">
        <v>188</v>
      </c>
      <c r="E5756" t="s">
        <v>1611</v>
      </c>
      <c r="F5756" t="s">
        <v>1612</v>
      </c>
      <c r="G5756" t="s">
        <v>1613</v>
      </c>
    </row>
    <row r="5757" spans="1:7">
      <c r="A5757" s="25" t="s">
        <v>207</v>
      </c>
      <c r="B5757">
        <v>6546</v>
      </c>
      <c r="C5757" t="s">
        <v>189</v>
      </c>
      <c r="D5757">
        <v>9336</v>
      </c>
      <c r="E5757" s="1">
        <v>2.2800000000000001E-2</v>
      </c>
      <c r="F5757" s="1">
        <v>0.76649999999999996</v>
      </c>
      <c r="G5757" s="1">
        <v>0.2107</v>
      </c>
    </row>
    <row r="5758" spans="1:7">
      <c r="A5758" s="25" t="s">
        <v>208</v>
      </c>
      <c r="B5758">
        <v>1963</v>
      </c>
      <c r="C5758" t="s">
        <v>189</v>
      </c>
      <c r="D5758">
        <v>9336</v>
      </c>
      <c r="E5758" s="1">
        <v>4.24E-2</v>
      </c>
      <c r="F5758" s="1">
        <v>0.61529999999999996</v>
      </c>
      <c r="G5758" s="1">
        <v>0.34229999999999999</v>
      </c>
    </row>
    <row r="5759" spans="1:7">
      <c r="A5759" s="25" t="s">
        <v>209</v>
      </c>
      <c r="B5759">
        <v>827</v>
      </c>
      <c r="C5759" t="s">
        <v>189</v>
      </c>
      <c r="D5759">
        <v>9336</v>
      </c>
      <c r="E5759" s="1">
        <v>5.1499999999999997E-2</v>
      </c>
      <c r="F5759" s="1">
        <v>0.74939999999999996</v>
      </c>
      <c r="G5759" s="1">
        <v>0.1991</v>
      </c>
    </row>
    <row r="5760" spans="1:7">
      <c r="A5760" s="25" t="s">
        <v>192</v>
      </c>
      <c r="B5760">
        <v>9336</v>
      </c>
      <c r="C5760" t="s">
        <v>192</v>
      </c>
      <c r="D5760">
        <v>9336</v>
      </c>
      <c r="E5760" s="1">
        <v>2.93E-2</v>
      </c>
      <c r="F5760" s="1">
        <v>0.73209999999999997</v>
      </c>
      <c r="G5760" s="1">
        <v>0.23860000000000001</v>
      </c>
    </row>
    <row r="5762" spans="1:7" ht="29.1">
      <c r="A5762" s="25" t="s">
        <v>1618</v>
      </c>
    </row>
    <row r="5763" spans="1:7">
      <c r="A5763" s="25" t="s">
        <v>182</v>
      </c>
      <c r="B5763" t="s">
        <v>219</v>
      </c>
      <c r="C5763" t="s">
        <v>181</v>
      </c>
      <c r="D5763" t="s">
        <v>188</v>
      </c>
      <c r="E5763" t="s">
        <v>1611</v>
      </c>
      <c r="F5763" t="s">
        <v>1612</v>
      </c>
      <c r="G5763" t="s">
        <v>1613</v>
      </c>
    </row>
    <row r="5764" spans="1:7">
      <c r="A5764" s="25" t="s">
        <v>211</v>
      </c>
      <c r="B5764">
        <v>4513</v>
      </c>
      <c r="C5764" t="s">
        <v>189</v>
      </c>
      <c r="D5764">
        <v>9336</v>
      </c>
      <c r="E5764" s="1">
        <v>1.7600000000000001E-2</v>
      </c>
      <c r="F5764" s="1">
        <v>0.79390000000000005</v>
      </c>
      <c r="G5764" s="1">
        <v>0.1885</v>
      </c>
    </row>
    <row r="5765" spans="1:7">
      <c r="A5765" s="25" t="s">
        <v>212</v>
      </c>
      <c r="B5765">
        <v>2929</v>
      </c>
      <c r="C5765" t="s">
        <v>189</v>
      </c>
      <c r="D5765">
        <v>9336</v>
      </c>
      <c r="E5765" s="1">
        <v>4.9599999999999998E-2</v>
      </c>
      <c r="F5765" s="1">
        <v>0.62080000000000002</v>
      </c>
      <c r="G5765" s="1">
        <v>0.32950000000000002</v>
      </c>
    </row>
    <row r="5766" spans="1:7">
      <c r="A5766" s="25" t="s">
        <v>213</v>
      </c>
      <c r="B5766">
        <v>1894</v>
      </c>
      <c r="C5766" t="s">
        <v>189</v>
      </c>
      <c r="D5766">
        <v>9336</v>
      </c>
      <c r="E5766" s="1">
        <v>2.6200000000000001E-2</v>
      </c>
      <c r="F5766" s="1">
        <v>0.75339999999999996</v>
      </c>
      <c r="G5766" s="1">
        <v>0.22040000000000001</v>
      </c>
    </row>
    <row r="5767" spans="1:7">
      <c r="A5767" s="25" t="s">
        <v>192</v>
      </c>
      <c r="B5767">
        <v>9336</v>
      </c>
      <c r="C5767" t="s">
        <v>192</v>
      </c>
      <c r="D5767">
        <v>9336</v>
      </c>
      <c r="E5767" s="1">
        <v>2.93E-2</v>
      </c>
      <c r="F5767" s="1">
        <v>0.73209999999999997</v>
      </c>
      <c r="G5767" s="1">
        <v>0.23860000000000001</v>
      </c>
    </row>
    <row r="5769" spans="1:7" ht="29.1">
      <c r="A5769" s="25" t="s">
        <v>1619</v>
      </c>
    </row>
    <row r="5770" spans="1:7">
      <c r="A5770" s="25" t="s">
        <v>182</v>
      </c>
      <c r="B5770" t="s">
        <v>219</v>
      </c>
      <c r="C5770" t="s">
        <v>181</v>
      </c>
      <c r="D5770" t="s">
        <v>188</v>
      </c>
      <c r="E5770" t="s">
        <v>1313</v>
      </c>
      <c r="F5770" t="s">
        <v>1620</v>
      </c>
      <c r="G5770" t="s">
        <v>1621</v>
      </c>
    </row>
    <row r="5771" spans="1:7">
      <c r="A5771" s="25" t="s">
        <v>190</v>
      </c>
      <c r="B5771">
        <v>4903</v>
      </c>
      <c r="C5771" t="s">
        <v>189</v>
      </c>
      <c r="D5771">
        <v>10434</v>
      </c>
      <c r="E5771" s="1">
        <v>1.6899999999999998E-2</v>
      </c>
      <c r="F5771" s="1">
        <v>0.98</v>
      </c>
      <c r="G5771" s="1">
        <v>3.0999999999999999E-3</v>
      </c>
    </row>
    <row r="5772" spans="1:7">
      <c r="A5772" s="25" t="s">
        <v>191</v>
      </c>
      <c r="B5772">
        <v>5474</v>
      </c>
      <c r="C5772" t="s">
        <v>189</v>
      </c>
      <c r="D5772">
        <v>10434</v>
      </c>
      <c r="E5772" s="1">
        <v>1.46E-2</v>
      </c>
      <c r="F5772" s="1">
        <v>0.9819</v>
      </c>
      <c r="G5772" s="1">
        <v>3.5000000000000001E-3</v>
      </c>
    </row>
    <row r="5773" spans="1:7">
      <c r="A5773" s="25" t="s">
        <v>192</v>
      </c>
      <c r="B5773">
        <v>10434</v>
      </c>
      <c r="C5773" t="s">
        <v>192</v>
      </c>
      <c r="D5773">
        <v>10434</v>
      </c>
      <c r="E5773" s="1">
        <v>1.55E-2</v>
      </c>
      <c r="F5773" s="1">
        <v>0.98119999999999996</v>
      </c>
      <c r="G5773" s="1">
        <v>3.3E-3</v>
      </c>
    </row>
    <row r="5775" spans="1:7" ht="43.5">
      <c r="A5775" s="25" t="s">
        <v>1622</v>
      </c>
    </row>
    <row r="5776" spans="1:7">
      <c r="A5776" s="25" t="s">
        <v>182</v>
      </c>
      <c r="B5776" t="s">
        <v>219</v>
      </c>
      <c r="C5776" t="s">
        <v>181</v>
      </c>
      <c r="D5776" t="s">
        <v>188</v>
      </c>
      <c r="E5776" t="s">
        <v>1313</v>
      </c>
      <c r="F5776" t="s">
        <v>1620</v>
      </c>
      <c r="G5776" t="s">
        <v>1621</v>
      </c>
    </row>
    <row r="5777" spans="1:7" ht="29.1">
      <c r="A5777" s="25" t="s">
        <v>194</v>
      </c>
      <c r="B5777">
        <v>5954</v>
      </c>
      <c r="C5777" t="s">
        <v>189</v>
      </c>
      <c r="D5777">
        <v>10434</v>
      </c>
      <c r="E5777" s="1">
        <v>1.2200000000000001E-2</v>
      </c>
      <c r="F5777" s="1">
        <v>0.98570000000000002</v>
      </c>
      <c r="G5777" s="1">
        <v>2.0999999999999999E-3</v>
      </c>
    </row>
    <row r="5778" spans="1:7" ht="29.1">
      <c r="A5778" s="25" t="s">
        <v>195</v>
      </c>
      <c r="B5778">
        <v>2703</v>
      </c>
      <c r="C5778" t="s">
        <v>189</v>
      </c>
      <c r="D5778">
        <v>10434</v>
      </c>
      <c r="E5778" s="1">
        <v>2.0199999999999999E-2</v>
      </c>
      <c r="F5778" s="1">
        <v>0.97309999999999997</v>
      </c>
      <c r="G5778" s="1">
        <v>6.7999999999999996E-3</v>
      </c>
    </row>
    <row r="5779" spans="1:7" ht="29.1">
      <c r="A5779" s="25" t="s">
        <v>196</v>
      </c>
      <c r="B5779">
        <v>1720</v>
      </c>
      <c r="C5779" t="s">
        <v>189</v>
      </c>
      <c r="D5779">
        <v>10434</v>
      </c>
      <c r="E5779" s="1">
        <v>3.1E-2</v>
      </c>
      <c r="F5779" s="1">
        <v>0.96360000000000001</v>
      </c>
      <c r="G5779" s="1">
        <v>5.4000000000000003E-3</v>
      </c>
    </row>
    <row r="5780" spans="1:7">
      <c r="A5780" s="25" t="s">
        <v>192</v>
      </c>
      <c r="B5780">
        <v>10434</v>
      </c>
      <c r="C5780" t="s">
        <v>192</v>
      </c>
      <c r="D5780">
        <v>10434</v>
      </c>
      <c r="E5780" s="1">
        <v>1.55E-2</v>
      </c>
      <c r="F5780" s="1">
        <v>0.98119999999999996</v>
      </c>
      <c r="G5780" s="1">
        <v>3.3E-3</v>
      </c>
    </row>
    <row r="5782" spans="1:7" ht="29.1">
      <c r="A5782" s="25" t="s">
        <v>1623</v>
      </c>
    </row>
    <row r="5783" spans="1:7">
      <c r="A5783" s="25" t="s">
        <v>182</v>
      </c>
      <c r="B5783" t="s">
        <v>219</v>
      </c>
      <c r="C5783" t="s">
        <v>181</v>
      </c>
      <c r="D5783" t="s">
        <v>188</v>
      </c>
      <c r="E5783" t="s">
        <v>1313</v>
      </c>
      <c r="F5783" t="s">
        <v>1620</v>
      </c>
      <c r="G5783" t="s">
        <v>1621</v>
      </c>
    </row>
    <row r="5784" spans="1:7">
      <c r="A5784" s="25" t="s">
        <v>198</v>
      </c>
      <c r="B5784">
        <v>2264</v>
      </c>
      <c r="C5784" t="s">
        <v>189</v>
      </c>
      <c r="D5784">
        <v>10434</v>
      </c>
      <c r="E5784" s="1">
        <v>3.6700000000000003E-2</v>
      </c>
      <c r="F5784" s="1">
        <v>0.95579999999999998</v>
      </c>
      <c r="G5784" s="1">
        <v>7.4999999999999997E-3</v>
      </c>
    </row>
    <row r="5785" spans="1:7">
      <c r="A5785" s="25" t="s">
        <v>199</v>
      </c>
      <c r="B5785">
        <v>8170</v>
      </c>
      <c r="C5785" t="s">
        <v>189</v>
      </c>
      <c r="D5785">
        <v>10434</v>
      </c>
      <c r="E5785" s="1">
        <v>1.0699999999999999E-2</v>
      </c>
      <c r="F5785" s="1">
        <v>0.9869</v>
      </c>
      <c r="G5785" s="1">
        <v>2.3999999999999998E-3</v>
      </c>
    </row>
    <row r="5786" spans="1:7">
      <c r="A5786" s="25" t="s">
        <v>192</v>
      </c>
      <c r="B5786">
        <v>10434</v>
      </c>
      <c r="C5786" t="s">
        <v>192</v>
      </c>
      <c r="D5786">
        <v>10434</v>
      </c>
      <c r="E5786" s="1">
        <v>1.55E-2</v>
      </c>
      <c r="F5786" s="1">
        <v>0.98119999999999996</v>
      </c>
      <c r="G5786" s="1">
        <v>3.3E-3</v>
      </c>
    </row>
    <row r="5788" spans="1:7" ht="29.1">
      <c r="A5788" s="25" t="s">
        <v>1624</v>
      </c>
    </row>
    <row r="5789" spans="1:7">
      <c r="A5789" s="25" t="s">
        <v>182</v>
      </c>
      <c r="B5789" t="s">
        <v>219</v>
      </c>
      <c r="C5789" t="s">
        <v>181</v>
      </c>
      <c r="D5789" t="s">
        <v>188</v>
      </c>
      <c r="E5789" t="s">
        <v>1313</v>
      </c>
      <c r="F5789" t="s">
        <v>1620</v>
      </c>
      <c r="G5789" t="s">
        <v>1621</v>
      </c>
    </row>
    <row r="5790" spans="1:7">
      <c r="A5790" s="25" t="s">
        <v>201</v>
      </c>
      <c r="B5790">
        <v>767</v>
      </c>
      <c r="C5790" t="s">
        <v>189</v>
      </c>
      <c r="D5790">
        <v>10434</v>
      </c>
      <c r="E5790" s="1">
        <v>1.8800000000000001E-2</v>
      </c>
      <c r="F5790" s="1">
        <v>0.96989999999999998</v>
      </c>
      <c r="G5790" s="1">
        <v>1.1299999999999999E-2</v>
      </c>
    </row>
    <row r="5791" spans="1:7">
      <c r="A5791" s="25" t="s">
        <v>202</v>
      </c>
      <c r="B5791">
        <v>110</v>
      </c>
      <c r="C5791" t="s">
        <v>189</v>
      </c>
      <c r="D5791">
        <v>10434</v>
      </c>
      <c r="E5791" s="1">
        <v>3.7600000000000001E-2</v>
      </c>
      <c r="F5791" s="1">
        <v>0.95850000000000002</v>
      </c>
      <c r="G5791" s="1">
        <v>4.0000000000000001E-3</v>
      </c>
    </row>
    <row r="5792" spans="1:7">
      <c r="A5792" s="25" t="s">
        <v>203</v>
      </c>
      <c r="B5792">
        <v>8042</v>
      </c>
      <c r="C5792" t="s">
        <v>189</v>
      </c>
      <c r="D5792">
        <v>10434</v>
      </c>
      <c r="E5792" s="1">
        <v>1.5699999999999999E-2</v>
      </c>
      <c r="F5792" s="1">
        <v>0.98160000000000003</v>
      </c>
      <c r="G5792" s="1">
        <v>2.7000000000000001E-3</v>
      </c>
    </row>
    <row r="5793" spans="1:7">
      <c r="A5793" s="25" t="s">
        <v>204</v>
      </c>
      <c r="B5793">
        <v>31</v>
      </c>
      <c r="C5793" t="s">
        <v>189</v>
      </c>
      <c r="D5793">
        <v>10434</v>
      </c>
      <c r="F5793" s="1">
        <v>1</v>
      </c>
    </row>
    <row r="5794" spans="1:7">
      <c r="A5794" s="25" t="s">
        <v>205</v>
      </c>
      <c r="B5794">
        <v>1484</v>
      </c>
      <c r="C5794" t="s">
        <v>189</v>
      </c>
      <c r="D5794">
        <v>10434</v>
      </c>
      <c r="E5794" s="1">
        <v>1.2E-2</v>
      </c>
      <c r="F5794" s="1">
        <v>0.98550000000000004</v>
      </c>
      <c r="G5794" s="1">
        <v>2.5999999999999999E-3</v>
      </c>
    </row>
    <row r="5795" spans="1:7">
      <c r="A5795" s="25" t="s">
        <v>192</v>
      </c>
      <c r="B5795">
        <v>10434</v>
      </c>
      <c r="C5795" t="s">
        <v>192</v>
      </c>
      <c r="D5795">
        <v>10434</v>
      </c>
      <c r="E5795" s="1">
        <v>1.55E-2</v>
      </c>
      <c r="F5795" s="1">
        <v>0.98119999999999996</v>
      </c>
      <c r="G5795" s="1">
        <v>3.3E-3</v>
      </c>
    </row>
    <row r="5797" spans="1:7" ht="29.1">
      <c r="A5797" s="25" t="s">
        <v>1625</v>
      </c>
    </row>
    <row r="5798" spans="1:7">
      <c r="A5798" s="25" t="s">
        <v>182</v>
      </c>
      <c r="B5798" t="s">
        <v>219</v>
      </c>
      <c r="C5798" t="s">
        <v>181</v>
      </c>
      <c r="D5798" t="s">
        <v>188</v>
      </c>
      <c r="E5798" t="s">
        <v>1313</v>
      </c>
      <c r="F5798" t="s">
        <v>1620</v>
      </c>
      <c r="G5798" t="s">
        <v>1621</v>
      </c>
    </row>
    <row r="5799" spans="1:7">
      <c r="A5799" s="25" t="s">
        <v>207</v>
      </c>
      <c r="B5799">
        <v>7254</v>
      </c>
      <c r="C5799" t="s">
        <v>189</v>
      </c>
      <c r="D5799">
        <v>10434</v>
      </c>
      <c r="E5799" s="1">
        <v>1.1599999999999999E-2</v>
      </c>
      <c r="F5799" s="1">
        <v>0.98640000000000005</v>
      </c>
      <c r="G5799" s="1">
        <v>2.0999999999999999E-3</v>
      </c>
    </row>
    <row r="5800" spans="1:7">
      <c r="A5800" s="25" t="s">
        <v>208</v>
      </c>
      <c r="B5800">
        <v>2245</v>
      </c>
      <c r="C5800" t="s">
        <v>189</v>
      </c>
      <c r="D5800">
        <v>10434</v>
      </c>
      <c r="E5800" s="1">
        <v>2.9000000000000001E-2</v>
      </c>
      <c r="F5800" s="1">
        <v>0.96399999999999997</v>
      </c>
      <c r="G5800" s="1">
        <v>7.0000000000000001E-3</v>
      </c>
    </row>
    <row r="5801" spans="1:7">
      <c r="A5801" s="25" t="s">
        <v>209</v>
      </c>
      <c r="B5801">
        <v>935</v>
      </c>
      <c r="C5801" t="s">
        <v>189</v>
      </c>
      <c r="D5801">
        <v>10434</v>
      </c>
      <c r="E5801" s="1">
        <v>1.1599999999999999E-2</v>
      </c>
      <c r="F5801" s="1">
        <v>0.9849</v>
      </c>
      <c r="G5801" s="1">
        <v>3.5000000000000001E-3</v>
      </c>
    </row>
    <row r="5802" spans="1:7">
      <c r="A5802" s="25" t="s">
        <v>192</v>
      </c>
      <c r="B5802">
        <v>10434</v>
      </c>
      <c r="C5802" t="s">
        <v>192</v>
      </c>
      <c r="D5802">
        <v>10434</v>
      </c>
      <c r="E5802" s="1">
        <v>1.55E-2</v>
      </c>
      <c r="F5802" s="1">
        <v>0.98119999999999996</v>
      </c>
      <c r="G5802" s="1">
        <v>3.3E-3</v>
      </c>
    </row>
    <row r="5804" spans="1:7" ht="29.1">
      <c r="A5804" s="25" t="s">
        <v>1626</v>
      </c>
    </row>
    <row r="5805" spans="1:7">
      <c r="A5805" s="25" t="s">
        <v>182</v>
      </c>
      <c r="B5805" t="s">
        <v>219</v>
      </c>
      <c r="C5805" t="s">
        <v>181</v>
      </c>
      <c r="D5805" t="s">
        <v>188</v>
      </c>
      <c r="E5805" t="s">
        <v>1313</v>
      </c>
      <c r="F5805" t="s">
        <v>1620</v>
      </c>
      <c r="G5805" t="s">
        <v>1621</v>
      </c>
    </row>
    <row r="5806" spans="1:7">
      <c r="A5806" s="25" t="s">
        <v>211</v>
      </c>
      <c r="B5806">
        <v>4972</v>
      </c>
      <c r="C5806" t="s">
        <v>189</v>
      </c>
      <c r="D5806">
        <v>10434</v>
      </c>
      <c r="E5806" s="1">
        <v>8.8999999999999999E-3</v>
      </c>
      <c r="F5806" s="1">
        <v>0.99019999999999997</v>
      </c>
      <c r="G5806" s="1">
        <v>8.9999999999999998E-4</v>
      </c>
    </row>
    <row r="5807" spans="1:7">
      <c r="A5807" s="25" t="s">
        <v>212</v>
      </c>
      <c r="B5807">
        <v>3376</v>
      </c>
      <c r="C5807" t="s">
        <v>189</v>
      </c>
      <c r="D5807">
        <v>10434</v>
      </c>
      <c r="E5807" s="1">
        <v>2.0899999999999998E-2</v>
      </c>
      <c r="F5807" s="1">
        <v>0.97350000000000003</v>
      </c>
      <c r="G5807" s="1">
        <v>5.5999999999999999E-3</v>
      </c>
    </row>
    <row r="5808" spans="1:7">
      <c r="A5808" s="25" t="s">
        <v>213</v>
      </c>
      <c r="B5808">
        <v>2086</v>
      </c>
      <c r="C5808" t="s">
        <v>189</v>
      </c>
      <c r="D5808">
        <v>10434</v>
      </c>
      <c r="E5808" s="1">
        <v>2.1899999999999999E-2</v>
      </c>
      <c r="F5808" s="1">
        <v>0.9728</v>
      </c>
      <c r="G5808" s="1">
        <v>5.3E-3</v>
      </c>
    </row>
    <row r="5809" spans="1:9">
      <c r="A5809" s="25" t="s">
        <v>192</v>
      </c>
      <c r="B5809">
        <v>10434</v>
      </c>
      <c r="C5809" t="s">
        <v>192</v>
      </c>
      <c r="D5809">
        <v>10434</v>
      </c>
      <c r="E5809" s="1">
        <v>1.55E-2</v>
      </c>
      <c r="F5809" s="1">
        <v>0.98119999999999996</v>
      </c>
      <c r="G5809" s="1">
        <v>3.3E-3</v>
      </c>
    </row>
    <row r="5811" spans="1:9" ht="57.95">
      <c r="A5811" s="25" t="s">
        <v>1627</v>
      </c>
    </row>
    <row r="5812" spans="1:9">
      <c r="A5812" s="25" t="s">
        <v>181</v>
      </c>
      <c r="B5812" t="s">
        <v>182</v>
      </c>
      <c r="C5812" t="s">
        <v>1015</v>
      </c>
      <c r="D5812" t="s">
        <v>1628</v>
      </c>
      <c r="E5812" t="s">
        <v>1629</v>
      </c>
      <c r="F5812" t="s">
        <v>1630</v>
      </c>
      <c r="G5812" t="s">
        <v>1026</v>
      </c>
      <c r="H5812" t="s">
        <v>219</v>
      </c>
      <c r="I5812" t="s">
        <v>188</v>
      </c>
    </row>
    <row r="5813" spans="1:9">
      <c r="A5813" s="25" t="s">
        <v>189</v>
      </c>
      <c r="B5813" t="s">
        <v>215</v>
      </c>
      <c r="C5813" t="s">
        <v>1631</v>
      </c>
      <c r="D5813" s="1">
        <v>5.9999999999999995E-4</v>
      </c>
      <c r="E5813" s="1">
        <v>1.4E-3</v>
      </c>
      <c r="F5813" s="1">
        <v>1.5E-3</v>
      </c>
      <c r="G5813">
        <v>3553</v>
      </c>
      <c r="H5813">
        <v>3307</v>
      </c>
      <c r="I5813">
        <v>10430</v>
      </c>
    </row>
    <row r="5814" spans="1:9">
      <c r="A5814" s="25" t="s">
        <v>189</v>
      </c>
      <c r="B5814" t="s">
        <v>215</v>
      </c>
      <c r="C5814" t="s">
        <v>241</v>
      </c>
      <c r="D5814" s="1">
        <v>8.3000000000000001E-3</v>
      </c>
      <c r="E5814" s="1">
        <v>3.7699999999999997E-2</v>
      </c>
      <c r="F5814" s="1">
        <v>5.67E-2</v>
      </c>
      <c r="G5814">
        <v>3553</v>
      </c>
      <c r="H5814">
        <v>3307</v>
      </c>
      <c r="I5814">
        <v>10430</v>
      </c>
    </row>
    <row r="5815" spans="1:9">
      <c r="A5815" s="25" t="s">
        <v>189</v>
      </c>
      <c r="B5815" t="s">
        <v>215</v>
      </c>
      <c r="C5815" t="s">
        <v>1632</v>
      </c>
      <c r="D5815" s="1">
        <v>9.2999999999999992E-3</v>
      </c>
      <c r="E5815" s="1">
        <v>3.27E-2</v>
      </c>
      <c r="F5815" s="1">
        <v>4.07E-2</v>
      </c>
      <c r="G5815">
        <v>3553</v>
      </c>
      <c r="H5815">
        <v>3307</v>
      </c>
      <c r="I5815">
        <v>10430</v>
      </c>
    </row>
    <row r="5816" spans="1:9">
      <c r="A5816" s="25" t="s">
        <v>189</v>
      </c>
      <c r="B5816" t="s">
        <v>215</v>
      </c>
      <c r="C5816" t="s">
        <v>1633</v>
      </c>
      <c r="D5816" s="1">
        <v>8.8000000000000005E-3</v>
      </c>
      <c r="E5816" s="1">
        <v>1.6899999999999998E-2</v>
      </c>
      <c r="F5816" s="1">
        <v>2.0500000000000001E-2</v>
      </c>
      <c r="G5816">
        <v>3553</v>
      </c>
      <c r="H5816">
        <v>3307</v>
      </c>
      <c r="I5816">
        <v>10430</v>
      </c>
    </row>
    <row r="5817" spans="1:9">
      <c r="A5817" s="25" t="s">
        <v>189</v>
      </c>
      <c r="B5817" t="s">
        <v>215</v>
      </c>
      <c r="C5817" t="s">
        <v>1634</v>
      </c>
      <c r="D5817" s="1">
        <v>8.0000000000000004E-4</v>
      </c>
      <c r="E5817" s="1">
        <v>1.8E-3</v>
      </c>
      <c r="F5817" s="1">
        <v>1.14E-2</v>
      </c>
      <c r="G5817">
        <v>3553</v>
      </c>
      <c r="H5817">
        <v>3307</v>
      </c>
      <c r="I5817">
        <v>10430</v>
      </c>
    </row>
    <row r="5818" spans="1:9">
      <c r="A5818" s="25" t="s">
        <v>189</v>
      </c>
      <c r="B5818" t="s">
        <v>215</v>
      </c>
      <c r="C5818" t="s">
        <v>1635</v>
      </c>
      <c r="D5818" s="1">
        <v>3.6999999999999998E-2</v>
      </c>
      <c r="E5818" s="1">
        <v>0.1024</v>
      </c>
      <c r="F5818" s="1">
        <v>8.8700000000000001E-2</v>
      </c>
      <c r="G5818">
        <v>3553</v>
      </c>
      <c r="H5818">
        <v>3307</v>
      </c>
      <c r="I5818">
        <v>10430</v>
      </c>
    </row>
    <row r="5819" spans="1:9">
      <c r="A5819" s="25" t="s">
        <v>189</v>
      </c>
      <c r="B5819" t="s">
        <v>215</v>
      </c>
      <c r="C5819" t="s">
        <v>1636</v>
      </c>
      <c r="D5819" s="1">
        <v>1E-4</v>
      </c>
      <c r="E5819" s="1">
        <v>1.5E-3</v>
      </c>
      <c r="F5819" s="1">
        <v>5.5999999999999999E-3</v>
      </c>
      <c r="G5819">
        <v>3553</v>
      </c>
      <c r="H5819">
        <v>3307</v>
      </c>
      <c r="I5819">
        <v>10430</v>
      </c>
    </row>
    <row r="5820" spans="1:9">
      <c r="A5820" s="25" t="s">
        <v>189</v>
      </c>
      <c r="B5820" t="s">
        <v>215</v>
      </c>
      <c r="C5820" t="s">
        <v>1637</v>
      </c>
      <c r="D5820" s="1">
        <v>2.6700000000000002E-2</v>
      </c>
      <c r="E5820" s="1">
        <v>5.9700000000000003E-2</v>
      </c>
      <c r="F5820" s="1">
        <v>5.8599999999999999E-2</v>
      </c>
      <c r="G5820">
        <v>3553</v>
      </c>
      <c r="H5820">
        <v>3307</v>
      </c>
      <c r="I5820">
        <v>10430</v>
      </c>
    </row>
    <row r="5821" spans="1:9">
      <c r="A5821" s="25" t="s">
        <v>189</v>
      </c>
      <c r="B5821" t="s">
        <v>215</v>
      </c>
      <c r="C5821" t="s">
        <v>1638</v>
      </c>
      <c r="D5821" s="1">
        <v>4.1000000000000003E-3</v>
      </c>
      <c r="E5821" s="1">
        <v>8.0000000000000002E-3</v>
      </c>
      <c r="F5821" s="1">
        <v>8.2000000000000007E-3</v>
      </c>
      <c r="G5821">
        <v>3553</v>
      </c>
      <c r="H5821">
        <v>3307</v>
      </c>
      <c r="I5821">
        <v>10430</v>
      </c>
    </row>
    <row r="5822" spans="1:9">
      <c r="A5822" s="25" t="s">
        <v>189</v>
      </c>
      <c r="B5822" t="s">
        <v>215</v>
      </c>
      <c r="C5822" t="s">
        <v>1639</v>
      </c>
      <c r="D5822" s="1">
        <v>6.9999999999999999E-4</v>
      </c>
      <c r="E5822" s="1">
        <v>2.5999999999999999E-3</v>
      </c>
      <c r="F5822" s="1">
        <v>2.5000000000000001E-3</v>
      </c>
      <c r="G5822">
        <v>3553</v>
      </c>
      <c r="H5822">
        <v>3307</v>
      </c>
      <c r="I5822">
        <v>10430</v>
      </c>
    </row>
    <row r="5823" spans="1:9">
      <c r="A5823" s="25" t="s">
        <v>189</v>
      </c>
      <c r="B5823" t="s">
        <v>215</v>
      </c>
      <c r="C5823" t="s">
        <v>1640</v>
      </c>
      <c r="D5823" s="1">
        <v>3.3E-3</v>
      </c>
      <c r="E5823" s="1">
        <v>1.03E-2</v>
      </c>
      <c r="F5823" s="1">
        <v>1.1900000000000001E-2</v>
      </c>
      <c r="G5823">
        <v>3553</v>
      </c>
      <c r="H5823">
        <v>3307</v>
      </c>
      <c r="I5823">
        <v>10430</v>
      </c>
    </row>
    <row r="5824" spans="1:9">
      <c r="A5824" s="25" t="s">
        <v>189</v>
      </c>
      <c r="B5824" t="s">
        <v>215</v>
      </c>
      <c r="C5824" t="s">
        <v>1641</v>
      </c>
      <c r="D5824" s="1">
        <v>1.29E-2</v>
      </c>
      <c r="E5824" s="1">
        <v>6.0400000000000002E-2</v>
      </c>
      <c r="F5824" s="1">
        <v>5.3800000000000001E-2</v>
      </c>
      <c r="G5824">
        <v>3553</v>
      </c>
      <c r="H5824">
        <v>3307</v>
      </c>
      <c r="I5824">
        <v>10430</v>
      </c>
    </row>
    <row r="5825" spans="1:9">
      <c r="A5825" s="25" t="s">
        <v>189</v>
      </c>
      <c r="B5825" t="s">
        <v>215</v>
      </c>
      <c r="C5825" t="s">
        <v>1642</v>
      </c>
      <c r="D5825" s="1">
        <v>9.9000000000000008E-3</v>
      </c>
      <c r="E5825" s="1">
        <v>5.0599999999999999E-2</v>
      </c>
      <c r="F5825" s="1">
        <v>3.78E-2</v>
      </c>
      <c r="G5825">
        <v>3553</v>
      </c>
      <c r="H5825">
        <v>3307</v>
      </c>
      <c r="I5825">
        <v>10430</v>
      </c>
    </row>
    <row r="5826" spans="1:9">
      <c r="A5826" s="25" t="s">
        <v>189</v>
      </c>
      <c r="B5826" t="s">
        <v>215</v>
      </c>
      <c r="C5826" t="s">
        <v>1643</v>
      </c>
      <c r="D5826" s="1">
        <v>5.0000000000000001E-3</v>
      </c>
      <c r="E5826" s="1">
        <v>7.4000000000000003E-3</v>
      </c>
      <c r="F5826" s="1">
        <v>1.21E-2</v>
      </c>
      <c r="G5826">
        <v>3553</v>
      </c>
      <c r="H5826">
        <v>3307</v>
      </c>
      <c r="I5826">
        <v>10430</v>
      </c>
    </row>
    <row r="5827" spans="1:9">
      <c r="A5827" s="25" t="s">
        <v>189</v>
      </c>
      <c r="B5827" t="s">
        <v>215</v>
      </c>
      <c r="C5827" t="s">
        <v>1644</v>
      </c>
      <c r="D5827" s="1">
        <v>8.9999999999999998E-4</v>
      </c>
      <c r="E5827" s="1">
        <v>6.7000000000000002E-3</v>
      </c>
      <c r="F5827" s="1">
        <v>6.4000000000000003E-3</v>
      </c>
      <c r="G5827">
        <v>3553</v>
      </c>
      <c r="H5827">
        <v>3307</v>
      </c>
      <c r="I5827">
        <v>10430</v>
      </c>
    </row>
    <row r="5828" spans="1:9">
      <c r="A5828" s="25" t="s">
        <v>189</v>
      </c>
      <c r="B5828" t="s">
        <v>215</v>
      </c>
      <c r="C5828" t="s">
        <v>1645</v>
      </c>
      <c r="D5828" s="1">
        <v>1.1000000000000001E-3</v>
      </c>
      <c r="E5828" s="1">
        <v>2.2000000000000001E-3</v>
      </c>
      <c r="F5828" s="1">
        <v>5.5999999999999999E-3</v>
      </c>
      <c r="G5828">
        <v>3553</v>
      </c>
      <c r="H5828">
        <v>3307</v>
      </c>
      <c r="I5828">
        <v>10430</v>
      </c>
    </row>
    <row r="5829" spans="1:9">
      <c r="A5829" s="25" t="s">
        <v>189</v>
      </c>
      <c r="B5829" t="s">
        <v>215</v>
      </c>
      <c r="C5829" t="s">
        <v>1646</v>
      </c>
      <c r="D5829" s="1">
        <v>1.2999999999999999E-3</v>
      </c>
      <c r="E5829" s="1">
        <v>1.54E-2</v>
      </c>
      <c r="F5829" s="1">
        <v>1.9699999999999999E-2</v>
      </c>
      <c r="G5829">
        <v>3553</v>
      </c>
      <c r="H5829">
        <v>3307</v>
      </c>
      <c r="I5829">
        <v>10430</v>
      </c>
    </row>
    <row r="5830" spans="1:9">
      <c r="A5830" s="25" t="s">
        <v>189</v>
      </c>
      <c r="B5830" t="s">
        <v>215</v>
      </c>
      <c r="C5830" t="s">
        <v>1647</v>
      </c>
      <c r="D5830" s="1">
        <v>5.7999999999999996E-3</v>
      </c>
      <c r="E5830" s="1">
        <v>2.1899999999999999E-2</v>
      </c>
      <c r="F5830" s="1">
        <v>2.64E-2</v>
      </c>
      <c r="G5830">
        <v>3553</v>
      </c>
      <c r="H5830">
        <v>3307</v>
      </c>
      <c r="I5830">
        <v>10430</v>
      </c>
    </row>
    <row r="5831" spans="1:9">
      <c r="A5831" s="25" t="s">
        <v>189</v>
      </c>
      <c r="B5831" t="s">
        <v>215</v>
      </c>
      <c r="C5831" t="s">
        <v>1648</v>
      </c>
      <c r="D5831" s="1">
        <v>0.2651</v>
      </c>
      <c r="E5831" s="1">
        <v>0.1205</v>
      </c>
      <c r="F5831" s="1">
        <v>3.7600000000000001E-2</v>
      </c>
      <c r="G5831">
        <v>3553</v>
      </c>
      <c r="H5831">
        <v>3307</v>
      </c>
      <c r="I5831">
        <v>10430</v>
      </c>
    </row>
    <row r="5832" spans="1:9">
      <c r="A5832" s="25" t="s">
        <v>189</v>
      </c>
      <c r="B5832" t="s">
        <v>215</v>
      </c>
      <c r="C5832" t="s">
        <v>1649</v>
      </c>
      <c r="D5832" s="1">
        <v>0.21659999999999999</v>
      </c>
      <c r="E5832" s="1">
        <v>5.2499999999999998E-2</v>
      </c>
      <c r="F5832" s="1">
        <v>4.2299999999999997E-2</v>
      </c>
      <c r="G5832">
        <v>3553</v>
      </c>
      <c r="H5832">
        <v>3307</v>
      </c>
      <c r="I5832">
        <v>10430</v>
      </c>
    </row>
    <row r="5833" spans="1:9">
      <c r="A5833" s="25" t="s">
        <v>189</v>
      </c>
      <c r="B5833" t="s">
        <v>215</v>
      </c>
      <c r="C5833" t="s">
        <v>324</v>
      </c>
      <c r="D5833" s="1">
        <v>0.37290000000000001</v>
      </c>
      <c r="E5833" s="1">
        <v>0.37869999999999998</v>
      </c>
      <c r="F5833" s="1">
        <v>0.42680000000000001</v>
      </c>
      <c r="G5833">
        <v>3553</v>
      </c>
      <c r="H5833">
        <v>3307</v>
      </c>
      <c r="I5833">
        <v>10430</v>
      </c>
    </row>
    <row r="5834" spans="1:9">
      <c r="A5834" s="25" t="s">
        <v>189</v>
      </c>
      <c r="B5834" t="s">
        <v>215</v>
      </c>
      <c r="C5834" t="s">
        <v>269</v>
      </c>
      <c r="D5834" s="1">
        <v>3.5999999999999999E-3</v>
      </c>
      <c r="E5834" s="1">
        <v>3.7000000000000002E-3</v>
      </c>
      <c r="F5834" s="1">
        <v>8.0000000000000002E-3</v>
      </c>
      <c r="G5834">
        <v>3553</v>
      </c>
      <c r="H5834">
        <v>3307</v>
      </c>
      <c r="I5834">
        <v>10430</v>
      </c>
    </row>
    <row r="5835" spans="1:9">
      <c r="A5835" s="25" t="s">
        <v>189</v>
      </c>
      <c r="B5835" t="s">
        <v>215</v>
      </c>
      <c r="C5835" t="s">
        <v>243</v>
      </c>
      <c r="D5835" s="1">
        <v>4.4999999999999997E-3</v>
      </c>
      <c r="E5835" s="1">
        <v>2.0000000000000001E-4</v>
      </c>
      <c r="F5835" s="1">
        <v>1.8E-3</v>
      </c>
      <c r="G5835">
        <v>3553</v>
      </c>
      <c r="H5835">
        <v>3307</v>
      </c>
      <c r="I5835">
        <v>10430</v>
      </c>
    </row>
    <row r="5836" spans="1:9">
      <c r="A5836" s="25" t="s">
        <v>189</v>
      </c>
      <c r="B5836" t="s">
        <v>215</v>
      </c>
      <c r="C5836" t="s">
        <v>1650</v>
      </c>
      <c r="D5836" s="1">
        <v>6.9999999999999999E-4</v>
      </c>
      <c r="E5836" s="1">
        <v>3.3E-3</v>
      </c>
      <c r="F5836" s="1">
        <v>1.0500000000000001E-2</v>
      </c>
      <c r="G5836">
        <v>3553</v>
      </c>
      <c r="H5836">
        <v>3307</v>
      </c>
      <c r="I5836">
        <v>10430</v>
      </c>
    </row>
    <row r="5837" spans="1:9">
      <c r="A5837" s="25" t="s">
        <v>189</v>
      </c>
      <c r="B5837" t="s">
        <v>216</v>
      </c>
      <c r="C5837" t="s">
        <v>241</v>
      </c>
      <c r="D5837" s="1">
        <v>0.65969999999999995</v>
      </c>
      <c r="G5837">
        <v>1</v>
      </c>
      <c r="H5837">
        <v>2</v>
      </c>
      <c r="I5837">
        <v>10430</v>
      </c>
    </row>
    <row r="5838" spans="1:9">
      <c r="A5838" s="25" t="s">
        <v>189</v>
      </c>
      <c r="B5838" t="s">
        <v>216</v>
      </c>
      <c r="C5838" t="s">
        <v>1649</v>
      </c>
      <c r="D5838" s="1">
        <v>0.34029999999999999</v>
      </c>
      <c r="G5838">
        <v>1</v>
      </c>
      <c r="H5838">
        <v>2</v>
      </c>
      <c r="I5838">
        <v>10430</v>
      </c>
    </row>
    <row r="5839" spans="1:9">
      <c r="A5839" s="25" t="s">
        <v>189</v>
      </c>
      <c r="B5839" t="s">
        <v>217</v>
      </c>
      <c r="C5839" t="s">
        <v>1631</v>
      </c>
      <c r="D5839" s="1">
        <v>1.4E-3</v>
      </c>
      <c r="E5839" s="1">
        <v>6.4999999999999997E-3</v>
      </c>
      <c r="F5839" s="1">
        <v>0.01</v>
      </c>
      <c r="G5839">
        <v>6875</v>
      </c>
      <c r="H5839">
        <v>7121</v>
      </c>
      <c r="I5839">
        <v>10430</v>
      </c>
    </row>
    <row r="5840" spans="1:9">
      <c r="A5840" s="25" t="s">
        <v>189</v>
      </c>
      <c r="B5840" t="s">
        <v>217</v>
      </c>
      <c r="C5840" t="s">
        <v>241</v>
      </c>
      <c r="D5840" s="1">
        <v>1.4E-2</v>
      </c>
      <c r="E5840" s="1">
        <v>2.4899999999999999E-2</v>
      </c>
      <c r="F5840" s="1">
        <v>5.5100000000000003E-2</v>
      </c>
      <c r="G5840">
        <v>6875</v>
      </c>
      <c r="H5840">
        <v>7121</v>
      </c>
      <c r="I5840">
        <v>10430</v>
      </c>
    </row>
    <row r="5841" spans="1:9">
      <c r="A5841" s="25" t="s">
        <v>189</v>
      </c>
      <c r="B5841" t="s">
        <v>217</v>
      </c>
      <c r="C5841" t="s">
        <v>1632</v>
      </c>
      <c r="D5841" s="1">
        <v>1.72E-2</v>
      </c>
      <c r="E5841" s="1">
        <v>4.3099999999999999E-2</v>
      </c>
      <c r="F5841" s="1">
        <v>5.1999999999999998E-2</v>
      </c>
      <c r="G5841">
        <v>6875</v>
      </c>
      <c r="H5841">
        <v>7121</v>
      </c>
      <c r="I5841">
        <v>10430</v>
      </c>
    </row>
    <row r="5842" spans="1:9">
      <c r="A5842" s="25" t="s">
        <v>189</v>
      </c>
      <c r="B5842" t="s">
        <v>217</v>
      </c>
      <c r="C5842" t="s">
        <v>1633</v>
      </c>
      <c r="D5842" s="1">
        <v>1.1599999999999999E-2</v>
      </c>
      <c r="E5842" s="1">
        <v>1.12E-2</v>
      </c>
      <c r="F5842" s="1">
        <v>1.6299999999999999E-2</v>
      </c>
      <c r="G5842">
        <v>6875</v>
      </c>
      <c r="H5842">
        <v>7121</v>
      </c>
      <c r="I5842">
        <v>10430</v>
      </c>
    </row>
    <row r="5843" spans="1:9">
      <c r="A5843" s="25" t="s">
        <v>189</v>
      </c>
      <c r="B5843" t="s">
        <v>217</v>
      </c>
      <c r="C5843" t="s">
        <v>1634</v>
      </c>
      <c r="D5843" s="1">
        <v>1.1999999999999999E-3</v>
      </c>
      <c r="E5843" s="1">
        <v>3.3999999999999998E-3</v>
      </c>
      <c r="F5843" s="1">
        <v>5.1999999999999998E-3</v>
      </c>
      <c r="G5843">
        <v>6875</v>
      </c>
      <c r="H5843">
        <v>7121</v>
      </c>
      <c r="I5843">
        <v>10430</v>
      </c>
    </row>
    <row r="5844" spans="1:9">
      <c r="A5844" s="25" t="s">
        <v>189</v>
      </c>
      <c r="B5844" t="s">
        <v>217</v>
      </c>
      <c r="C5844" t="s">
        <v>1635</v>
      </c>
      <c r="D5844" s="1">
        <v>4.3400000000000001E-2</v>
      </c>
      <c r="E5844" s="1">
        <v>0.11260000000000001</v>
      </c>
      <c r="F5844" s="1">
        <v>8.7800000000000003E-2</v>
      </c>
      <c r="G5844">
        <v>6875</v>
      </c>
      <c r="H5844">
        <v>7121</v>
      </c>
      <c r="I5844">
        <v>10430</v>
      </c>
    </row>
    <row r="5845" spans="1:9">
      <c r="A5845" s="25" t="s">
        <v>189</v>
      </c>
      <c r="B5845" t="s">
        <v>217</v>
      </c>
      <c r="C5845" t="s">
        <v>1636</v>
      </c>
      <c r="D5845" s="1">
        <v>2.0000000000000001E-4</v>
      </c>
      <c r="E5845" s="1">
        <v>1.9E-3</v>
      </c>
      <c r="F5845" s="1">
        <v>5.1000000000000004E-3</v>
      </c>
      <c r="G5845">
        <v>6875</v>
      </c>
      <c r="H5845">
        <v>7121</v>
      </c>
      <c r="I5845">
        <v>10430</v>
      </c>
    </row>
    <row r="5846" spans="1:9">
      <c r="A5846" s="25" t="s">
        <v>189</v>
      </c>
      <c r="B5846" t="s">
        <v>217</v>
      </c>
      <c r="C5846" t="s">
        <v>1637</v>
      </c>
      <c r="D5846" s="1">
        <v>2.46E-2</v>
      </c>
      <c r="E5846" s="1">
        <v>3.6200000000000003E-2</v>
      </c>
      <c r="F5846" s="1">
        <v>2.7E-2</v>
      </c>
      <c r="G5846">
        <v>6875</v>
      </c>
      <c r="H5846">
        <v>7121</v>
      </c>
      <c r="I5846">
        <v>10430</v>
      </c>
    </row>
    <row r="5847" spans="1:9">
      <c r="A5847" s="25" t="s">
        <v>189</v>
      </c>
      <c r="B5847" t="s">
        <v>217</v>
      </c>
      <c r="C5847" t="s">
        <v>1638</v>
      </c>
      <c r="D5847" s="1">
        <v>2.5999999999999999E-3</v>
      </c>
      <c r="E5847" s="1">
        <v>7.0000000000000001E-3</v>
      </c>
      <c r="F5847" s="1">
        <v>1.15E-2</v>
      </c>
      <c r="G5847">
        <v>6875</v>
      </c>
      <c r="H5847">
        <v>7121</v>
      </c>
      <c r="I5847">
        <v>10430</v>
      </c>
    </row>
    <row r="5848" spans="1:9">
      <c r="A5848" s="25" t="s">
        <v>189</v>
      </c>
      <c r="B5848" t="s">
        <v>217</v>
      </c>
      <c r="C5848" t="s">
        <v>1639</v>
      </c>
      <c r="D5848" s="1">
        <v>2.5999999999999999E-3</v>
      </c>
      <c r="E5848" s="1">
        <v>5.1000000000000004E-3</v>
      </c>
      <c r="F5848" s="1">
        <v>4.7000000000000002E-3</v>
      </c>
      <c r="G5848">
        <v>6875</v>
      </c>
      <c r="H5848">
        <v>7121</v>
      </c>
      <c r="I5848">
        <v>10430</v>
      </c>
    </row>
    <row r="5849" spans="1:9">
      <c r="A5849" s="25" t="s">
        <v>189</v>
      </c>
      <c r="B5849" t="s">
        <v>217</v>
      </c>
      <c r="C5849" t="s">
        <v>1640</v>
      </c>
      <c r="D5849" s="1">
        <v>4.3E-3</v>
      </c>
      <c r="E5849" s="1">
        <v>1.5800000000000002E-2</v>
      </c>
      <c r="F5849" s="1">
        <v>1.47E-2</v>
      </c>
      <c r="G5849">
        <v>6875</v>
      </c>
      <c r="H5849">
        <v>7121</v>
      </c>
      <c r="I5849">
        <v>10430</v>
      </c>
    </row>
    <row r="5850" spans="1:9">
      <c r="A5850" s="25" t="s">
        <v>189</v>
      </c>
      <c r="B5850" t="s">
        <v>217</v>
      </c>
      <c r="C5850" t="s">
        <v>1641</v>
      </c>
      <c r="D5850" s="1">
        <v>1.54E-2</v>
      </c>
      <c r="E5850" s="1">
        <v>7.9399999999999998E-2</v>
      </c>
      <c r="F5850" s="1">
        <v>8.8400000000000006E-2</v>
      </c>
      <c r="G5850">
        <v>6875</v>
      </c>
      <c r="H5850">
        <v>7121</v>
      </c>
      <c r="I5850">
        <v>10430</v>
      </c>
    </row>
    <row r="5851" spans="1:9">
      <c r="A5851" s="25" t="s">
        <v>189</v>
      </c>
      <c r="B5851" t="s">
        <v>217</v>
      </c>
      <c r="C5851" t="s">
        <v>1651</v>
      </c>
      <c r="D5851" s="1">
        <v>1.1000000000000001E-3</v>
      </c>
      <c r="E5851" s="1">
        <v>5.0000000000000001E-3</v>
      </c>
      <c r="F5851" s="1">
        <v>8.6999999999999994E-3</v>
      </c>
      <c r="G5851">
        <v>6875</v>
      </c>
      <c r="H5851">
        <v>7121</v>
      </c>
      <c r="I5851">
        <v>10430</v>
      </c>
    </row>
    <row r="5852" spans="1:9">
      <c r="A5852" s="25" t="s">
        <v>189</v>
      </c>
      <c r="B5852" t="s">
        <v>217</v>
      </c>
      <c r="C5852" t="s">
        <v>1642</v>
      </c>
      <c r="D5852" s="1">
        <v>9.5999999999999992E-3</v>
      </c>
      <c r="E5852" s="1">
        <v>4.3099999999999999E-2</v>
      </c>
      <c r="F5852" s="1">
        <v>4.8300000000000003E-2</v>
      </c>
      <c r="G5852">
        <v>6875</v>
      </c>
      <c r="H5852">
        <v>7121</v>
      </c>
      <c r="I5852">
        <v>10430</v>
      </c>
    </row>
    <row r="5853" spans="1:9">
      <c r="A5853" s="25" t="s">
        <v>189</v>
      </c>
      <c r="B5853" t="s">
        <v>217</v>
      </c>
      <c r="C5853" t="s">
        <v>1643</v>
      </c>
      <c r="D5853" s="1">
        <v>2.3E-3</v>
      </c>
      <c r="E5853" s="1">
        <v>3.7000000000000002E-3</v>
      </c>
      <c r="F5853" s="1">
        <v>7.3000000000000001E-3</v>
      </c>
      <c r="G5853">
        <v>6875</v>
      </c>
      <c r="H5853">
        <v>7121</v>
      </c>
      <c r="I5853">
        <v>10430</v>
      </c>
    </row>
    <row r="5854" spans="1:9">
      <c r="A5854" s="25" t="s">
        <v>189</v>
      </c>
      <c r="B5854" t="s">
        <v>217</v>
      </c>
      <c r="C5854" t="s">
        <v>1644</v>
      </c>
      <c r="D5854" s="1">
        <v>1.1000000000000001E-3</v>
      </c>
      <c r="E5854" s="1">
        <v>4.8999999999999998E-3</v>
      </c>
      <c r="F5854" s="1">
        <v>1.55E-2</v>
      </c>
      <c r="G5854">
        <v>6875</v>
      </c>
      <c r="H5854">
        <v>7121</v>
      </c>
      <c r="I5854">
        <v>10430</v>
      </c>
    </row>
    <row r="5855" spans="1:9">
      <c r="A5855" s="25" t="s">
        <v>189</v>
      </c>
      <c r="B5855" t="s">
        <v>217</v>
      </c>
      <c r="C5855" t="s">
        <v>1645</v>
      </c>
      <c r="D5855" s="1">
        <v>6.9999999999999999E-4</v>
      </c>
      <c r="E5855" s="1">
        <v>4.0000000000000002E-4</v>
      </c>
      <c r="F5855" s="1">
        <v>3.0000000000000001E-3</v>
      </c>
      <c r="G5855">
        <v>6875</v>
      </c>
      <c r="H5855">
        <v>7121</v>
      </c>
      <c r="I5855">
        <v>10430</v>
      </c>
    </row>
    <row r="5856" spans="1:9">
      <c r="A5856" s="25" t="s">
        <v>189</v>
      </c>
      <c r="B5856" t="s">
        <v>217</v>
      </c>
      <c r="C5856" t="s">
        <v>1646</v>
      </c>
      <c r="D5856" s="1">
        <v>1.9E-3</v>
      </c>
      <c r="E5856" s="1">
        <v>1.2999999999999999E-2</v>
      </c>
      <c r="F5856" s="1">
        <v>3.1199999999999999E-2</v>
      </c>
      <c r="G5856">
        <v>6875</v>
      </c>
      <c r="H5856">
        <v>7121</v>
      </c>
      <c r="I5856">
        <v>10430</v>
      </c>
    </row>
    <row r="5857" spans="1:9">
      <c r="A5857" s="25" t="s">
        <v>189</v>
      </c>
      <c r="B5857" t="s">
        <v>217</v>
      </c>
      <c r="C5857" t="s">
        <v>1647</v>
      </c>
      <c r="D5857" s="1">
        <v>5.4000000000000003E-3</v>
      </c>
      <c r="E5857" s="1">
        <v>1.7899999999999999E-2</v>
      </c>
      <c r="F5857" s="1">
        <v>3.1399999999999997E-2</v>
      </c>
      <c r="G5857">
        <v>6875</v>
      </c>
      <c r="H5857">
        <v>7121</v>
      </c>
      <c r="I5857">
        <v>10430</v>
      </c>
    </row>
    <row r="5858" spans="1:9">
      <c r="A5858" s="25" t="s">
        <v>189</v>
      </c>
      <c r="B5858" t="s">
        <v>217</v>
      </c>
      <c r="C5858" t="s">
        <v>1648</v>
      </c>
      <c r="D5858" s="1">
        <v>0.29830000000000001</v>
      </c>
      <c r="E5858" s="1">
        <v>0.14630000000000001</v>
      </c>
      <c r="F5858" s="1">
        <v>6.08E-2</v>
      </c>
      <c r="G5858">
        <v>6875</v>
      </c>
      <c r="H5858">
        <v>7121</v>
      </c>
      <c r="I5858">
        <v>10430</v>
      </c>
    </row>
    <row r="5859" spans="1:9">
      <c r="A5859" s="25" t="s">
        <v>189</v>
      </c>
      <c r="B5859" t="s">
        <v>217</v>
      </c>
      <c r="C5859" t="s">
        <v>1649</v>
      </c>
      <c r="D5859" s="1">
        <v>0.20860000000000001</v>
      </c>
      <c r="E5859" s="1">
        <v>7.2900000000000006E-2</v>
      </c>
      <c r="F5859" s="1">
        <v>3.95E-2</v>
      </c>
      <c r="G5859">
        <v>6875</v>
      </c>
      <c r="H5859">
        <v>7121</v>
      </c>
      <c r="I5859">
        <v>10430</v>
      </c>
    </row>
    <row r="5860" spans="1:9">
      <c r="A5860" s="25" t="s">
        <v>189</v>
      </c>
      <c r="B5860" t="s">
        <v>217</v>
      </c>
      <c r="C5860" t="s">
        <v>324</v>
      </c>
      <c r="D5860" s="1">
        <v>0.32950000000000002</v>
      </c>
      <c r="E5860" s="1">
        <v>0.33550000000000002</v>
      </c>
      <c r="F5860" s="1">
        <v>0.36270000000000002</v>
      </c>
      <c r="G5860">
        <v>6875</v>
      </c>
      <c r="H5860">
        <v>7121</v>
      </c>
      <c r="I5860">
        <v>10430</v>
      </c>
    </row>
    <row r="5861" spans="1:9">
      <c r="A5861" s="25" t="s">
        <v>189</v>
      </c>
      <c r="B5861" t="s">
        <v>217</v>
      </c>
      <c r="C5861" t="s">
        <v>269</v>
      </c>
      <c r="D5861" s="1">
        <v>1.4E-3</v>
      </c>
      <c r="E5861" s="1">
        <v>4.5999999999999999E-3</v>
      </c>
      <c r="F5861" s="1">
        <v>6.4999999999999997E-3</v>
      </c>
      <c r="G5861">
        <v>6875</v>
      </c>
      <c r="H5861">
        <v>7121</v>
      </c>
      <c r="I5861">
        <v>10430</v>
      </c>
    </row>
    <row r="5862" spans="1:9">
      <c r="A5862" s="25" t="s">
        <v>189</v>
      </c>
      <c r="B5862" t="s">
        <v>217</v>
      </c>
      <c r="C5862" t="s">
        <v>243</v>
      </c>
      <c r="D5862" s="1">
        <v>8.9999999999999998E-4</v>
      </c>
      <c r="E5862" s="1">
        <v>0</v>
      </c>
      <c r="F5862" s="1">
        <v>1.4E-3</v>
      </c>
      <c r="G5862">
        <v>6875</v>
      </c>
      <c r="H5862">
        <v>7121</v>
      </c>
      <c r="I5862">
        <v>10430</v>
      </c>
    </row>
    <row r="5863" spans="1:9">
      <c r="A5863" s="25" t="s">
        <v>189</v>
      </c>
      <c r="B5863" t="s">
        <v>217</v>
      </c>
      <c r="C5863" t="s">
        <v>1650</v>
      </c>
      <c r="D5863" s="1">
        <v>8.9999999999999998E-4</v>
      </c>
      <c r="E5863" s="1">
        <v>5.7000000000000002E-3</v>
      </c>
      <c r="F5863" s="1">
        <v>6.1999999999999998E-3</v>
      </c>
      <c r="G5863">
        <v>6875</v>
      </c>
      <c r="H5863">
        <v>7121</v>
      </c>
      <c r="I5863">
        <v>10430</v>
      </c>
    </row>
    <row r="5864" spans="1:9">
      <c r="A5864" s="25" t="s">
        <v>192</v>
      </c>
      <c r="B5864" t="s">
        <v>192</v>
      </c>
      <c r="C5864" t="s">
        <v>1631</v>
      </c>
      <c r="D5864" s="1">
        <v>1.1000000000000001E-3</v>
      </c>
      <c r="E5864" s="1">
        <v>4.7999999999999996E-3</v>
      </c>
      <c r="F5864" s="1">
        <v>7.4000000000000003E-3</v>
      </c>
      <c r="G5864">
        <v>10430</v>
      </c>
      <c r="H5864">
        <v>10430</v>
      </c>
      <c r="I5864">
        <v>10430</v>
      </c>
    </row>
    <row r="5865" spans="1:9">
      <c r="A5865" s="25" t="s">
        <v>192</v>
      </c>
      <c r="B5865" t="s">
        <v>192</v>
      </c>
      <c r="C5865" t="s">
        <v>241</v>
      </c>
      <c r="D5865" s="1">
        <v>1.21E-2</v>
      </c>
      <c r="E5865" s="1">
        <v>2.9100000000000001E-2</v>
      </c>
      <c r="F5865" s="1">
        <v>5.5599999999999997E-2</v>
      </c>
      <c r="G5865">
        <v>10430</v>
      </c>
      <c r="H5865">
        <v>10430</v>
      </c>
      <c r="I5865">
        <v>10430</v>
      </c>
    </row>
    <row r="5866" spans="1:9">
      <c r="A5866" s="25" t="s">
        <v>192</v>
      </c>
      <c r="B5866" t="s">
        <v>192</v>
      </c>
      <c r="C5866" t="s">
        <v>1632</v>
      </c>
      <c r="D5866" s="1">
        <v>1.4500000000000001E-2</v>
      </c>
      <c r="E5866" s="1">
        <v>3.9699999999999999E-2</v>
      </c>
      <c r="F5866" s="1">
        <v>4.8500000000000001E-2</v>
      </c>
      <c r="G5866">
        <v>10430</v>
      </c>
      <c r="H5866">
        <v>10430</v>
      </c>
      <c r="I5866">
        <v>10430</v>
      </c>
    </row>
    <row r="5867" spans="1:9">
      <c r="A5867" s="25" t="s">
        <v>192</v>
      </c>
      <c r="B5867" t="s">
        <v>192</v>
      </c>
      <c r="C5867" t="s">
        <v>1633</v>
      </c>
      <c r="D5867" s="1">
        <v>1.0699999999999999E-2</v>
      </c>
      <c r="E5867" s="1">
        <v>1.2999999999999999E-2</v>
      </c>
      <c r="F5867" s="1">
        <v>1.7600000000000001E-2</v>
      </c>
      <c r="G5867">
        <v>10430</v>
      </c>
      <c r="H5867">
        <v>10430</v>
      </c>
      <c r="I5867">
        <v>10430</v>
      </c>
    </row>
    <row r="5868" spans="1:9">
      <c r="A5868" s="25" t="s">
        <v>192</v>
      </c>
      <c r="B5868" t="s">
        <v>192</v>
      </c>
      <c r="C5868" t="s">
        <v>1634</v>
      </c>
      <c r="D5868" s="1">
        <v>1E-3</v>
      </c>
      <c r="E5868" s="1">
        <v>2.8999999999999998E-3</v>
      </c>
      <c r="F5868" s="1">
        <v>7.1000000000000004E-3</v>
      </c>
      <c r="G5868">
        <v>10430</v>
      </c>
      <c r="H5868">
        <v>10430</v>
      </c>
      <c r="I5868">
        <v>10430</v>
      </c>
    </row>
    <row r="5869" spans="1:9">
      <c r="A5869" s="25" t="s">
        <v>192</v>
      </c>
      <c r="B5869" t="s">
        <v>192</v>
      </c>
      <c r="C5869" t="s">
        <v>1635</v>
      </c>
      <c r="D5869" s="1">
        <v>4.1200000000000001E-2</v>
      </c>
      <c r="E5869" s="1">
        <v>0.10920000000000001</v>
      </c>
      <c r="F5869" s="1">
        <v>8.8099999999999998E-2</v>
      </c>
      <c r="G5869">
        <v>10430</v>
      </c>
      <c r="H5869">
        <v>10430</v>
      </c>
      <c r="I5869">
        <v>10430</v>
      </c>
    </row>
    <row r="5870" spans="1:9">
      <c r="A5870" s="25" t="s">
        <v>192</v>
      </c>
      <c r="B5870" t="s">
        <v>192</v>
      </c>
      <c r="C5870" t="s">
        <v>1636</v>
      </c>
      <c r="D5870" s="1">
        <v>2.0000000000000001E-4</v>
      </c>
      <c r="E5870" s="1">
        <v>1.8E-3</v>
      </c>
      <c r="F5870" s="1">
        <v>5.1999999999999998E-3</v>
      </c>
      <c r="G5870">
        <v>10430</v>
      </c>
      <c r="H5870">
        <v>10430</v>
      </c>
      <c r="I5870">
        <v>10430</v>
      </c>
    </row>
    <row r="5871" spans="1:9">
      <c r="A5871" s="25" t="s">
        <v>192</v>
      </c>
      <c r="B5871" t="s">
        <v>192</v>
      </c>
      <c r="C5871" t="s">
        <v>1637</v>
      </c>
      <c r="D5871" s="1">
        <v>2.53E-2</v>
      </c>
      <c r="E5871" s="1">
        <v>4.3900000000000002E-2</v>
      </c>
      <c r="F5871" s="1">
        <v>3.6700000000000003E-2</v>
      </c>
      <c r="G5871">
        <v>10430</v>
      </c>
      <c r="H5871">
        <v>10430</v>
      </c>
      <c r="I5871">
        <v>10430</v>
      </c>
    </row>
    <row r="5872" spans="1:9">
      <c r="A5872" s="25" t="s">
        <v>192</v>
      </c>
      <c r="B5872" t="s">
        <v>192</v>
      </c>
      <c r="C5872" t="s">
        <v>1638</v>
      </c>
      <c r="D5872" s="1">
        <v>3.0999999999999999E-3</v>
      </c>
      <c r="E5872" s="1">
        <v>7.3000000000000001E-3</v>
      </c>
      <c r="F5872" s="1">
        <v>1.0500000000000001E-2</v>
      </c>
      <c r="G5872">
        <v>10430</v>
      </c>
      <c r="H5872">
        <v>10430</v>
      </c>
      <c r="I5872">
        <v>10430</v>
      </c>
    </row>
    <row r="5873" spans="1:9">
      <c r="A5873" s="25" t="s">
        <v>192</v>
      </c>
      <c r="B5873" t="s">
        <v>192</v>
      </c>
      <c r="C5873" t="s">
        <v>1639</v>
      </c>
      <c r="D5873" s="1">
        <v>1.9E-3</v>
      </c>
      <c r="E5873" s="1">
        <v>4.3E-3</v>
      </c>
      <c r="F5873" s="1">
        <v>4.0000000000000001E-3</v>
      </c>
      <c r="G5873">
        <v>10430</v>
      </c>
      <c r="H5873">
        <v>10430</v>
      </c>
      <c r="I5873">
        <v>10430</v>
      </c>
    </row>
    <row r="5874" spans="1:9">
      <c r="A5874" s="25" t="s">
        <v>192</v>
      </c>
      <c r="B5874" t="s">
        <v>192</v>
      </c>
      <c r="C5874" t="s">
        <v>1640</v>
      </c>
      <c r="D5874" s="1">
        <v>4.0000000000000001E-3</v>
      </c>
      <c r="E5874" s="1">
        <v>1.4E-2</v>
      </c>
      <c r="F5874" s="1">
        <v>1.38E-2</v>
      </c>
      <c r="G5874">
        <v>10430</v>
      </c>
      <c r="H5874">
        <v>10430</v>
      </c>
      <c r="I5874">
        <v>10430</v>
      </c>
    </row>
    <row r="5875" spans="1:9">
      <c r="A5875" s="25" t="s">
        <v>192</v>
      </c>
      <c r="B5875" t="s">
        <v>192</v>
      </c>
      <c r="C5875" t="s">
        <v>1641</v>
      </c>
      <c r="D5875" s="1">
        <v>1.4500000000000001E-2</v>
      </c>
      <c r="E5875" s="1">
        <v>7.3200000000000001E-2</v>
      </c>
      <c r="F5875" s="1">
        <v>7.7799999999999994E-2</v>
      </c>
      <c r="G5875">
        <v>10430</v>
      </c>
      <c r="H5875">
        <v>10430</v>
      </c>
      <c r="I5875">
        <v>10430</v>
      </c>
    </row>
    <row r="5876" spans="1:9">
      <c r="A5876" s="25" t="s">
        <v>192</v>
      </c>
      <c r="B5876" t="s">
        <v>192</v>
      </c>
      <c r="C5876" t="s">
        <v>1651</v>
      </c>
      <c r="D5876" s="1">
        <v>6.9999999999999999E-4</v>
      </c>
      <c r="E5876" s="1">
        <v>3.8E-3</v>
      </c>
      <c r="F5876" s="1">
        <v>7.6E-3</v>
      </c>
      <c r="G5876">
        <v>10430</v>
      </c>
      <c r="H5876">
        <v>10430</v>
      </c>
      <c r="I5876">
        <v>10430</v>
      </c>
    </row>
    <row r="5877" spans="1:9">
      <c r="A5877" s="25" t="s">
        <v>192</v>
      </c>
      <c r="B5877" t="s">
        <v>192</v>
      </c>
      <c r="C5877" t="s">
        <v>1642</v>
      </c>
      <c r="D5877" s="1">
        <v>9.7000000000000003E-3</v>
      </c>
      <c r="E5877" s="1">
        <v>4.5600000000000002E-2</v>
      </c>
      <c r="F5877" s="1">
        <v>4.5100000000000001E-2</v>
      </c>
      <c r="G5877">
        <v>10430</v>
      </c>
      <c r="H5877">
        <v>10430</v>
      </c>
      <c r="I5877">
        <v>10430</v>
      </c>
    </row>
    <row r="5878" spans="1:9">
      <c r="A5878" s="25" t="s">
        <v>192</v>
      </c>
      <c r="B5878" t="s">
        <v>192</v>
      </c>
      <c r="C5878" t="s">
        <v>1643</v>
      </c>
      <c r="D5878" s="1">
        <v>3.2000000000000002E-3</v>
      </c>
      <c r="E5878" s="1">
        <v>4.8999999999999998E-3</v>
      </c>
      <c r="F5878" s="1">
        <v>8.8000000000000005E-3</v>
      </c>
      <c r="G5878">
        <v>10430</v>
      </c>
      <c r="H5878">
        <v>10430</v>
      </c>
      <c r="I5878">
        <v>10430</v>
      </c>
    </row>
    <row r="5879" spans="1:9">
      <c r="A5879" s="25" t="s">
        <v>192</v>
      </c>
      <c r="B5879" t="s">
        <v>192</v>
      </c>
      <c r="C5879" t="s">
        <v>1644</v>
      </c>
      <c r="D5879" s="1">
        <v>1E-3</v>
      </c>
      <c r="E5879" s="1">
        <v>5.4999999999999997E-3</v>
      </c>
      <c r="F5879" s="1">
        <v>1.2699999999999999E-2</v>
      </c>
      <c r="G5879">
        <v>10430</v>
      </c>
      <c r="H5879">
        <v>10430</v>
      </c>
      <c r="I5879">
        <v>10430</v>
      </c>
    </row>
    <row r="5880" spans="1:9">
      <c r="A5880" s="25" t="s">
        <v>192</v>
      </c>
      <c r="B5880" t="s">
        <v>192</v>
      </c>
      <c r="C5880" t="s">
        <v>1645</v>
      </c>
      <c r="D5880" s="1">
        <v>8.0000000000000004E-4</v>
      </c>
      <c r="E5880" s="1">
        <v>1E-3</v>
      </c>
      <c r="F5880" s="1">
        <v>3.8E-3</v>
      </c>
      <c r="G5880">
        <v>10430</v>
      </c>
      <c r="H5880">
        <v>10430</v>
      </c>
      <c r="I5880">
        <v>10430</v>
      </c>
    </row>
    <row r="5881" spans="1:9">
      <c r="A5881" s="25" t="s">
        <v>192</v>
      </c>
      <c r="B5881" t="s">
        <v>192</v>
      </c>
      <c r="C5881" t="s">
        <v>1646</v>
      </c>
      <c r="D5881" s="1">
        <v>1.6999999999999999E-3</v>
      </c>
      <c r="E5881" s="1">
        <v>1.38E-2</v>
      </c>
      <c r="F5881" s="1">
        <v>2.7699999999999999E-2</v>
      </c>
      <c r="G5881">
        <v>10430</v>
      </c>
      <c r="H5881">
        <v>10430</v>
      </c>
      <c r="I5881">
        <v>10430</v>
      </c>
    </row>
    <row r="5882" spans="1:9">
      <c r="A5882" s="25" t="s">
        <v>192</v>
      </c>
      <c r="B5882" t="s">
        <v>192</v>
      </c>
      <c r="C5882" t="s">
        <v>1647</v>
      </c>
      <c r="D5882" s="1">
        <v>5.4999999999999997E-3</v>
      </c>
      <c r="E5882" s="1">
        <v>1.9199999999999998E-2</v>
      </c>
      <c r="F5882" s="1">
        <v>2.98E-2</v>
      </c>
      <c r="G5882">
        <v>10430</v>
      </c>
      <c r="H5882">
        <v>10430</v>
      </c>
      <c r="I5882">
        <v>10430</v>
      </c>
    </row>
    <row r="5883" spans="1:9">
      <c r="A5883" s="25" t="s">
        <v>192</v>
      </c>
      <c r="B5883" t="s">
        <v>192</v>
      </c>
      <c r="C5883" t="s">
        <v>1648</v>
      </c>
      <c r="D5883" s="1">
        <v>0.28689999999999999</v>
      </c>
      <c r="E5883" s="1">
        <v>0.13789999999999999</v>
      </c>
      <c r="F5883" s="1">
        <v>5.3699999999999998E-2</v>
      </c>
      <c r="G5883">
        <v>10430</v>
      </c>
      <c r="H5883">
        <v>10430</v>
      </c>
      <c r="I5883">
        <v>10430</v>
      </c>
    </row>
    <row r="5884" spans="1:9">
      <c r="A5884" s="25" t="s">
        <v>192</v>
      </c>
      <c r="B5884" t="s">
        <v>192</v>
      </c>
      <c r="C5884" t="s">
        <v>1649</v>
      </c>
      <c r="D5884" s="1">
        <v>0.2114</v>
      </c>
      <c r="E5884" s="1">
        <v>6.6199999999999995E-2</v>
      </c>
      <c r="F5884" s="1">
        <v>4.0399999999999998E-2</v>
      </c>
      <c r="G5884">
        <v>10430</v>
      </c>
      <c r="H5884">
        <v>10430</v>
      </c>
      <c r="I5884">
        <v>10430</v>
      </c>
    </row>
    <row r="5885" spans="1:9">
      <c r="A5885" s="25" t="s">
        <v>192</v>
      </c>
      <c r="B5885" t="s">
        <v>192</v>
      </c>
      <c r="C5885" t="s">
        <v>324</v>
      </c>
      <c r="D5885" s="1">
        <v>0.34429999999999999</v>
      </c>
      <c r="E5885" s="1">
        <v>0.34960000000000002</v>
      </c>
      <c r="F5885" s="1">
        <v>0.38229999999999997</v>
      </c>
      <c r="G5885">
        <v>10430</v>
      </c>
      <c r="H5885">
        <v>10430</v>
      </c>
      <c r="I5885">
        <v>10430</v>
      </c>
    </row>
    <row r="5886" spans="1:9">
      <c r="A5886" s="25" t="s">
        <v>192</v>
      </c>
      <c r="B5886" t="s">
        <v>192</v>
      </c>
      <c r="C5886" t="s">
        <v>269</v>
      </c>
      <c r="D5886" s="1">
        <v>2.0999999999999999E-3</v>
      </c>
      <c r="E5886" s="1">
        <v>4.3E-3</v>
      </c>
      <c r="F5886" s="1">
        <v>6.8999999999999999E-3</v>
      </c>
      <c r="G5886">
        <v>10430</v>
      </c>
      <c r="H5886">
        <v>10430</v>
      </c>
      <c r="I5886">
        <v>10430</v>
      </c>
    </row>
    <row r="5887" spans="1:9">
      <c r="A5887" s="25" t="s">
        <v>192</v>
      </c>
      <c r="B5887" t="s">
        <v>192</v>
      </c>
      <c r="C5887" t="s">
        <v>243</v>
      </c>
      <c r="D5887" s="1">
        <v>2.0999999999999999E-3</v>
      </c>
      <c r="E5887" s="1">
        <v>1E-4</v>
      </c>
      <c r="F5887" s="1">
        <v>1.5E-3</v>
      </c>
      <c r="G5887">
        <v>10430</v>
      </c>
      <c r="H5887">
        <v>10430</v>
      </c>
      <c r="I5887">
        <v>10430</v>
      </c>
    </row>
    <row r="5888" spans="1:9">
      <c r="A5888" s="25" t="s">
        <v>192</v>
      </c>
      <c r="B5888" t="s">
        <v>192</v>
      </c>
      <c r="C5888" t="s">
        <v>1650</v>
      </c>
      <c r="D5888" s="1">
        <v>8.0000000000000004E-4</v>
      </c>
      <c r="E5888" s="1">
        <v>4.8999999999999998E-3</v>
      </c>
      <c r="F5888" s="1">
        <v>7.4999999999999997E-3</v>
      </c>
      <c r="G5888">
        <v>10430</v>
      </c>
      <c r="H5888">
        <v>10430</v>
      </c>
      <c r="I5888">
        <v>10430</v>
      </c>
    </row>
    <row r="5890" spans="1:9" ht="43.5">
      <c r="A5890" s="25" t="s">
        <v>1652</v>
      </c>
    </row>
    <row r="5891" spans="1:9">
      <c r="A5891" s="25" t="s">
        <v>181</v>
      </c>
      <c r="B5891" t="s">
        <v>182</v>
      </c>
      <c r="C5891" t="s">
        <v>1015</v>
      </c>
      <c r="D5891" t="s">
        <v>1628</v>
      </c>
      <c r="E5891" t="s">
        <v>1629</v>
      </c>
      <c r="F5891" t="s">
        <v>1630</v>
      </c>
      <c r="G5891" t="s">
        <v>1026</v>
      </c>
      <c r="H5891" t="s">
        <v>219</v>
      </c>
      <c r="I5891" t="s">
        <v>188</v>
      </c>
    </row>
    <row r="5892" spans="1:9">
      <c r="A5892" s="25" t="s">
        <v>189</v>
      </c>
      <c r="B5892" t="s">
        <v>223</v>
      </c>
      <c r="C5892" t="s">
        <v>1631</v>
      </c>
      <c r="D5892" s="1">
        <v>8.0000000000000004E-4</v>
      </c>
      <c r="E5892" s="1">
        <v>5.7999999999999996E-3</v>
      </c>
      <c r="F5892" s="1">
        <v>1.2E-2</v>
      </c>
      <c r="G5892">
        <v>1283</v>
      </c>
      <c r="H5892">
        <v>882</v>
      </c>
      <c r="I5892">
        <v>10430</v>
      </c>
    </row>
    <row r="5893" spans="1:9">
      <c r="A5893" s="25" t="s">
        <v>189</v>
      </c>
      <c r="B5893" t="s">
        <v>223</v>
      </c>
      <c r="C5893" t="s">
        <v>241</v>
      </c>
      <c r="D5893" s="1">
        <v>0.01</v>
      </c>
      <c r="E5893" s="1">
        <v>1.7299999999999999E-2</v>
      </c>
      <c r="F5893" s="1">
        <v>5.4100000000000002E-2</v>
      </c>
      <c r="G5893">
        <v>1283</v>
      </c>
      <c r="H5893">
        <v>882</v>
      </c>
      <c r="I5893">
        <v>10430</v>
      </c>
    </row>
    <row r="5894" spans="1:9">
      <c r="A5894" s="25" t="s">
        <v>189</v>
      </c>
      <c r="B5894" t="s">
        <v>223</v>
      </c>
      <c r="C5894" t="s">
        <v>1632</v>
      </c>
      <c r="D5894" s="1">
        <v>2.4299999999999999E-2</v>
      </c>
      <c r="E5894" s="1">
        <v>5.5300000000000002E-2</v>
      </c>
      <c r="F5894" s="1">
        <v>7.9399999999999998E-2</v>
      </c>
      <c r="G5894">
        <v>1283</v>
      </c>
      <c r="H5894">
        <v>882</v>
      </c>
      <c r="I5894">
        <v>10430</v>
      </c>
    </row>
    <row r="5895" spans="1:9">
      <c r="A5895" s="25" t="s">
        <v>189</v>
      </c>
      <c r="B5895" t="s">
        <v>223</v>
      </c>
      <c r="C5895" t="s">
        <v>1633</v>
      </c>
      <c r="D5895" s="1">
        <v>2.1700000000000001E-2</v>
      </c>
      <c r="E5895" s="1">
        <v>1.0500000000000001E-2</v>
      </c>
      <c r="F5895" s="1">
        <v>1.18E-2</v>
      </c>
      <c r="G5895">
        <v>1283</v>
      </c>
      <c r="H5895">
        <v>882</v>
      </c>
      <c r="I5895">
        <v>10430</v>
      </c>
    </row>
    <row r="5896" spans="1:9">
      <c r="A5896" s="25" t="s">
        <v>189</v>
      </c>
      <c r="B5896" t="s">
        <v>223</v>
      </c>
      <c r="C5896" t="s">
        <v>1635</v>
      </c>
      <c r="D5896" s="1">
        <v>1.4E-2</v>
      </c>
      <c r="E5896" s="1">
        <v>2.53E-2</v>
      </c>
      <c r="F5896" s="1">
        <v>2.76E-2</v>
      </c>
      <c r="G5896">
        <v>1283</v>
      </c>
      <c r="H5896">
        <v>882</v>
      </c>
      <c r="I5896">
        <v>10430</v>
      </c>
    </row>
    <row r="5897" spans="1:9">
      <c r="A5897" s="25" t="s">
        <v>189</v>
      </c>
      <c r="B5897" t="s">
        <v>223</v>
      </c>
      <c r="C5897" t="s">
        <v>1637</v>
      </c>
      <c r="D5897" s="1">
        <v>2.7400000000000001E-2</v>
      </c>
      <c r="E5897" s="1">
        <v>6.2100000000000002E-2</v>
      </c>
      <c r="F5897" s="1">
        <v>4.6600000000000003E-2</v>
      </c>
      <c r="G5897">
        <v>1283</v>
      </c>
      <c r="H5897">
        <v>882</v>
      </c>
      <c r="I5897">
        <v>10430</v>
      </c>
    </row>
    <row r="5898" spans="1:9">
      <c r="A5898" s="25" t="s">
        <v>189</v>
      </c>
      <c r="B5898" t="s">
        <v>223</v>
      </c>
      <c r="C5898" t="s">
        <v>1638</v>
      </c>
      <c r="D5898" s="1">
        <v>2.0000000000000001E-4</v>
      </c>
      <c r="E5898" s="1">
        <v>5.1999999999999998E-3</v>
      </c>
      <c r="F5898" s="1">
        <v>3.8E-3</v>
      </c>
      <c r="G5898">
        <v>1283</v>
      </c>
      <c r="H5898">
        <v>882</v>
      </c>
      <c r="I5898">
        <v>10430</v>
      </c>
    </row>
    <row r="5899" spans="1:9">
      <c r="A5899" s="25" t="s">
        <v>189</v>
      </c>
      <c r="B5899" t="s">
        <v>223</v>
      </c>
      <c r="C5899" t="s">
        <v>1639</v>
      </c>
      <c r="D5899" s="1">
        <v>4.0000000000000002E-4</v>
      </c>
      <c r="G5899">
        <v>1283</v>
      </c>
      <c r="H5899">
        <v>882</v>
      </c>
      <c r="I5899">
        <v>10430</v>
      </c>
    </row>
    <row r="5900" spans="1:9">
      <c r="A5900" s="25" t="s">
        <v>189</v>
      </c>
      <c r="B5900" t="s">
        <v>223</v>
      </c>
      <c r="C5900" t="s">
        <v>1640</v>
      </c>
      <c r="D5900" s="1">
        <v>2.0000000000000001E-4</v>
      </c>
      <c r="E5900" s="1">
        <v>8.3000000000000001E-3</v>
      </c>
      <c r="F5900" s="1">
        <v>9.4999999999999998E-3</v>
      </c>
      <c r="G5900">
        <v>1283</v>
      </c>
      <c r="H5900">
        <v>882</v>
      </c>
      <c r="I5900">
        <v>10430</v>
      </c>
    </row>
    <row r="5901" spans="1:9">
      <c r="A5901" s="25" t="s">
        <v>189</v>
      </c>
      <c r="B5901" t="s">
        <v>223</v>
      </c>
      <c r="C5901" t="s">
        <v>1641</v>
      </c>
      <c r="D5901" s="1">
        <v>1.2200000000000001E-2</v>
      </c>
      <c r="E5901" s="1">
        <v>3.5099999999999999E-2</v>
      </c>
      <c r="F5901" s="1">
        <v>4.7E-2</v>
      </c>
      <c r="G5901">
        <v>1283</v>
      </c>
      <c r="H5901">
        <v>882</v>
      </c>
      <c r="I5901">
        <v>10430</v>
      </c>
    </row>
    <row r="5902" spans="1:9">
      <c r="A5902" s="25" t="s">
        <v>189</v>
      </c>
      <c r="B5902" t="s">
        <v>223</v>
      </c>
      <c r="C5902" t="s">
        <v>1651</v>
      </c>
      <c r="D5902" s="1">
        <v>1.6999999999999999E-3</v>
      </c>
      <c r="E5902" s="1">
        <v>1.6000000000000001E-3</v>
      </c>
      <c r="F5902" s="1">
        <v>4.3E-3</v>
      </c>
      <c r="G5902">
        <v>1283</v>
      </c>
      <c r="H5902">
        <v>882</v>
      </c>
      <c r="I5902">
        <v>10430</v>
      </c>
    </row>
    <row r="5903" spans="1:9">
      <c r="A5903" s="25" t="s">
        <v>189</v>
      </c>
      <c r="B5903" t="s">
        <v>223</v>
      </c>
      <c r="C5903" t="s">
        <v>1642</v>
      </c>
      <c r="D5903" s="1">
        <v>1.2500000000000001E-2</v>
      </c>
      <c r="E5903" s="1">
        <v>8.0399999999999999E-2</v>
      </c>
      <c r="F5903" s="1">
        <v>4.87E-2</v>
      </c>
      <c r="G5903">
        <v>1283</v>
      </c>
      <c r="H5903">
        <v>882</v>
      </c>
      <c r="I5903">
        <v>10430</v>
      </c>
    </row>
    <row r="5904" spans="1:9">
      <c r="A5904" s="25" t="s">
        <v>189</v>
      </c>
      <c r="B5904" t="s">
        <v>223</v>
      </c>
      <c r="C5904" t="s">
        <v>1643</v>
      </c>
      <c r="D5904" s="1">
        <v>9.2999999999999992E-3</v>
      </c>
      <c r="E5904" s="1">
        <v>5.4000000000000003E-3</v>
      </c>
      <c r="F5904" s="1">
        <v>1.1299999999999999E-2</v>
      </c>
      <c r="G5904">
        <v>1283</v>
      </c>
      <c r="H5904">
        <v>882</v>
      </c>
      <c r="I5904">
        <v>10430</v>
      </c>
    </row>
    <row r="5905" spans="1:9">
      <c r="A5905" s="25" t="s">
        <v>189</v>
      </c>
      <c r="B5905" t="s">
        <v>223</v>
      </c>
      <c r="C5905" t="s">
        <v>1645</v>
      </c>
      <c r="D5905" s="1">
        <v>1.2999999999999999E-3</v>
      </c>
      <c r="E5905" s="1">
        <v>1.9E-3</v>
      </c>
      <c r="G5905">
        <v>1283</v>
      </c>
      <c r="H5905">
        <v>882</v>
      </c>
      <c r="I5905">
        <v>10430</v>
      </c>
    </row>
    <row r="5906" spans="1:9">
      <c r="A5906" s="25" t="s">
        <v>189</v>
      </c>
      <c r="B5906" t="s">
        <v>223</v>
      </c>
      <c r="C5906" t="s">
        <v>1646</v>
      </c>
      <c r="D5906" s="1">
        <v>1.1000000000000001E-3</v>
      </c>
      <c r="E5906" s="1">
        <v>8.2000000000000007E-3</v>
      </c>
      <c r="F5906" s="1">
        <v>1.0699999999999999E-2</v>
      </c>
      <c r="G5906">
        <v>1283</v>
      </c>
      <c r="H5906">
        <v>882</v>
      </c>
      <c r="I5906">
        <v>10430</v>
      </c>
    </row>
    <row r="5907" spans="1:9">
      <c r="A5907" s="25" t="s">
        <v>189</v>
      </c>
      <c r="B5907" t="s">
        <v>223</v>
      </c>
      <c r="C5907" t="s">
        <v>1647</v>
      </c>
      <c r="D5907" s="1">
        <v>4.3E-3</v>
      </c>
      <c r="E5907" s="1">
        <v>9.4999999999999998E-3</v>
      </c>
      <c r="F5907" s="1">
        <v>1.46E-2</v>
      </c>
      <c r="G5907">
        <v>1283</v>
      </c>
      <c r="H5907">
        <v>882</v>
      </c>
      <c r="I5907">
        <v>10430</v>
      </c>
    </row>
    <row r="5908" spans="1:9">
      <c r="A5908" s="25" t="s">
        <v>189</v>
      </c>
      <c r="B5908" t="s">
        <v>223</v>
      </c>
      <c r="C5908" t="s">
        <v>1648</v>
      </c>
      <c r="D5908" s="1">
        <v>0.15279999999999999</v>
      </c>
      <c r="E5908" s="1">
        <v>0.14119999999999999</v>
      </c>
      <c r="F5908" s="1">
        <v>4.3999999999999997E-2</v>
      </c>
      <c r="G5908">
        <v>1283</v>
      </c>
      <c r="H5908">
        <v>882</v>
      </c>
      <c r="I5908">
        <v>10430</v>
      </c>
    </row>
    <row r="5909" spans="1:9">
      <c r="A5909" s="25" t="s">
        <v>189</v>
      </c>
      <c r="B5909" t="s">
        <v>223</v>
      </c>
      <c r="C5909" t="s">
        <v>1649</v>
      </c>
      <c r="D5909" s="1">
        <v>0.2792</v>
      </c>
      <c r="E5909" s="1">
        <v>5.2600000000000001E-2</v>
      </c>
      <c r="F5909" s="1">
        <v>3.5799999999999998E-2</v>
      </c>
      <c r="G5909">
        <v>1283</v>
      </c>
      <c r="H5909">
        <v>882</v>
      </c>
      <c r="I5909">
        <v>10430</v>
      </c>
    </row>
    <row r="5910" spans="1:9">
      <c r="A5910" s="25" t="s">
        <v>189</v>
      </c>
      <c r="B5910" t="s">
        <v>223</v>
      </c>
      <c r="C5910" t="s">
        <v>324</v>
      </c>
      <c r="D5910" s="1">
        <v>0.42309999999999998</v>
      </c>
      <c r="E5910" s="1">
        <v>0.43919999999999998</v>
      </c>
      <c r="F5910" s="1">
        <v>0.4642</v>
      </c>
      <c r="G5910">
        <v>1283</v>
      </c>
      <c r="H5910">
        <v>882</v>
      </c>
      <c r="I5910">
        <v>10430</v>
      </c>
    </row>
    <row r="5911" spans="1:9">
      <c r="A5911" s="25" t="s">
        <v>189</v>
      </c>
      <c r="B5911" t="s">
        <v>223</v>
      </c>
      <c r="C5911" t="s">
        <v>243</v>
      </c>
      <c r="D5911" s="1">
        <v>2.5000000000000001E-3</v>
      </c>
      <c r="G5911">
        <v>1283</v>
      </c>
      <c r="H5911">
        <v>882</v>
      </c>
      <c r="I5911">
        <v>10430</v>
      </c>
    </row>
    <row r="5912" spans="1:9">
      <c r="A5912" s="25" t="s">
        <v>189</v>
      </c>
      <c r="B5912" t="s">
        <v>223</v>
      </c>
      <c r="C5912" t="s">
        <v>1650</v>
      </c>
      <c r="D5912" s="1">
        <v>6.9999999999999999E-4</v>
      </c>
      <c r="E5912" s="1">
        <v>1.6E-2</v>
      </c>
      <c r="F5912" s="1">
        <v>2.07E-2</v>
      </c>
      <c r="G5912">
        <v>1283</v>
      </c>
      <c r="H5912">
        <v>882</v>
      </c>
      <c r="I5912">
        <v>10430</v>
      </c>
    </row>
    <row r="5913" spans="1:9">
      <c r="A5913" s="25" t="s">
        <v>189</v>
      </c>
      <c r="B5913" t="s">
        <v>224</v>
      </c>
      <c r="C5913" t="s">
        <v>1631</v>
      </c>
      <c r="D5913" s="1">
        <v>2.5999999999999999E-3</v>
      </c>
      <c r="E5913" s="1">
        <v>1.54E-2</v>
      </c>
      <c r="F5913" s="1">
        <v>2.01E-2</v>
      </c>
      <c r="G5913">
        <v>2732</v>
      </c>
      <c r="H5913">
        <v>2876</v>
      </c>
      <c r="I5913">
        <v>10430</v>
      </c>
    </row>
    <row r="5914" spans="1:9">
      <c r="A5914" s="25" t="s">
        <v>189</v>
      </c>
      <c r="B5914" t="s">
        <v>224</v>
      </c>
      <c r="C5914" t="s">
        <v>241</v>
      </c>
      <c r="D5914" s="1">
        <v>9.4999999999999998E-3</v>
      </c>
      <c r="E5914" s="1">
        <v>2.5399999999999999E-2</v>
      </c>
      <c r="F5914" s="1">
        <v>5.1999999999999998E-2</v>
      </c>
      <c r="G5914">
        <v>2732</v>
      </c>
      <c r="H5914">
        <v>2876</v>
      </c>
      <c r="I5914">
        <v>10430</v>
      </c>
    </row>
    <row r="5915" spans="1:9">
      <c r="A5915" s="25" t="s">
        <v>189</v>
      </c>
      <c r="B5915" t="s">
        <v>224</v>
      </c>
      <c r="C5915" t="s">
        <v>1632</v>
      </c>
      <c r="D5915" s="1">
        <v>1.6E-2</v>
      </c>
      <c r="E5915" s="1">
        <v>4.9500000000000002E-2</v>
      </c>
      <c r="F5915" s="1">
        <v>6.5100000000000005E-2</v>
      </c>
      <c r="G5915">
        <v>2732</v>
      </c>
      <c r="H5915">
        <v>2876</v>
      </c>
      <c r="I5915">
        <v>10430</v>
      </c>
    </row>
    <row r="5916" spans="1:9">
      <c r="A5916" s="25" t="s">
        <v>189</v>
      </c>
      <c r="B5916" t="s">
        <v>224</v>
      </c>
      <c r="C5916" t="s">
        <v>1633</v>
      </c>
      <c r="D5916" s="1">
        <v>1.18E-2</v>
      </c>
      <c r="E5916" s="1">
        <v>1.7100000000000001E-2</v>
      </c>
      <c r="F5916" s="1">
        <v>1.44E-2</v>
      </c>
      <c r="G5916">
        <v>2732</v>
      </c>
      <c r="H5916">
        <v>2876</v>
      </c>
      <c r="I5916">
        <v>10430</v>
      </c>
    </row>
    <row r="5917" spans="1:9">
      <c r="A5917" s="25" t="s">
        <v>189</v>
      </c>
      <c r="B5917" t="s">
        <v>224</v>
      </c>
      <c r="C5917" t="s">
        <v>1634</v>
      </c>
      <c r="D5917" s="1">
        <v>5.0000000000000001E-4</v>
      </c>
      <c r="E5917" s="1">
        <v>3.2000000000000002E-3</v>
      </c>
      <c r="F5917" s="1">
        <v>3.2000000000000002E-3</v>
      </c>
      <c r="G5917">
        <v>2732</v>
      </c>
      <c r="H5917">
        <v>2876</v>
      </c>
      <c r="I5917">
        <v>10430</v>
      </c>
    </row>
    <row r="5918" spans="1:9">
      <c r="A5918" s="25" t="s">
        <v>189</v>
      </c>
      <c r="B5918" t="s">
        <v>224</v>
      </c>
      <c r="C5918" t="s">
        <v>1635</v>
      </c>
      <c r="D5918" s="1">
        <v>2.4299999999999999E-2</v>
      </c>
      <c r="E5918" s="1">
        <v>6.3899999999999998E-2</v>
      </c>
      <c r="F5918" s="1">
        <v>5.3800000000000001E-2</v>
      </c>
      <c r="G5918">
        <v>2732</v>
      </c>
      <c r="H5918">
        <v>2876</v>
      </c>
      <c r="I5918">
        <v>10430</v>
      </c>
    </row>
    <row r="5919" spans="1:9">
      <c r="A5919" s="25" t="s">
        <v>189</v>
      </c>
      <c r="B5919" t="s">
        <v>224</v>
      </c>
      <c r="C5919" t="s">
        <v>1636</v>
      </c>
      <c r="D5919" s="1">
        <v>2.0000000000000001E-4</v>
      </c>
      <c r="E5919" s="1">
        <v>1.1000000000000001E-3</v>
      </c>
      <c r="F5919" s="1">
        <v>9.1000000000000004E-3</v>
      </c>
      <c r="G5919">
        <v>2732</v>
      </c>
      <c r="H5919">
        <v>2876</v>
      </c>
      <c r="I5919">
        <v>10430</v>
      </c>
    </row>
    <row r="5920" spans="1:9">
      <c r="A5920" s="25" t="s">
        <v>189</v>
      </c>
      <c r="B5920" t="s">
        <v>224</v>
      </c>
      <c r="C5920" t="s">
        <v>1637</v>
      </c>
      <c r="D5920" s="1">
        <v>2.87E-2</v>
      </c>
      <c r="E5920" s="1">
        <v>6.1199999999999997E-2</v>
      </c>
      <c r="F5920" s="1">
        <v>3.1199999999999999E-2</v>
      </c>
      <c r="G5920">
        <v>2732</v>
      </c>
      <c r="H5920">
        <v>2876</v>
      </c>
      <c r="I5920">
        <v>10430</v>
      </c>
    </row>
    <row r="5921" spans="1:9">
      <c r="A5921" s="25" t="s">
        <v>189</v>
      </c>
      <c r="B5921" t="s">
        <v>224</v>
      </c>
      <c r="C5921" t="s">
        <v>1638</v>
      </c>
      <c r="D5921" s="1">
        <v>3.5999999999999999E-3</v>
      </c>
      <c r="E5921" s="1">
        <v>3.8999999999999998E-3</v>
      </c>
      <c r="F5921" s="1">
        <v>1.0999999999999999E-2</v>
      </c>
      <c r="G5921">
        <v>2732</v>
      </c>
      <c r="H5921">
        <v>2876</v>
      </c>
      <c r="I5921">
        <v>10430</v>
      </c>
    </row>
    <row r="5922" spans="1:9">
      <c r="A5922" s="25" t="s">
        <v>189</v>
      </c>
      <c r="B5922" t="s">
        <v>224</v>
      </c>
      <c r="C5922" t="s">
        <v>1639</v>
      </c>
      <c r="D5922" s="1">
        <v>2.3999999999999998E-3</v>
      </c>
      <c r="E5922" s="1">
        <v>8.8000000000000005E-3</v>
      </c>
      <c r="F5922" s="1">
        <v>4.4999999999999997E-3</v>
      </c>
      <c r="G5922">
        <v>2732</v>
      </c>
      <c r="H5922">
        <v>2876</v>
      </c>
      <c r="I5922">
        <v>10430</v>
      </c>
    </row>
    <row r="5923" spans="1:9">
      <c r="A5923" s="25" t="s">
        <v>189</v>
      </c>
      <c r="B5923" t="s">
        <v>224</v>
      </c>
      <c r="C5923" t="s">
        <v>1640</v>
      </c>
      <c r="D5923" s="1">
        <v>2.5000000000000001E-3</v>
      </c>
      <c r="E5923" s="1">
        <v>1.3599999999999999E-2</v>
      </c>
      <c r="F5923" s="1">
        <v>2.06E-2</v>
      </c>
      <c r="G5923">
        <v>2732</v>
      </c>
      <c r="H5923">
        <v>2876</v>
      </c>
      <c r="I5923">
        <v>10430</v>
      </c>
    </row>
    <row r="5924" spans="1:9">
      <c r="A5924" s="25" t="s">
        <v>189</v>
      </c>
      <c r="B5924" t="s">
        <v>224</v>
      </c>
      <c r="C5924" t="s">
        <v>1641</v>
      </c>
      <c r="D5924" s="1">
        <v>1.11E-2</v>
      </c>
      <c r="E5924" s="1">
        <v>7.0199999999999999E-2</v>
      </c>
      <c r="F5924" s="1">
        <v>5.7599999999999998E-2</v>
      </c>
      <c r="G5924">
        <v>2732</v>
      </c>
      <c r="H5924">
        <v>2876</v>
      </c>
      <c r="I5924">
        <v>10430</v>
      </c>
    </row>
    <row r="5925" spans="1:9">
      <c r="A5925" s="25" t="s">
        <v>189</v>
      </c>
      <c r="B5925" t="s">
        <v>224</v>
      </c>
      <c r="C5925" t="s">
        <v>1651</v>
      </c>
      <c r="D5925" s="1">
        <v>1.5E-3</v>
      </c>
      <c r="E5925" s="1">
        <v>3.7000000000000002E-3</v>
      </c>
      <c r="F5925" s="1">
        <v>5.4000000000000003E-3</v>
      </c>
      <c r="G5925">
        <v>2732</v>
      </c>
      <c r="H5925">
        <v>2876</v>
      </c>
      <c r="I5925">
        <v>10430</v>
      </c>
    </row>
    <row r="5926" spans="1:9">
      <c r="A5926" s="25" t="s">
        <v>189</v>
      </c>
      <c r="B5926" t="s">
        <v>224</v>
      </c>
      <c r="C5926" t="s">
        <v>1642</v>
      </c>
      <c r="D5926" s="1">
        <v>1.6400000000000001E-2</v>
      </c>
      <c r="E5926" s="1">
        <v>5.7500000000000002E-2</v>
      </c>
      <c r="F5926" s="1">
        <v>5.8200000000000002E-2</v>
      </c>
      <c r="G5926">
        <v>2732</v>
      </c>
      <c r="H5926">
        <v>2876</v>
      </c>
      <c r="I5926">
        <v>10430</v>
      </c>
    </row>
    <row r="5927" spans="1:9">
      <c r="A5927" s="25" t="s">
        <v>189</v>
      </c>
      <c r="B5927" t="s">
        <v>224</v>
      </c>
      <c r="C5927" t="s">
        <v>1643</v>
      </c>
      <c r="D5927" s="1">
        <v>1.1000000000000001E-3</v>
      </c>
      <c r="E5927" s="1">
        <v>7.7999999999999996E-3</v>
      </c>
      <c r="F5927" s="1">
        <v>1.11E-2</v>
      </c>
      <c r="G5927">
        <v>2732</v>
      </c>
      <c r="H5927">
        <v>2876</v>
      </c>
      <c r="I5927">
        <v>10430</v>
      </c>
    </row>
    <row r="5928" spans="1:9">
      <c r="A5928" s="25" t="s">
        <v>189</v>
      </c>
      <c r="B5928" t="s">
        <v>224</v>
      </c>
      <c r="C5928" t="s">
        <v>1644</v>
      </c>
      <c r="D5928" s="1">
        <v>6.9999999999999999E-4</v>
      </c>
      <c r="E5928" s="1">
        <v>4.1000000000000003E-3</v>
      </c>
      <c r="F5928" s="1">
        <v>2.0299999999999999E-2</v>
      </c>
      <c r="G5928">
        <v>2732</v>
      </c>
      <c r="H5928">
        <v>2876</v>
      </c>
      <c r="I5928">
        <v>10430</v>
      </c>
    </row>
    <row r="5929" spans="1:9">
      <c r="A5929" s="25" t="s">
        <v>189</v>
      </c>
      <c r="B5929" t="s">
        <v>224</v>
      </c>
      <c r="C5929" t="s">
        <v>1645</v>
      </c>
      <c r="D5929" s="1">
        <v>8.9999999999999998E-4</v>
      </c>
      <c r="E5929" s="1">
        <v>8.0000000000000004E-4</v>
      </c>
      <c r="F5929" s="1">
        <v>0.01</v>
      </c>
      <c r="G5929">
        <v>2732</v>
      </c>
      <c r="H5929">
        <v>2876</v>
      </c>
      <c r="I5929">
        <v>10430</v>
      </c>
    </row>
    <row r="5930" spans="1:9">
      <c r="A5930" s="25" t="s">
        <v>189</v>
      </c>
      <c r="B5930" t="s">
        <v>224</v>
      </c>
      <c r="C5930" t="s">
        <v>1646</v>
      </c>
      <c r="D5930" s="1">
        <v>2.0999999999999999E-3</v>
      </c>
      <c r="E5930" s="1">
        <v>7.4999999999999997E-3</v>
      </c>
      <c r="F5930" s="1">
        <v>2.1499999999999998E-2</v>
      </c>
      <c r="G5930">
        <v>2732</v>
      </c>
      <c r="H5930">
        <v>2876</v>
      </c>
      <c r="I5930">
        <v>10430</v>
      </c>
    </row>
    <row r="5931" spans="1:9">
      <c r="A5931" s="25" t="s">
        <v>189</v>
      </c>
      <c r="B5931" t="s">
        <v>224</v>
      </c>
      <c r="C5931" t="s">
        <v>1647</v>
      </c>
      <c r="D5931" s="1">
        <v>2.0999999999999999E-3</v>
      </c>
      <c r="E5931" s="1">
        <v>1.21E-2</v>
      </c>
      <c r="F5931" s="1">
        <v>3.0499999999999999E-2</v>
      </c>
      <c r="G5931">
        <v>2732</v>
      </c>
      <c r="H5931">
        <v>2876</v>
      </c>
      <c r="I5931">
        <v>10430</v>
      </c>
    </row>
    <row r="5932" spans="1:9">
      <c r="A5932" s="25" t="s">
        <v>189</v>
      </c>
      <c r="B5932" t="s">
        <v>224</v>
      </c>
      <c r="C5932" t="s">
        <v>1648</v>
      </c>
      <c r="D5932" s="1">
        <v>0.2404</v>
      </c>
      <c r="E5932" s="1">
        <v>0.12959999999999999</v>
      </c>
      <c r="F5932" s="1">
        <v>6.9099999999999995E-2</v>
      </c>
      <c r="G5932">
        <v>2732</v>
      </c>
      <c r="H5932">
        <v>2876</v>
      </c>
      <c r="I5932">
        <v>10430</v>
      </c>
    </row>
    <row r="5933" spans="1:9">
      <c r="A5933" s="25" t="s">
        <v>189</v>
      </c>
      <c r="B5933" t="s">
        <v>224</v>
      </c>
      <c r="C5933" t="s">
        <v>1649</v>
      </c>
      <c r="D5933" s="1">
        <v>0.26540000000000002</v>
      </c>
      <c r="E5933" s="1">
        <v>6.5100000000000005E-2</v>
      </c>
      <c r="F5933" s="1">
        <v>2.7400000000000001E-2</v>
      </c>
      <c r="G5933">
        <v>2732</v>
      </c>
      <c r="H5933">
        <v>2876</v>
      </c>
      <c r="I5933">
        <v>10430</v>
      </c>
    </row>
    <row r="5934" spans="1:9">
      <c r="A5934" s="25" t="s">
        <v>189</v>
      </c>
      <c r="B5934" t="s">
        <v>224</v>
      </c>
      <c r="C5934" t="s">
        <v>324</v>
      </c>
      <c r="D5934" s="1">
        <v>0.35170000000000001</v>
      </c>
      <c r="E5934" s="1">
        <v>0.36909999999999998</v>
      </c>
      <c r="F5934" s="1">
        <v>0.38990000000000002</v>
      </c>
      <c r="G5934">
        <v>2732</v>
      </c>
      <c r="H5934">
        <v>2876</v>
      </c>
      <c r="I5934">
        <v>10430</v>
      </c>
    </row>
    <row r="5935" spans="1:9">
      <c r="A5935" s="25" t="s">
        <v>189</v>
      </c>
      <c r="B5935" t="s">
        <v>224</v>
      </c>
      <c r="C5935" t="s">
        <v>269</v>
      </c>
      <c r="D5935" s="1">
        <v>1.9E-3</v>
      </c>
      <c r="E5935" s="1">
        <v>3.3E-3</v>
      </c>
      <c r="F5935" s="1">
        <v>8.0999999999999996E-3</v>
      </c>
      <c r="G5935">
        <v>2732</v>
      </c>
      <c r="H5935">
        <v>2876</v>
      </c>
      <c r="I5935">
        <v>10430</v>
      </c>
    </row>
    <row r="5936" spans="1:9">
      <c r="A5936" s="25" t="s">
        <v>189</v>
      </c>
      <c r="B5936" t="s">
        <v>224</v>
      </c>
      <c r="C5936" t="s">
        <v>243</v>
      </c>
      <c r="D5936" s="1">
        <v>1.1999999999999999E-3</v>
      </c>
      <c r="E5936" s="1">
        <v>1E-4</v>
      </c>
      <c r="F5936" s="1">
        <v>3.0000000000000001E-3</v>
      </c>
      <c r="G5936">
        <v>2732</v>
      </c>
      <c r="H5936">
        <v>2876</v>
      </c>
      <c r="I5936">
        <v>10430</v>
      </c>
    </row>
    <row r="5937" spans="1:9">
      <c r="A5937" s="25" t="s">
        <v>189</v>
      </c>
      <c r="B5937" t="s">
        <v>224</v>
      </c>
      <c r="C5937" t="s">
        <v>1650</v>
      </c>
      <c r="D5937" s="1">
        <v>1.2999999999999999E-3</v>
      </c>
      <c r="E5937" s="1">
        <v>6.1000000000000004E-3</v>
      </c>
      <c r="F5937" s="1">
        <v>3.2000000000000002E-3</v>
      </c>
      <c r="G5937">
        <v>2732</v>
      </c>
      <c r="H5937">
        <v>2876</v>
      </c>
      <c r="I5937">
        <v>10430</v>
      </c>
    </row>
    <row r="5938" spans="1:9">
      <c r="A5938" s="25" t="s">
        <v>189</v>
      </c>
      <c r="B5938" t="s">
        <v>225</v>
      </c>
      <c r="C5938" t="s">
        <v>1631</v>
      </c>
      <c r="D5938" s="1">
        <v>5.9999999999999995E-4</v>
      </c>
      <c r="E5938" s="1">
        <v>8.0000000000000004E-4</v>
      </c>
      <c r="F5938" s="1">
        <v>2.5000000000000001E-3</v>
      </c>
      <c r="G5938">
        <v>2557</v>
      </c>
      <c r="H5938">
        <v>2815</v>
      </c>
      <c r="I5938">
        <v>10430</v>
      </c>
    </row>
    <row r="5939" spans="1:9">
      <c r="A5939" s="25" t="s">
        <v>189</v>
      </c>
      <c r="B5939" t="s">
        <v>225</v>
      </c>
      <c r="C5939" t="s">
        <v>241</v>
      </c>
      <c r="D5939" s="1">
        <v>1.24E-2</v>
      </c>
      <c r="E5939" s="1">
        <v>4.2900000000000001E-2</v>
      </c>
      <c r="F5939" s="1">
        <v>5.7799999999999997E-2</v>
      </c>
      <c r="G5939">
        <v>2557</v>
      </c>
      <c r="H5939">
        <v>2815</v>
      </c>
      <c r="I5939">
        <v>10430</v>
      </c>
    </row>
    <row r="5940" spans="1:9">
      <c r="A5940" s="25" t="s">
        <v>189</v>
      </c>
      <c r="B5940" t="s">
        <v>225</v>
      </c>
      <c r="C5940" t="s">
        <v>1632</v>
      </c>
      <c r="D5940" s="1">
        <v>1.0500000000000001E-2</v>
      </c>
      <c r="E5940" s="1">
        <v>3.78E-2</v>
      </c>
      <c r="F5940" s="1">
        <v>3.73E-2</v>
      </c>
      <c r="G5940">
        <v>2557</v>
      </c>
      <c r="H5940">
        <v>2815</v>
      </c>
      <c r="I5940">
        <v>10430</v>
      </c>
    </row>
    <row r="5941" spans="1:9">
      <c r="A5941" s="25" t="s">
        <v>189</v>
      </c>
      <c r="B5941" t="s">
        <v>225</v>
      </c>
      <c r="C5941" t="s">
        <v>1633</v>
      </c>
      <c r="D5941" s="1">
        <v>8.2000000000000007E-3</v>
      </c>
      <c r="E5941" s="1">
        <v>2.1600000000000001E-2</v>
      </c>
      <c r="F5941" s="1">
        <v>2.5499999999999998E-2</v>
      </c>
      <c r="G5941">
        <v>2557</v>
      </c>
      <c r="H5941">
        <v>2815</v>
      </c>
      <c r="I5941">
        <v>10430</v>
      </c>
    </row>
    <row r="5942" spans="1:9">
      <c r="A5942" s="25" t="s">
        <v>189</v>
      </c>
      <c r="B5942" t="s">
        <v>225</v>
      </c>
      <c r="C5942" t="s">
        <v>1634</v>
      </c>
      <c r="D5942" s="1">
        <v>5.9999999999999995E-4</v>
      </c>
      <c r="E5942" s="1">
        <v>1.6999999999999999E-3</v>
      </c>
      <c r="F5942" s="1">
        <v>5.7000000000000002E-3</v>
      </c>
      <c r="G5942">
        <v>2557</v>
      </c>
      <c r="H5942">
        <v>2815</v>
      </c>
      <c r="I5942">
        <v>10430</v>
      </c>
    </row>
    <row r="5943" spans="1:9">
      <c r="A5943" s="25" t="s">
        <v>189</v>
      </c>
      <c r="B5943" t="s">
        <v>225</v>
      </c>
      <c r="C5943" t="s">
        <v>1635</v>
      </c>
      <c r="D5943" s="1">
        <v>4.5199999999999997E-2</v>
      </c>
      <c r="E5943" s="1">
        <v>0.104</v>
      </c>
      <c r="F5943" s="1">
        <v>8.2699999999999996E-2</v>
      </c>
      <c r="G5943">
        <v>2557</v>
      </c>
      <c r="H5943">
        <v>2815</v>
      </c>
      <c r="I5943">
        <v>10430</v>
      </c>
    </row>
    <row r="5944" spans="1:9">
      <c r="A5944" s="25" t="s">
        <v>189</v>
      </c>
      <c r="B5944" t="s">
        <v>225</v>
      </c>
      <c r="C5944" t="s">
        <v>1637</v>
      </c>
      <c r="D5944" s="1">
        <v>2.7900000000000001E-2</v>
      </c>
      <c r="E5944" s="1">
        <v>3.4200000000000001E-2</v>
      </c>
      <c r="F5944" s="1">
        <v>3.9699999999999999E-2</v>
      </c>
      <c r="G5944">
        <v>2557</v>
      </c>
      <c r="H5944">
        <v>2815</v>
      </c>
      <c r="I5944">
        <v>10430</v>
      </c>
    </row>
    <row r="5945" spans="1:9">
      <c r="A5945" s="25" t="s">
        <v>189</v>
      </c>
      <c r="B5945" t="s">
        <v>225</v>
      </c>
      <c r="C5945" t="s">
        <v>1638</v>
      </c>
      <c r="D5945" s="1">
        <v>3.8E-3</v>
      </c>
      <c r="E5945" s="1">
        <v>1.1900000000000001E-2</v>
      </c>
      <c r="F5945" s="1">
        <v>6.1000000000000004E-3</v>
      </c>
      <c r="G5945">
        <v>2557</v>
      </c>
      <c r="H5945">
        <v>2815</v>
      </c>
      <c r="I5945">
        <v>10430</v>
      </c>
    </row>
    <row r="5946" spans="1:9">
      <c r="A5946" s="25" t="s">
        <v>189</v>
      </c>
      <c r="B5946" t="s">
        <v>225</v>
      </c>
      <c r="C5946" t="s">
        <v>1639</v>
      </c>
      <c r="D5946" s="1">
        <v>2.8E-3</v>
      </c>
      <c r="E5946" s="1">
        <v>3.5999999999999999E-3</v>
      </c>
      <c r="F5946" s="1">
        <v>5.1999999999999998E-3</v>
      </c>
      <c r="G5946">
        <v>2557</v>
      </c>
      <c r="H5946">
        <v>2815</v>
      </c>
      <c r="I5946">
        <v>10430</v>
      </c>
    </row>
    <row r="5947" spans="1:9">
      <c r="A5947" s="25" t="s">
        <v>189</v>
      </c>
      <c r="B5947" t="s">
        <v>225</v>
      </c>
      <c r="C5947" t="s">
        <v>1640</v>
      </c>
      <c r="D5947" s="1">
        <v>5.5999999999999999E-3</v>
      </c>
      <c r="E5947" s="1">
        <v>1.34E-2</v>
      </c>
      <c r="F5947" s="1">
        <v>9.5999999999999992E-3</v>
      </c>
      <c r="G5947">
        <v>2557</v>
      </c>
      <c r="H5947">
        <v>2815</v>
      </c>
      <c r="I5947">
        <v>10430</v>
      </c>
    </row>
    <row r="5948" spans="1:9">
      <c r="A5948" s="25" t="s">
        <v>189</v>
      </c>
      <c r="B5948" t="s">
        <v>225</v>
      </c>
      <c r="C5948" t="s">
        <v>1641</v>
      </c>
      <c r="D5948" s="1">
        <v>1.18E-2</v>
      </c>
      <c r="E5948" s="1">
        <v>5.6300000000000003E-2</v>
      </c>
      <c r="F5948" s="1">
        <v>7.0999999999999994E-2</v>
      </c>
      <c r="G5948">
        <v>2557</v>
      </c>
      <c r="H5948">
        <v>2815</v>
      </c>
      <c r="I5948">
        <v>10430</v>
      </c>
    </row>
    <row r="5949" spans="1:9">
      <c r="A5949" s="25" t="s">
        <v>189</v>
      </c>
      <c r="B5949" t="s">
        <v>225</v>
      </c>
      <c r="C5949" t="s">
        <v>1651</v>
      </c>
      <c r="D5949" s="1">
        <v>2.9999999999999997E-4</v>
      </c>
      <c r="E5949" s="1">
        <v>5.1000000000000004E-3</v>
      </c>
      <c r="F5949" s="1">
        <v>0.01</v>
      </c>
      <c r="G5949">
        <v>2557</v>
      </c>
      <c r="H5949">
        <v>2815</v>
      </c>
      <c r="I5949">
        <v>10430</v>
      </c>
    </row>
    <row r="5950" spans="1:9">
      <c r="A5950" s="25" t="s">
        <v>189</v>
      </c>
      <c r="B5950" t="s">
        <v>225</v>
      </c>
      <c r="C5950" t="s">
        <v>1642</v>
      </c>
      <c r="D5950" s="1">
        <v>1.2800000000000001E-2</v>
      </c>
      <c r="E5950" s="1">
        <v>7.2400000000000006E-2</v>
      </c>
      <c r="F5950" s="1">
        <v>7.5800000000000006E-2</v>
      </c>
      <c r="G5950">
        <v>2557</v>
      </c>
      <c r="H5950">
        <v>2815</v>
      </c>
      <c r="I5950">
        <v>10430</v>
      </c>
    </row>
    <row r="5951" spans="1:9">
      <c r="A5951" s="25" t="s">
        <v>189</v>
      </c>
      <c r="B5951" t="s">
        <v>225</v>
      </c>
      <c r="C5951" t="s">
        <v>1643</v>
      </c>
      <c r="D5951" s="1">
        <v>1.6999999999999999E-3</v>
      </c>
      <c r="E5951" s="1">
        <v>7.1000000000000004E-3</v>
      </c>
      <c r="F5951" s="1">
        <v>1.3899999999999999E-2</v>
      </c>
      <c r="G5951">
        <v>2557</v>
      </c>
      <c r="H5951">
        <v>2815</v>
      </c>
      <c r="I5951">
        <v>10430</v>
      </c>
    </row>
    <row r="5952" spans="1:9">
      <c r="A5952" s="25" t="s">
        <v>189</v>
      </c>
      <c r="B5952" t="s">
        <v>225</v>
      </c>
      <c r="C5952" t="s">
        <v>1644</v>
      </c>
      <c r="D5952" s="1">
        <v>2.9999999999999997E-4</v>
      </c>
      <c r="E5952" s="1">
        <v>7.1999999999999998E-3</v>
      </c>
      <c r="F5952" s="1">
        <v>8.6999999999999994E-3</v>
      </c>
      <c r="G5952">
        <v>2557</v>
      </c>
      <c r="H5952">
        <v>2815</v>
      </c>
      <c r="I5952">
        <v>10430</v>
      </c>
    </row>
    <row r="5953" spans="1:9">
      <c r="A5953" s="25" t="s">
        <v>189</v>
      </c>
      <c r="B5953" t="s">
        <v>225</v>
      </c>
      <c r="C5953" t="s">
        <v>1645</v>
      </c>
      <c r="D5953" s="1">
        <v>1.1000000000000001E-3</v>
      </c>
      <c r="E5953" s="1">
        <v>2.0999999999999999E-3</v>
      </c>
      <c r="F5953" s="1">
        <v>5.3E-3</v>
      </c>
      <c r="G5953">
        <v>2557</v>
      </c>
      <c r="H5953">
        <v>2815</v>
      </c>
      <c r="I5953">
        <v>10430</v>
      </c>
    </row>
    <row r="5954" spans="1:9">
      <c r="A5954" s="25" t="s">
        <v>189</v>
      </c>
      <c r="B5954" t="s">
        <v>225</v>
      </c>
      <c r="C5954" t="s">
        <v>1646</v>
      </c>
      <c r="D5954" s="1">
        <v>1.1000000000000001E-3</v>
      </c>
      <c r="E5954" s="1">
        <v>1.26E-2</v>
      </c>
      <c r="F5954" s="1">
        <v>2.0500000000000001E-2</v>
      </c>
      <c r="G5954">
        <v>2557</v>
      </c>
      <c r="H5954">
        <v>2815</v>
      </c>
      <c r="I5954">
        <v>10430</v>
      </c>
    </row>
    <row r="5955" spans="1:9">
      <c r="A5955" s="25" t="s">
        <v>189</v>
      </c>
      <c r="B5955" t="s">
        <v>225</v>
      </c>
      <c r="C5955" t="s">
        <v>1647</v>
      </c>
      <c r="D5955" s="1">
        <v>8.2000000000000007E-3</v>
      </c>
      <c r="E5955" s="1">
        <v>1.9900000000000001E-2</v>
      </c>
      <c r="F5955" s="1">
        <v>2.3900000000000001E-2</v>
      </c>
      <c r="G5955">
        <v>2557</v>
      </c>
      <c r="H5955">
        <v>2815</v>
      </c>
      <c r="I5955">
        <v>10430</v>
      </c>
    </row>
    <row r="5956" spans="1:9">
      <c r="A5956" s="25" t="s">
        <v>189</v>
      </c>
      <c r="B5956" t="s">
        <v>225</v>
      </c>
      <c r="C5956" t="s">
        <v>1648</v>
      </c>
      <c r="D5956" s="1">
        <v>0.29189999999999999</v>
      </c>
      <c r="E5956" s="1">
        <v>0.13070000000000001</v>
      </c>
      <c r="F5956" s="1">
        <v>4.4900000000000002E-2</v>
      </c>
      <c r="G5956">
        <v>2557</v>
      </c>
      <c r="H5956">
        <v>2815</v>
      </c>
      <c r="I5956">
        <v>10430</v>
      </c>
    </row>
    <row r="5957" spans="1:9">
      <c r="A5957" s="25" t="s">
        <v>189</v>
      </c>
      <c r="B5957" t="s">
        <v>225</v>
      </c>
      <c r="C5957" t="s">
        <v>1649</v>
      </c>
      <c r="D5957" s="1">
        <v>0.19139999999999999</v>
      </c>
      <c r="E5957" s="1">
        <v>6.5699999999999995E-2</v>
      </c>
      <c r="F5957" s="1">
        <v>5.3800000000000001E-2</v>
      </c>
      <c r="G5957">
        <v>2557</v>
      </c>
      <c r="H5957">
        <v>2815</v>
      </c>
      <c r="I5957">
        <v>10430</v>
      </c>
    </row>
    <row r="5958" spans="1:9">
      <c r="A5958" s="25" t="s">
        <v>189</v>
      </c>
      <c r="B5958" t="s">
        <v>225</v>
      </c>
      <c r="C5958" t="s">
        <v>324</v>
      </c>
      <c r="D5958" s="1">
        <v>0.3518</v>
      </c>
      <c r="E5958" s="1">
        <v>0.33589999999999998</v>
      </c>
      <c r="F5958" s="1">
        <v>0.37490000000000001</v>
      </c>
      <c r="G5958">
        <v>2557</v>
      </c>
      <c r="H5958">
        <v>2815</v>
      </c>
      <c r="I5958">
        <v>10430</v>
      </c>
    </row>
    <row r="5959" spans="1:9">
      <c r="A5959" s="25" t="s">
        <v>189</v>
      </c>
      <c r="B5959" t="s">
        <v>225</v>
      </c>
      <c r="C5959" t="s">
        <v>269</v>
      </c>
      <c r="D5959" s="1">
        <v>4.4000000000000003E-3</v>
      </c>
      <c r="E5959" s="1">
        <v>5.7000000000000002E-3</v>
      </c>
      <c r="F5959" s="1">
        <v>6.3E-3</v>
      </c>
      <c r="G5959">
        <v>2557</v>
      </c>
      <c r="H5959">
        <v>2815</v>
      </c>
      <c r="I5959">
        <v>10430</v>
      </c>
    </row>
    <row r="5960" spans="1:9">
      <c r="A5960" s="25" t="s">
        <v>189</v>
      </c>
      <c r="B5960" t="s">
        <v>225</v>
      </c>
      <c r="C5960" t="s">
        <v>243</v>
      </c>
      <c r="D5960" s="1">
        <v>4.7000000000000002E-3</v>
      </c>
      <c r="E5960" s="1">
        <v>2.9999999999999997E-4</v>
      </c>
      <c r="F5960" s="1">
        <v>1E-3</v>
      </c>
      <c r="G5960">
        <v>2557</v>
      </c>
      <c r="H5960">
        <v>2815</v>
      </c>
      <c r="I5960">
        <v>10430</v>
      </c>
    </row>
    <row r="5961" spans="1:9">
      <c r="A5961" s="25" t="s">
        <v>189</v>
      </c>
      <c r="B5961" t="s">
        <v>225</v>
      </c>
      <c r="C5961" t="s">
        <v>1650</v>
      </c>
      <c r="D5961" s="1">
        <v>8.0000000000000004E-4</v>
      </c>
      <c r="E5961" s="1">
        <v>5.1999999999999998E-3</v>
      </c>
      <c r="F5961" s="1">
        <v>1.3599999999999999E-2</v>
      </c>
      <c r="G5961">
        <v>2557</v>
      </c>
      <c r="H5961">
        <v>2815</v>
      </c>
      <c r="I5961">
        <v>10430</v>
      </c>
    </row>
    <row r="5962" spans="1:9">
      <c r="A5962" s="25" t="s">
        <v>189</v>
      </c>
      <c r="B5962" t="s">
        <v>226</v>
      </c>
      <c r="C5962" t="s">
        <v>1631</v>
      </c>
      <c r="D5962" s="1">
        <v>5.9999999999999995E-4</v>
      </c>
      <c r="F5962" s="1">
        <v>1.2999999999999999E-3</v>
      </c>
      <c r="G5962">
        <v>3857</v>
      </c>
      <c r="H5962">
        <v>3857</v>
      </c>
      <c r="I5962">
        <v>10430</v>
      </c>
    </row>
    <row r="5963" spans="1:9">
      <c r="A5963" s="25" t="s">
        <v>189</v>
      </c>
      <c r="B5963" t="s">
        <v>226</v>
      </c>
      <c r="C5963" t="s">
        <v>241</v>
      </c>
      <c r="D5963" s="1">
        <v>1.44E-2</v>
      </c>
      <c r="E5963" s="1">
        <v>2.6200000000000001E-2</v>
      </c>
      <c r="F5963" s="1">
        <v>5.6899999999999999E-2</v>
      </c>
      <c r="G5963">
        <v>3857</v>
      </c>
      <c r="H5963">
        <v>3857</v>
      </c>
      <c r="I5963">
        <v>10430</v>
      </c>
    </row>
    <row r="5964" spans="1:9">
      <c r="A5964" s="25" t="s">
        <v>189</v>
      </c>
      <c r="B5964" t="s">
        <v>226</v>
      </c>
      <c r="C5964" t="s">
        <v>1632</v>
      </c>
      <c r="D5964" s="1">
        <v>1.2800000000000001E-2</v>
      </c>
      <c r="E5964" s="1">
        <v>3.0099999999999998E-2</v>
      </c>
      <c r="F5964" s="1">
        <v>3.7699999999999997E-2</v>
      </c>
      <c r="G5964">
        <v>3857</v>
      </c>
      <c r="H5964">
        <v>3857</v>
      </c>
      <c r="I5964">
        <v>10430</v>
      </c>
    </row>
    <row r="5965" spans="1:9">
      <c r="A5965" s="25" t="s">
        <v>189</v>
      </c>
      <c r="B5965" t="s">
        <v>226</v>
      </c>
      <c r="C5965" t="s">
        <v>1633</v>
      </c>
      <c r="D5965" s="1">
        <v>7.7999999999999996E-3</v>
      </c>
      <c r="E5965" s="1">
        <v>5.7000000000000002E-3</v>
      </c>
      <c r="F5965" s="1">
        <v>1.6199999999999999E-2</v>
      </c>
      <c r="G5965">
        <v>3857</v>
      </c>
      <c r="H5965">
        <v>3857</v>
      </c>
      <c r="I5965">
        <v>10430</v>
      </c>
    </row>
    <row r="5966" spans="1:9">
      <c r="A5966" s="25" t="s">
        <v>189</v>
      </c>
      <c r="B5966" t="s">
        <v>226</v>
      </c>
      <c r="C5966" t="s">
        <v>1634</v>
      </c>
      <c r="D5966" s="1">
        <v>2.0999999999999999E-3</v>
      </c>
      <c r="E5966" s="1">
        <v>4.1000000000000003E-3</v>
      </c>
      <c r="F5966" s="1">
        <v>6.0000000000000001E-3</v>
      </c>
      <c r="G5966">
        <v>3857</v>
      </c>
      <c r="H5966">
        <v>3857</v>
      </c>
      <c r="I5966">
        <v>10430</v>
      </c>
    </row>
    <row r="5967" spans="1:9">
      <c r="A5967" s="25" t="s">
        <v>189</v>
      </c>
      <c r="B5967" t="s">
        <v>226</v>
      </c>
      <c r="C5967" t="s">
        <v>1635</v>
      </c>
      <c r="D5967" s="1">
        <v>5.96E-2</v>
      </c>
      <c r="E5967" s="1">
        <v>0.16600000000000001</v>
      </c>
      <c r="F5967" s="1">
        <v>0.1263</v>
      </c>
      <c r="G5967">
        <v>3857</v>
      </c>
      <c r="H5967">
        <v>3857</v>
      </c>
      <c r="I5967">
        <v>10430</v>
      </c>
    </row>
    <row r="5968" spans="1:9">
      <c r="A5968" s="25" t="s">
        <v>189</v>
      </c>
      <c r="B5968" t="s">
        <v>226</v>
      </c>
      <c r="C5968" t="s">
        <v>1636</v>
      </c>
      <c r="D5968" s="1">
        <v>2.9999999999999997E-4</v>
      </c>
      <c r="E5968" s="1">
        <v>2.5000000000000001E-3</v>
      </c>
      <c r="F5968" s="1">
        <v>3.7000000000000002E-3</v>
      </c>
      <c r="G5968">
        <v>3857</v>
      </c>
      <c r="H5968">
        <v>3857</v>
      </c>
      <c r="I5968">
        <v>10430</v>
      </c>
    </row>
    <row r="5969" spans="1:9">
      <c r="A5969" s="25" t="s">
        <v>189</v>
      </c>
      <c r="B5969" t="s">
        <v>226</v>
      </c>
      <c r="C5969" t="s">
        <v>1637</v>
      </c>
      <c r="D5969" s="1">
        <v>2.06E-2</v>
      </c>
      <c r="E5969" s="1">
        <v>3.32E-2</v>
      </c>
      <c r="F5969" s="1">
        <v>3.5999999999999997E-2</v>
      </c>
      <c r="G5969">
        <v>3857</v>
      </c>
      <c r="H5969">
        <v>3857</v>
      </c>
      <c r="I5969">
        <v>10430</v>
      </c>
    </row>
    <row r="5970" spans="1:9">
      <c r="A5970" s="25" t="s">
        <v>189</v>
      </c>
      <c r="B5970" t="s">
        <v>226</v>
      </c>
      <c r="C5970" t="s">
        <v>1638</v>
      </c>
      <c r="D5970" s="1">
        <v>3.3E-3</v>
      </c>
      <c r="E5970" s="1">
        <v>7.4000000000000003E-3</v>
      </c>
      <c r="F5970" s="1">
        <v>1.44E-2</v>
      </c>
      <c r="G5970">
        <v>3857</v>
      </c>
      <c r="H5970">
        <v>3857</v>
      </c>
      <c r="I5970">
        <v>10430</v>
      </c>
    </row>
    <row r="5971" spans="1:9">
      <c r="A5971" s="25" t="s">
        <v>189</v>
      </c>
      <c r="B5971" t="s">
        <v>226</v>
      </c>
      <c r="C5971" t="s">
        <v>1639</v>
      </c>
      <c r="D5971" s="1">
        <v>1.6000000000000001E-3</v>
      </c>
      <c r="E5971" s="1">
        <v>2.8999999999999998E-3</v>
      </c>
      <c r="F5971" s="1">
        <v>4.1000000000000003E-3</v>
      </c>
      <c r="G5971">
        <v>3857</v>
      </c>
      <c r="H5971">
        <v>3857</v>
      </c>
      <c r="I5971">
        <v>10430</v>
      </c>
    </row>
    <row r="5972" spans="1:9">
      <c r="A5972" s="25" t="s">
        <v>189</v>
      </c>
      <c r="B5972" t="s">
        <v>226</v>
      </c>
      <c r="C5972" t="s">
        <v>1640</v>
      </c>
      <c r="D5972" s="1">
        <v>5.1999999999999998E-3</v>
      </c>
      <c r="E5972" s="1">
        <v>1.6199999999999999E-2</v>
      </c>
      <c r="F5972" s="1">
        <v>1.32E-2</v>
      </c>
      <c r="G5972">
        <v>3857</v>
      </c>
      <c r="H5972">
        <v>3857</v>
      </c>
      <c r="I5972">
        <v>10430</v>
      </c>
    </row>
    <row r="5973" spans="1:9">
      <c r="A5973" s="25" t="s">
        <v>189</v>
      </c>
      <c r="B5973" t="s">
        <v>226</v>
      </c>
      <c r="C5973" t="s">
        <v>1641</v>
      </c>
      <c r="D5973" s="1">
        <v>1.95E-2</v>
      </c>
      <c r="E5973" s="1">
        <v>9.6199999999999994E-2</v>
      </c>
      <c r="F5973" s="1">
        <v>0.1013</v>
      </c>
      <c r="G5973">
        <v>3857</v>
      </c>
      <c r="H5973">
        <v>3857</v>
      </c>
      <c r="I5973">
        <v>10430</v>
      </c>
    </row>
    <row r="5974" spans="1:9">
      <c r="A5974" s="25" t="s">
        <v>189</v>
      </c>
      <c r="B5974" t="s">
        <v>226</v>
      </c>
      <c r="C5974" t="s">
        <v>1651</v>
      </c>
      <c r="D5974" s="1">
        <v>1E-4</v>
      </c>
      <c r="E5974" s="1">
        <v>3.5999999999999999E-3</v>
      </c>
      <c r="F5974" s="1">
        <v>8.2000000000000007E-3</v>
      </c>
      <c r="G5974">
        <v>3857</v>
      </c>
      <c r="H5974">
        <v>3857</v>
      </c>
      <c r="I5974">
        <v>10430</v>
      </c>
    </row>
    <row r="5975" spans="1:9">
      <c r="A5975" s="25" t="s">
        <v>189</v>
      </c>
      <c r="B5975" t="s">
        <v>226</v>
      </c>
      <c r="C5975" t="s">
        <v>1642</v>
      </c>
      <c r="D5975" s="1">
        <v>1.9E-3</v>
      </c>
      <c r="E5975" s="1">
        <v>1.14E-2</v>
      </c>
      <c r="F5975" s="1">
        <v>1.8100000000000002E-2</v>
      </c>
      <c r="G5975">
        <v>3857</v>
      </c>
      <c r="H5975">
        <v>3857</v>
      </c>
      <c r="I5975">
        <v>10430</v>
      </c>
    </row>
    <row r="5976" spans="1:9">
      <c r="A5976" s="25" t="s">
        <v>189</v>
      </c>
      <c r="B5976" t="s">
        <v>226</v>
      </c>
      <c r="C5976" t="s">
        <v>1643</v>
      </c>
      <c r="D5976" s="1">
        <v>3.5999999999999999E-3</v>
      </c>
      <c r="E5976" s="1">
        <v>1.5E-3</v>
      </c>
      <c r="F5976" s="1">
        <v>3.8E-3</v>
      </c>
      <c r="G5976">
        <v>3857</v>
      </c>
      <c r="H5976">
        <v>3857</v>
      </c>
      <c r="I5976">
        <v>10430</v>
      </c>
    </row>
    <row r="5977" spans="1:9">
      <c r="A5977" s="25" t="s">
        <v>189</v>
      </c>
      <c r="B5977" t="s">
        <v>226</v>
      </c>
      <c r="C5977" t="s">
        <v>1644</v>
      </c>
      <c r="D5977" s="1">
        <v>2.0999999999999999E-3</v>
      </c>
      <c r="E5977" s="1">
        <v>4.7999999999999996E-3</v>
      </c>
      <c r="F5977" s="1">
        <v>1.21E-2</v>
      </c>
      <c r="G5977">
        <v>3857</v>
      </c>
      <c r="H5977">
        <v>3857</v>
      </c>
      <c r="I5977">
        <v>10430</v>
      </c>
    </row>
    <row r="5978" spans="1:9">
      <c r="A5978" s="25" t="s">
        <v>189</v>
      </c>
      <c r="B5978" t="s">
        <v>226</v>
      </c>
      <c r="C5978" t="s">
        <v>1645</v>
      </c>
      <c r="D5978" s="1">
        <v>4.0000000000000002E-4</v>
      </c>
      <c r="E5978" s="1">
        <v>1E-4</v>
      </c>
      <c r="G5978">
        <v>3857</v>
      </c>
      <c r="H5978">
        <v>3857</v>
      </c>
      <c r="I5978">
        <v>10430</v>
      </c>
    </row>
    <row r="5979" spans="1:9">
      <c r="A5979" s="25" t="s">
        <v>189</v>
      </c>
      <c r="B5979" t="s">
        <v>226</v>
      </c>
      <c r="C5979" t="s">
        <v>1646</v>
      </c>
      <c r="D5979" s="1">
        <v>2E-3</v>
      </c>
      <c r="E5979" s="1">
        <v>2.0400000000000001E-2</v>
      </c>
      <c r="F5979" s="1">
        <v>3.95E-2</v>
      </c>
      <c r="G5979">
        <v>3857</v>
      </c>
      <c r="H5979">
        <v>3857</v>
      </c>
      <c r="I5979">
        <v>10430</v>
      </c>
    </row>
    <row r="5980" spans="1:9">
      <c r="A5980" s="25" t="s">
        <v>189</v>
      </c>
      <c r="B5980" t="s">
        <v>226</v>
      </c>
      <c r="C5980" t="s">
        <v>1647</v>
      </c>
      <c r="D5980" s="1">
        <v>6.6E-3</v>
      </c>
      <c r="E5980" s="1">
        <v>2.6100000000000002E-2</v>
      </c>
      <c r="F5980" s="1">
        <v>3.6400000000000002E-2</v>
      </c>
      <c r="G5980">
        <v>3857</v>
      </c>
      <c r="H5980">
        <v>3857</v>
      </c>
      <c r="I5980">
        <v>10430</v>
      </c>
    </row>
    <row r="5981" spans="1:9">
      <c r="A5981" s="25" t="s">
        <v>189</v>
      </c>
      <c r="B5981" t="s">
        <v>226</v>
      </c>
      <c r="C5981" t="s">
        <v>1648</v>
      </c>
      <c r="D5981" s="1">
        <v>0.36109999999999998</v>
      </c>
      <c r="E5981" s="1">
        <v>0.1469</v>
      </c>
      <c r="F5981" s="1">
        <v>5.1499999999999997E-2</v>
      </c>
      <c r="G5981">
        <v>3857</v>
      </c>
      <c r="H5981">
        <v>3857</v>
      </c>
      <c r="I5981">
        <v>10430</v>
      </c>
    </row>
    <row r="5982" spans="1:9">
      <c r="A5982" s="25" t="s">
        <v>189</v>
      </c>
      <c r="B5982" t="s">
        <v>226</v>
      </c>
      <c r="C5982" t="s">
        <v>1649</v>
      </c>
      <c r="D5982" s="1">
        <v>0.16370000000000001</v>
      </c>
      <c r="E5982" s="1">
        <v>7.1099999999999997E-2</v>
      </c>
      <c r="F5982" s="1">
        <v>4.1599999999999998E-2</v>
      </c>
      <c r="G5982">
        <v>3857</v>
      </c>
      <c r="H5982">
        <v>3857</v>
      </c>
      <c r="I5982">
        <v>10430</v>
      </c>
    </row>
    <row r="5983" spans="1:9">
      <c r="A5983" s="25" t="s">
        <v>189</v>
      </c>
      <c r="B5983" t="s">
        <v>226</v>
      </c>
      <c r="C5983" t="s">
        <v>324</v>
      </c>
      <c r="D5983" s="1">
        <v>0.30769999999999997</v>
      </c>
      <c r="E5983" s="1">
        <v>0.32029999999999997</v>
      </c>
      <c r="F5983" s="1">
        <v>0.36309999999999998</v>
      </c>
      <c r="G5983">
        <v>3857</v>
      </c>
      <c r="H5983">
        <v>3857</v>
      </c>
      <c r="I5983">
        <v>10430</v>
      </c>
    </row>
    <row r="5984" spans="1:9">
      <c r="A5984" s="25" t="s">
        <v>189</v>
      </c>
      <c r="B5984" t="s">
        <v>226</v>
      </c>
      <c r="C5984" t="s">
        <v>269</v>
      </c>
      <c r="D5984" s="1">
        <v>1.5E-3</v>
      </c>
      <c r="E5984" s="1">
        <v>2.5000000000000001E-3</v>
      </c>
      <c r="F5984" s="1">
        <v>3.5999999999999999E-3</v>
      </c>
      <c r="G5984">
        <v>3857</v>
      </c>
      <c r="H5984">
        <v>3857</v>
      </c>
      <c r="I5984">
        <v>10430</v>
      </c>
    </row>
    <row r="5985" spans="1:9">
      <c r="A5985" s="25" t="s">
        <v>189</v>
      </c>
      <c r="B5985" t="s">
        <v>226</v>
      </c>
      <c r="C5985" t="s">
        <v>243</v>
      </c>
      <c r="D5985" s="1">
        <v>1E-3</v>
      </c>
      <c r="F5985" s="1">
        <v>1.2999999999999999E-3</v>
      </c>
      <c r="G5985">
        <v>3857</v>
      </c>
      <c r="H5985">
        <v>3857</v>
      </c>
      <c r="I5985">
        <v>10430</v>
      </c>
    </row>
    <row r="5986" spans="1:9">
      <c r="A5986" s="25" t="s">
        <v>189</v>
      </c>
      <c r="B5986" t="s">
        <v>226</v>
      </c>
      <c r="C5986" t="s">
        <v>1650</v>
      </c>
      <c r="D5986" s="1">
        <v>5.9999999999999995E-4</v>
      </c>
      <c r="E5986" s="1">
        <v>8.9999999999999998E-4</v>
      </c>
      <c r="F5986" s="1">
        <v>3.5999999999999999E-3</v>
      </c>
      <c r="G5986">
        <v>3857</v>
      </c>
      <c r="H5986">
        <v>3857</v>
      </c>
      <c r="I5986">
        <v>10430</v>
      </c>
    </row>
    <row r="5987" spans="1:9">
      <c r="A5987" s="25" t="s">
        <v>192</v>
      </c>
      <c r="B5987" t="s">
        <v>192</v>
      </c>
      <c r="C5987" t="s">
        <v>1631</v>
      </c>
      <c r="D5987" s="1">
        <v>1.1000000000000001E-3</v>
      </c>
      <c r="E5987" s="1">
        <v>4.7999999999999996E-3</v>
      </c>
      <c r="F5987" s="1">
        <v>7.4000000000000003E-3</v>
      </c>
      <c r="G5987">
        <v>10430</v>
      </c>
      <c r="H5987">
        <v>10430</v>
      </c>
      <c r="I5987">
        <v>10430</v>
      </c>
    </row>
    <row r="5988" spans="1:9">
      <c r="A5988" s="25" t="s">
        <v>192</v>
      </c>
      <c r="B5988" t="s">
        <v>192</v>
      </c>
      <c r="C5988" t="s">
        <v>241</v>
      </c>
      <c r="D5988" s="1">
        <v>1.21E-2</v>
      </c>
      <c r="E5988" s="1">
        <v>2.9100000000000001E-2</v>
      </c>
      <c r="F5988" s="1">
        <v>5.5599999999999997E-2</v>
      </c>
      <c r="G5988">
        <v>10430</v>
      </c>
      <c r="H5988">
        <v>10430</v>
      </c>
      <c r="I5988">
        <v>10430</v>
      </c>
    </row>
    <row r="5989" spans="1:9">
      <c r="A5989" s="25" t="s">
        <v>192</v>
      </c>
      <c r="B5989" t="s">
        <v>192</v>
      </c>
      <c r="C5989" t="s">
        <v>1632</v>
      </c>
      <c r="D5989" s="1">
        <v>1.4500000000000001E-2</v>
      </c>
      <c r="E5989" s="1">
        <v>3.9699999999999999E-2</v>
      </c>
      <c r="F5989" s="1">
        <v>4.8500000000000001E-2</v>
      </c>
      <c r="G5989">
        <v>10430</v>
      </c>
      <c r="H5989">
        <v>10430</v>
      </c>
      <c r="I5989">
        <v>10430</v>
      </c>
    </row>
    <row r="5990" spans="1:9">
      <c r="A5990" s="25" t="s">
        <v>192</v>
      </c>
      <c r="B5990" t="s">
        <v>192</v>
      </c>
      <c r="C5990" t="s">
        <v>1633</v>
      </c>
      <c r="D5990" s="1">
        <v>1.0699999999999999E-2</v>
      </c>
      <c r="E5990" s="1">
        <v>1.2999999999999999E-2</v>
      </c>
      <c r="F5990" s="1">
        <v>1.7600000000000001E-2</v>
      </c>
      <c r="G5990">
        <v>10430</v>
      </c>
      <c r="H5990">
        <v>10430</v>
      </c>
      <c r="I5990">
        <v>10430</v>
      </c>
    </row>
    <row r="5991" spans="1:9">
      <c r="A5991" s="25" t="s">
        <v>192</v>
      </c>
      <c r="B5991" t="s">
        <v>192</v>
      </c>
      <c r="C5991" t="s">
        <v>1634</v>
      </c>
      <c r="D5991" s="1">
        <v>1E-3</v>
      </c>
      <c r="E5991" s="1">
        <v>2.8999999999999998E-3</v>
      </c>
      <c r="F5991" s="1">
        <v>7.1000000000000004E-3</v>
      </c>
      <c r="G5991">
        <v>10430</v>
      </c>
      <c r="H5991">
        <v>10430</v>
      </c>
      <c r="I5991">
        <v>10430</v>
      </c>
    </row>
    <row r="5992" spans="1:9">
      <c r="A5992" s="25" t="s">
        <v>192</v>
      </c>
      <c r="B5992" t="s">
        <v>192</v>
      </c>
      <c r="C5992" t="s">
        <v>1635</v>
      </c>
      <c r="D5992" s="1">
        <v>4.1200000000000001E-2</v>
      </c>
      <c r="E5992" s="1">
        <v>0.10920000000000001</v>
      </c>
      <c r="F5992" s="1">
        <v>8.8099999999999998E-2</v>
      </c>
      <c r="G5992">
        <v>10430</v>
      </c>
      <c r="H5992">
        <v>10430</v>
      </c>
      <c r="I5992">
        <v>10430</v>
      </c>
    </row>
    <row r="5993" spans="1:9">
      <c r="A5993" s="25" t="s">
        <v>192</v>
      </c>
      <c r="B5993" t="s">
        <v>192</v>
      </c>
      <c r="C5993" t="s">
        <v>1636</v>
      </c>
      <c r="D5993" s="1">
        <v>2.0000000000000001E-4</v>
      </c>
      <c r="E5993" s="1">
        <v>1.8E-3</v>
      </c>
      <c r="F5993" s="1">
        <v>5.1999999999999998E-3</v>
      </c>
      <c r="G5993">
        <v>10430</v>
      </c>
      <c r="H5993">
        <v>10430</v>
      </c>
      <c r="I5993">
        <v>10430</v>
      </c>
    </row>
    <row r="5994" spans="1:9">
      <c r="A5994" s="25" t="s">
        <v>192</v>
      </c>
      <c r="B5994" t="s">
        <v>192</v>
      </c>
      <c r="C5994" t="s">
        <v>1637</v>
      </c>
      <c r="D5994" s="1">
        <v>2.53E-2</v>
      </c>
      <c r="E5994" s="1">
        <v>4.3900000000000002E-2</v>
      </c>
      <c r="F5994" s="1">
        <v>3.6700000000000003E-2</v>
      </c>
      <c r="G5994">
        <v>10430</v>
      </c>
      <c r="H5994">
        <v>10430</v>
      </c>
      <c r="I5994">
        <v>10430</v>
      </c>
    </row>
    <row r="5995" spans="1:9">
      <c r="A5995" s="25" t="s">
        <v>192</v>
      </c>
      <c r="B5995" t="s">
        <v>192</v>
      </c>
      <c r="C5995" t="s">
        <v>1638</v>
      </c>
      <c r="D5995" s="1">
        <v>3.0999999999999999E-3</v>
      </c>
      <c r="E5995" s="1">
        <v>7.3000000000000001E-3</v>
      </c>
      <c r="F5995" s="1">
        <v>1.0500000000000001E-2</v>
      </c>
      <c r="G5995">
        <v>10430</v>
      </c>
      <c r="H5995">
        <v>10430</v>
      </c>
      <c r="I5995">
        <v>10430</v>
      </c>
    </row>
    <row r="5996" spans="1:9">
      <c r="A5996" s="25" t="s">
        <v>192</v>
      </c>
      <c r="B5996" t="s">
        <v>192</v>
      </c>
      <c r="C5996" t="s">
        <v>1639</v>
      </c>
      <c r="D5996" s="1">
        <v>1.9E-3</v>
      </c>
      <c r="E5996" s="1">
        <v>4.3E-3</v>
      </c>
      <c r="F5996" s="1">
        <v>4.0000000000000001E-3</v>
      </c>
      <c r="G5996">
        <v>10430</v>
      </c>
      <c r="H5996">
        <v>10430</v>
      </c>
      <c r="I5996">
        <v>10430</v>
      </c>
    </row>
    <row r="5997" spans="1:9">
      <c r="A5997" s="25" t="s">
        <v>192</v>
      </c>
      <c r="B5997" t="s">
        <v>192</v>
      </c>
      <c r="C5997" t="s">
        <v>1640</v>
      </c>
      <c r="D5997" s="1">
        <v>4.0000000000000001E-3</v>
      </c>
      <c r="E5997" s="1">
        <v>1.4E-2</v>
      </c>
      <c r="F5997" s="1">
        <v>1.38E-2</v>
      </c>
      <c r="G5997">
        <v>10430</v>
      </c>
      <c r="H5997">
        <v>10430</v>
      </c>
      <c r="I5997">
        <v>10430</v>
      </c>
    </row>
    <row r="5998" spans="1:9">
      <c r="A5998" s="25" t="s">
        <v>192</v>
      </c>
      <c r="B5998" t="s">
        <v>192</v>
      </c>
      <c r="C5998" t="s">
        <v>1641</v>
      </c>
      <c r="D5998" s="1">
        <v>1.4500000000000001E-2</v>
      </c>
      <c r="E5998" s="1">
        <v>7.3200000000000001E-2</v>
      </c>
      <c r="F5998" s="1">
        <v>7.7799999999999994E-2</v>
      </c>
      <c r="G5998">
        <v>10430</v>
      </c>
      <c r="H5998">
        <v>10430</v>
      </c>
      <c r="I5998">
        <v>10430</v>
      </c>
    </row>
    <row r="5999" spans="1:9">
      <c r="A5999" s="25" t="s">
        <v>192</v>
      </c>
      <c r="B5999" t="s">
        <v>192</v>
      </c>
      <c r="C5999" t="s">
        <v>1651</v>
      </c>
      <c r="D5999" s="1">
        <v>6.9999999999999999E-4</v>
      </c>
      <c r="E5999" s="1">
        <v>3.8E-3</v>
      </c>
      <c r="F5999" s="1">
        <v>7.6E-3</v>
      </c>
      <c r="G5999">
        <v>10430</v>
      </c>
      <c r="H5999">
        <v>10430</v>
      </c>
      <c r="I5999">
        <v>10430</v>
      </c>
    </row>
    <row r="6000" spans="1:9">
      <c r="A6000" s="25" t="s">
        <v>192</v>
      </c>
      <c r="B6000" t="s">
        <v>192</v>
      </c>
      <c r="C6000" t="s">
        <v>1642</v>
      </c>
      <c r="D6000" s="1">
        <v>9.7000000000000003E-3</v>
      </c>
      <c r="E6000" s="1">
        <v>4.5600000000000002E-2</v>
      </c>
      <c r="F6000" s="1">
        <v>4.5100000000000001E-2</v>
      </c>
      <c r="G6000">
        <v>10430</v>
      </c>
      <c r="H6000">
        <v>10430</v>
      </c>
      <c r="I6000">
        <v>10430</v>
      </c>
    </row>
    <row r="6001" spans="1:9">
      <c r="A6001" s="25" t="s">
        <v>192</v>
      </c>
      <c r="B6001" t="s">
        <v>192</v>
      </c>
      <c r="C6001" t="s">
        <v>1643</v>
      </c>
      <c r="D6001" s="1">
        <v>3.2000000000000002E-3</v>
      </c>
      <c r="E6001" s="1">
        <v>4.8999999999999998E-3</v>
      </c>
      <c r="F6001" s="1">
        <v>8.8000000000000005E-3</v>
      </c>
      <c r="G6001">
        <v>10430</v>
      </c>
      <c r="H6001">
        <v>10430</v>
      </c>
      <c r="I6001">
        <v>10430</v>
      </c>
    </row>
    <row r="6002" spans="1:9">
      <c r="A6002" s="25" t="s">
        <v>192</v>
      </c>
      <c r="B6002" t="s">
        <v>192</v>
      </c>
      <c r="C6002" t="s">
        <v>1644</v>
      </c>
      <c r="D6002" s="1">
        <v>1E-3</v>
      </c>
      <c r="E6002" s="1">
        <v>5.4999999999999997E-3</v>
      </c>
      <c r="F6002" s="1">
        <v>1.2699999999999999E-2</v>
      </c>
      <c r="G6002">
        <v>10430</v>
      </c>
      <c r="H6002">
        <v>10430</v>
      </c>
      <c r="I6002">
        <v>10430</v>
      </c>
    </row>
    <row r="6003" spans="1:9">
      <c r="A6003" s="25" t="s">
        <v>192</v>
      </c>
      <c r="B6003" t="s">
        <v>192</v>
      </c>
      <c r="C6003" t="s">
        <v>1645</v>
      </c>
      <c r="D6003" s="1">
        <v>8.0000000000000004E-4</v>
      </c>
      <c r="E6003" s="1">
        <v>1E-3</v>
      </c>
      <c r="F6003" s="1">
        <v>3.8E-3</v>
      </c>
      <c r="G6003">
        <v>10430</v>
      </c>
      <c r="H6003">
        <v>10430</v>
      </c>
      <c r="I6003">
        <v>10430</v>
      </c>
    </row>
    <row r="6004" spans="1:9">
      <c r="A6004" s="25" t="s">
        <v>192</v>
      </c>
      <c r="B6004" t="s">
        <v>192</v>
      </c>
      <c r="C6004" t="s">
        <v>1646</v>
      </c>
      <c r="D6004" s="1">
        <v>1.6999999999999999E-3</v>
      </c>
      <c r="E6004" s="1">
        <v>1.38E-2</v>
      </c>
      <c r="F6004" s="1">
        <v>2.7699999999999999E-2</v>
      </c>
      <c r="G6004">
        <v>10430</v>
      </c>
      <c r="H6004">
        <v>10430</v>
      </c>
      <c r="I6004">
        <v>10430</v>
      </c>
    </row>
    <row r="6005" spans="1:9">
      <c r="A6005" s="25" t="s">
        <v>192</v>
      </c>
      <c r="B6005" t="s">
        <v>192</v>
      </c>
      <c r="C6005" t="s">
        <v>1647</v>
      </c>
      <c r="D6005" s="1">
        <v>5.4999999999999997E-3</v>
      </c>
      <c r="E6005" s="1">
        <v>1.9199999999999998E-2</v>
      </c>
      <c r="F6005" s="1">
        <v>2.98E-2</v>
      </c>
      <c r="G6005">
        <v>10430</v>
      </c>
      <c r="H6005">
        <v>10430</v>
      </c>
      <c r="I6005">
        <v>10430</v>
      </c>
    </row>
    <row r="6006" spans="1:9">
      <c r="A6006" s="25" t="s">
        <v>192</v>
      </c>
      <c r="B6006" t="s">
        <v>192</v>
      </c>
      <c r="C6006" t="s">
        <v>1648</v>
      </c>
      <c r="D6006" s="1">
        <v>0.28689999999999999</v>
      </c>
      <c r="E6006" s="1">
        <v>0.13789999999999999</v>
      </c>
      <c r="F6006" s="1">
        <v>5.3699999999999998E-2</v>
      </c>
      <c r="G6006">
        <v>10430</v>
      </c>
      <c r="H6006">
        <v>10430</v>
      </c>
      <c r="I6006">
        <v>10430</v>
      </c>
    </row>
    <row r="6007" spans="1:9">
      <c r="A6007" s="25" t="s">
        <v>192</v>
      </c>
      <c r="B6007" t="s">
        <v>192</v>
      </c>
      <c r="C6007" t="s">
        <v>1649</v>
      </c>
      <c r="D6007" s="1">
        <v>0.2114</v>
      </c>
      <c r="E6007" s="1">
        <v>6.6199999999999995E-2</v>
      </c>
      <c r="F6007" s="1">
        <v>4.0399999999999998E-2</v>
      </c>
      <c r="G6007">
        <v>10430</v>
      </c>
      <c r="H6007">
        <v>10430</v>
      </c>
      <c r="I6007">
        <v>10430</v>
      </c>
    </row>
    <row r="6008" spans="1:9">
      <c r="A6008" s="25" t="s">
        <v>192</v>
      </c>
      <c r="B6008" t="s">
        <v>192</v>
      </c>
      <c r="C6008" t="s">
        <v>324</v>
      </c>
      <c r="D6008" s="1">
        <v>0.34429999999999999</v>
      </c>
      <c r="E6008" s="1">
        <v>0.34960000000000002</v>
      </c>
      <c r="F6008" s="1">
        <v>0.38229999999999997</v>
      </c>
      <c r="G6008">
        <v>10430</v>
      </c>
      <c r="H6008">
        <v>10430</v>
      </c>
      <c r="I6008">
        <v>10430</v>
      </c>
    </row>
    <row r="6009" spans="1:9">
      <c r="A6009" s="25" t="s">
        <v>192</v>
      </c>
      <c r="B6009" t="s">
        <v>192</v>
      </c>
      <c r="C6009" t="s">
        <v>269</v>
      </c>
      <c r="D6009" s="1">
        <v>2.0999999999999999E-3</v>
      </c>
      <c r="E6009" s="1">
        <v>4.3E-3</v>
      </c>
      <c r="F6009" s="1">
        <v>6.8999999999999999E-3</v>
      </c>
      <c r="G6009">
        <v>10430</v>
      </c>
      <c r="H6009">
        <v>10430</v>
      </c>
      <c r="I6009">
        <v>10430</v>
      </c>
    </row>
    <row r="6010" spans="1:9">
      <c r="A6010" s="25" t="s">
        <v>192</v>
      </c>
      <c r="B6010" t="s">
        <v>192</v>
      </c>
      <c r="C6010" t="s">
        <v>243</v>
      </c>
      <c r="D6010" s="1">
        <v>2.0999999999999999E-3</v>
      </c>
      <c r="E6010" s="1">
        <v>1E-4</v>
      </c>
      <c r="F6010" s="1">
        <v>1.5E-3</v>
      </c>
      <c r="G6010">
        <v>10430</v>
      </c>
      <c r="H6010">
        <v>10430</v>
      </c>
      <c r="I6010">
        <v>10430</v>
      </c>
    </row>
    <row r="6011" spans="1:9">
      <c r="A6011" s="25" t="s">
        <v>192</v>
      </c>
      <c r="B6011" t="s">
        <v>192</v>
      </c>
      <c r="C6011" t="s">
        <v>1650</v>
      </c>
      <c r="D6011" s="1">
        <v>8.0000000000000004E-4</v>
      </c>
      <c r="E6011" s="1">
        <v>4.8999999999999998E-3</v>
      </c>
      <c r="F6011" s="1">
        <v>7.4999999999999997E-3</v>
      </c>
      <c r="G6011">
        <v>10430</v>
      </c>
      <c r="H6011">
        <v>10430</v>
      </c>
      <c r="I6011">
        <v>10430</v>
      </c>
    </row>
    <row r="6013" spans="1:9" ht="43.5">
      <c r="A6013" s="25" t="s">
        <v>1653</v>
      </c>
    </row>
    <row r="6014" spans="1:9">
      <c r="A6014" s="25" t="s">
        <v>181</v>
      </c>
      <c r="B6014" t="s">
        <v>182</v>
      </c>
      <c r="C6014" t="s">
        <v>1015</v>
      </c>
      <c r="D6014" t="s">
        <v>1628</v>
      </c>
      <c r="E6014" t="s">
        <v>1629</v>
      </c>
      <c r="F6014" t="s">
        <v>1630</v>
      </c>
      <c r="G6014" t="s">
        <v>1026</v>
      </c>
      <c r="H6014" t="s">
        <v>219</v>
      </c>
      <c r="I6014" t="s">
        <v>188</v>
      </c>
    </row>
    <row r="6015" spans="1:9">
      <c r="A6015" s="25" t="s">
        <v>189</v>
      </c>
      <c r="B6015" t="s">
        <v>190</v>
      </c>
      <c r="C6015" t="s">
        <v>1631</v>
      </c>
      <c r="D6015" s="1">
        <v>5.9999999999999995E-4</v>
      </c>
      <c r="E6015" s="1">
        <v>3.5000000000000001E-3</v>
      </c>
      <c r="F6015" s="1">
        <v>4.0000000000000001E-3</v>
      </c>
      <c r="G6015">
        <v>3972</v>
      </c>
      <c r="H6015">
        <v>4901</v>
      </c>
      <c r="I6015">
        <v>10430</v>
      </c>
    </row>
    <row r="6016" spans="1:9">
      <c r="A6016" s="25" t="s">
        <v>189</v>
      </c>
      <c r="B6016" t="s">
        <v>190</v>
      </c>
      <c r="C6016" t="s">
        <v>241</v>
      </c>
      <c r="D6016" s="1">
        <v>1.7999999999999999E-2</v>
      </c>
      <c r="E6016" s="1">
        <v>2.35E-2</v>
      </c>
      <c r="F6016" s="1">
        <v>6.0999999999999999E-2</v>
      </c>
      <c r="G6016">
        <v>3972</v>
      </c>
      <c r="H6016">
        <v>4901</v>
      </c>
      <c r="I6016">
        <v>10430</v>
      </c>
    </row>
    <row r="6017" spans="1:9">
      <c r="A6017" s="25" t="s">
        <v>189</v>
      </c>
      <c r="B6017" t="s">
        <v>190</v>
      </c>
      <c r="C6017" t="s">
        <v>1632</v>
      </c>
      <c r="D6017" s="1">
        <v>1.3899999999999999E-2</v>
      </c>
      <c r="E6017" s="1">
        <v>2.8500000000000001E-2</v>
      </c>
      <c r="F6017" s="1">
        <v>3.3300000000000003E-2</v>
      </c>
      <c r="G6017">
        <v>3972</v>
      </c>
      <c r="H6017">
        <v>4901</v>
      </c>
      <c r="I6017">
        <v>10430</v>
      </c>
    </row>
    <row r="6018" spans="1:9">
      <c r="A6018" s="25" t="s">
        <v>189</v>
      </c>
      <c r="B6018" t="s">
        <v>190</v>
      </c>
      <c r="C6018" t="s">
        <v>1633</v>
      </c>
      <c r="D6018" s="1">
        <v>9.4999999999999998E-3</v>
      </c>
      <c r="E6018" s="1">
        <v>1.03E-2</v>
      </c>
      <c r="F6018" s="1">
        <v>1.89E-2</v>
      </c>
      <c r="G6018">
        <v>3972</v>
      </c>
      <c r="H6018">
        <v>4901</v>
      </c>
      <c r="I6018">
        <v>10430</v>
      </c>
    </row>
    <row r="6019" spans="1:9">
      <c r="A6019" s="25" t="s">
        <v>189</v>
      </c>
      <c r="B6019" t="s">
        <v>190</v>
      </c>
      <c r="C6019" t="s">
        <v>1634</v>
      </c>
      <c r="D6019" s="1">
        <v>1.1999999999999999E-3</v>
      </c>
      <c r="E6019" s="1">
        <v>6.4000000000000003E-3</v>
      </c>
      <c r="F6019" s="1">
        <v>9.7999999999999997E-3</v>
      </c>
      <c r="G6019">
        <v>3972</v>
      </c>
      <c r="H6019">
        <v>4901</v>
      </c>
      <c r="I6019">
        <v>10430</v>
      </c>
    </row>
    <row r="6020" spans="1:9">
      <c r="A6020" s="25" t="s">
        <v>189</v>
      </c>
      <c r="B6020" t="s">
        <v>190</v>
      </c>
      <c r="C6020" t="s">
        <v>1635</v>
      </c>
      <c r="D6020" s="1">
        <v>6.1400000000000003E-2</v>
      </c>
      <c r="E6020" s="1">
        <v>0.16500000000000001</v>
      </c>
      <c r="F6020" s="1">
        <v>0.10979999999999999</v>
      </c>
      <c r="G6020">
        <v>3972</v>
      </c>
      <c r="H6020">
        <v>4901</v>
      </c>
      <c r="I6020">
        <v>10430</v>
      </c>
    </row>
    <row r="6021" spans="1:9">
      <c r="A6021" s="25" t="s">
        <v>189</v>
      </c>
      <c r="B6021" t="s">
        <v>190</v>
      </c>
      <c r="C6021" t="s">
        <v>1636</v>
      </c>
      <c r="D6021" s="1">
        <v>2.9999999999999997E-4</v>
      </c>
      <c r="E6021" s="1">
        <v>4.1999999999999997E-3</v>
      </c>
      <c r="F6021" s="1">
        <v>8.5000000000000006E-3</v>
      </c>
      <c r="G6021">
        <v>3972</v>
      </c>
      <c r="H6021">
        <v>4901</v>
      </c>
      <c r="I6021">
        <v>10430</v>
      </c>
    </row>
    <row r="6022" spans="1:9">
      <c r="A6022" s="25" t="s">
        <v>189</v>
      </c>
      <c r="B6022" t="s">
        <v>190</v>
      </c>
      <c r="C6022" t="s">
        <v>1637</v>
      </c>
      <c r="D6022" s="1">
        <v>2.1600000000000001E-2</v>
      </c>
      <c r="E6022" s="1">
        <v>3.9600000000000003E-2</v>
      </c>
      <c r="F6022" s="1">
        <v>4.0399999999999998E-2</v>
      </c>
      <c r="G6022">
        <v>3972</v>
      </c>
      <c r="H6022">
        <v>4901</v>
      </c>
      <c r="I6022">
        <v>10430</v>
      </c>
    </row>
    <row r="6023" spans="1:9">
      <c r="A6023" s="25" t="s">
        <v>189</v>
      </c>
      <c r="B6023" t="s">
        <v>190</v>
      </c>
      <c r="C6023" t="s">
        <v>1638</v>
      </c>
      <c r="D6023" s="1">
        <v>3.2000000000000002E-3</v>
      </c>
      <c r="E6023" s="1">
        <v>9.7999999999999997E-3</v>
      </c>
      <c r="F6023" s="1">
        <v>1.0699999999999999E-2</v>
      </c>
      <c r="G6023">
        <v>3972</v>
      </c>
      <c r="H6023">
        <v>4901</v>
      </c>
      <c r="I6023">
        <v>10430</v>
      </c>
    </row>
    <row r="6024" spans="1:9">
      <c r="A6024" s="25" t="s">
        <v>189</v>
      </c>
      <c r="B6024" t="s">
        <v>190</v>
      </c>
      <c r="C6024" t="s">
        <v>1639</v>
      </c>
      <c r="D6024" s="1">
        <v>3.2000000000000002E-3</v>
      </c>
      <c r="E6024" s="1">
        <v>2.8E-3</v>
      </c>
      <c r="F6024" s="1">
        <v>6.4999999999999997E-3</v>
      </c>
      <c r="G6024">
        <v>3972</v>
      </c>
      <c r="H6024">
        <v>4901</v>
      </c>
      <c r="I6024">
        <v>10430</v>
      </c>
    </row>
    <row r="6025" spans="1:9">
      <c r="A6025" s="25" t="s">
        <v>189</v>
      </c>
      <c r="B6025" t="s">
        <v>190</v>
      </c>
      <c r="C6025" t="s">
        <v>1640</v>
      </c>
      <c r="D6025" s="1">
        <v>5.0000000000000001E-3</v>
      </c>
      <c r="E6025" s="1">
        <v>1.8200000000000001E-2</v>
      </c>
      <c r="F6025" s="1">
        <v>1.29E-2</v>
      </c>
      <c r="G6025">
        <v>3972</v>
      </c>
      <c r="H6025">
        <v>4901</v>
      </c>
      <c r="I6025">
        <v>10430</v>
      </c>
    </row>
    <row r="6026" spans="1:9">
      <c r="A6026" s="25" t="s">
        <v>189</v>
      </c>
      <c r="B6026" t="s">
        <v>190</v>
      </c>
      <c r="C6026" t="s">
        <v>1641</v>
      </c>
      <c r="D6026" s="1">
        <v>1.47E-2</v>
      </c>
      <c r="E6026" s="1">
        <v>8.0799999999999997E-2</v>
      </c>
      <c r="F6026" s="1">
        <v>6.8599999999999994E-2</v>
      </c>
      <c r="G6026">
        <v>3972</v>
      </c>
      <c r="H6026">
        <v>4901</v>
      </c>
      <c r="I6026">
        <v>10430</v>
      </c>
    </row>
    <row r="6027" spans="1:9">
      <c r="A6027" s="25" t="s">
        <v>189</v>
      </c>
      <c r="B6027" t="s">
        <v>190</v>
      </c>
      <c r="C6027" t="s">
        <v>1651</v>
      </c>
      <c r="D6027" s="1">
        <v>8.0000000000000004E-4</v>
      </c>
      <c r="E6027" s="1">
        <v>5.0000000000000001E-3</v>
      </c>
      <c r="F6027" s="1">
        <v>8.8999999999999999E-3</v>
      </c>
      <c r="G6027">
        <v>3972</v>
      </c>
      <c r="H6027">
        <v>4901</v>
      </c>
      <c r="I6027">
        <v>10430</v>
      </c>
    </row>
    <row r="6028" spans="1:9">
      <c r="A6028" s="25" t="s">
        <v>189</v>
      </c>
      <c r="B6028" t="s">
        <v>190</v>
      </c>
      <c r="C6028" t="s">
        <v>1642</v>
      </c>
      <c r="D6028" s="1">
        <v>1.0999999999999999E-2</v>
      </c>
      <c r="E6028" s="1">
        <v>5.1799999999999999E-2</v>
      </c>
      <c r="F6028" s="1">
        <v>6.1199999999999997E-2</v>
      </c>
      <c r="G6028">
        <v>3972</v>
      </c>
      <c r="H6028">
        <v>4901</v>
      </c>
      <c r="I6028">
        <v>10430</v>
      </c>
    </row>
    <row r="6029" spans="1:9">
      <c r="A6029" s="25" t="s">
        <v>189</v>
      </c>
      <c r="B6029" t="s">
        <v>190</v>
      </c>
      <c r="C6029" t="s">
        <v>1643</v>
      </c>
      <c r="D6029" s="1">
        <v>4.0000000000000001E-3</v>
      </c>
      <c r="E6029" s="1">
        <v>3.5999999999999999E-3</v>
      </c>
      <c r="F6029" s="1">
        <v>6.4000000000000003E-3</v>
      </c>
      <c r="G6029">
        <v>3972</v>
      </c>
      <c r="H6029">
        <v>4901</v>
      </c>
      <c r="I6029">
        <v>10430</v>
      </c>
    </row>
    <row r="6030" spans="1:9">
      <c r="A6030" s="25" t="s">
        <v>189</v>
      </c>
      <c r="B6030" t="s">
        <v>190</v>
      </c>
      <c r="C6030" t="s">
        <v>1644</v>
      </c>
      <c r="D6030" s="1">
        <v>1.1000000000000001E-3</v>
      </c>
      <c r="E6030" s="1">
        <v>5.7999999999999996E-3</v>
      </c>
      <c r="F6030" s="1">
        <v>7.4000000000000003E-3</v>
      </c>
      <c r="G6030">
        <v>3972</v>
      </c>
      <c r="H6030">
        <v>4901</v>
      </c>
      <c r="I6030">
        <v>10430</v>
      </c>
    </row>
    <row r="6031" spans="1:9">
      <c r="A6031" s="25" t="s">
        <v>189</v>
      </c>
      <c r="B6031" t="s">
        <v>190</v>
      </c>
      <c r="C6031" t="s">
        <v>1645</v>
      </c>
      <c r="D6031" s="1">
        <v>1.1000000000000001E-3</v>
      </c>
      <c r="E6031" s="1">
        <v>1.9E-3</v>
      </c>
      <c r="F6031" s="1">
        <v>5.5999999999999999E-3</v>
      </c>
      <c r="G6031">
        <v>3972</v>
      </c>
      <c r="H6031">
        <v>4901</v>
      </c>
      <c r="I6031">
        <v>10430</v>
      </c>
    </row>
    <row r="6032" spans="1:9">
      <c r="A6032" s="25" t="s">
        <v>189</v>
      </c>
      <c r="B6032" t="s">
        <v>190</v>
      </c>
      <c r="C6032" t="s">
        <v>1646</v>
      </c>
      <c r="D6032" s="1">
        <v>1.6999999999999999E-3</v>
      </c>
      <c r="E6032" s="1">
        <v>1.1299999999999999E-2</v>
      </c>
      <c r="F6032" s="1">
        <v>2.7E-2</v>
      </c>
      <c r="G6032">
        <v>3972</v>
      </c>
      <c r="H6032">
        <v>4901</v>
      </c>
      <c r="I6032">
        <v>10430</v>
      </c>
    </row>
    <row r="6033" spans="1:9">
      <c r="A6033" s="25" t="s">
        <v>189</v>
      </c>
      <c r="B6033" t="s">
        <v>190</v>
      </c>
      <c r="C6033" t="s">
        <v>1647</v>
      </c>
      <c r="D6033" s="1">
        <v>8.0000000000000002E-3</v>
      </c>
      <c r="E6033" s="1">
        <v>2.3199999999999998E-2</v>
      </c>
      <c r="F6033" s="1">
        <v>4.1200000000000001E-2</v>
      </c>
      <c r="G6033">
        <v>3972</v>
      </c>
      <c r="H6033">
        <v>4901</v>
      </c>
      <c r="I6033">
        <v>10430</v>
      </c>
    </row>
    <row r="6034" spans="1:9">
      <c r="A6034" s="25" t="s">
        <v>189</v>
      </c>
      <c r="B6034" t="s">
        <v>190</v>
      </c>
      <c r="C6034" t="s">
        <v>1648</v>
      </c>
      <c r="D6034" s="1">
        <v>0.32890000000000003</v>
      </c>
      <c r="E6034" s="1">
        <v>0.124</v>
      </c>
      <c r="F6034" s="1">
        <v>4.5900000000000003E-2</v>
      </c>
      <c r="G6034">
        <v>3972</v>
      </c>
      <c r="H6034">
        <v>4901</v>
      </c>
      <c r="I6034">
        <v>10430</v>
      </c>
    </row>
    <row r="6035" spans="1:9">
      <c r="A6035" s="25" t="s">
        <v>189</v>
      </c>
      <c r="B6035" t="s">
        <v>190</v>
      </c>
      <c r="C6035" t="s">
        <v>1649</v>
      </c>
      <c r="D6035" s="1">
        <v>0.13539999999999999</v>
      </c>
      <c r="E6035" s="1">
        <v>5.0299999999999997E-2</v>
      </c>
      <c r="F6035" s="1">
        <v>4.0599999999999997E-2</v>
      </c>
      <c r="G6035">
        <v>3972</v>
      </c>
      <c r="H6035">
        <v>4901</v>
      </c>
      <c r="I6035">
        <v>10430</v>
      </c>
    </row>
    <row r="6036" spans="1:9">
      <c r="A6036" s="25" t="s">
        <v>189</v>
      </c>
      <c r="B6036" t="s">
        <v>190</v>
      </c>
      <c r="C6036" t="s">
        <v>324</v>
      </c>
      <c r="D6036" s="1">
        <v>0.35039999999999999</v>
      </c>
      <c r="E6036" s="1">
        <v>0.32400000000000001</v>
      </c>
      <c r="F6036" s="1">
        <v>0.36149999999999999</v>
      </c>
      <c r="G6036">
        <v>3972</v>
      </c>
      <c r="H6036">
        <v>4901</v>
      </c>
      <c r="I6036">
        <v>10430</v>
      </c>
    </row>
    <row r="6037" spans="1:9">
      <c r="A6037" s="25" t="s">
        <v>189</v>
      </c>
      <c r="B6037" t="s">
        <v>190</v>
      </c>
      <c r="C6037" t="s">
        <v>269</v>
      </c>
      <c r="D6037" s="1">
        <v>2.8E-3</v>
      </c>
      <c r="E6037" s="1">
        <v>5.0000000000000001E-3</v>
      </c>
      <c r="F6037" s="1">
        <v>7.0000000000000001E-3</v>
      </c>
      <c r="G6037">
        <v>3972</v>
      </c>
      <c r="H6037">
        <v>4901</v>
      </c>
      <c r="I6037">
        <v>10430</v>
      </c>
    </row>
    <row r="6038" spans="1:9">
      <c r="A6038" s="25" t="s">
        <v>189</v>
      </c>
      <c r="B6038" t="s">
        <v>190</v>
      </c>
      <c r="C6038" t="s">
        <v>243</v>
      </c>
      <c r="D6038" s="1">
        <v>1.6000000000000001E-3</v>
      </c>
      <c r="F6038" s="1">
        <v>1.4E-3</v>
      </c>
      <c r="G6038">
        <v>3972</v>
      </c>
      <c r="H6038">
        <v>4901</v>
      </c>
      <c r="I6038">
        <v>10430</v>
      </c>
    </row>
    <row r="6039" spans="1:9">
      <c r="A6039" s="25" t="s">
        <v>189</v>
      </c>
      <c r="B6039" t="s">
        <v>190</v>
      </c>
      <c r="C6039" t="s">
        <v>1650</v>
      </c>
      <c r="D6039" s="1">
        <v>5.9999999999999995E-4</v>
      </c>
      <c r="E6039" s="1">
        <v>1.5E-3</v>
      </c>
      <c r="F6039" s="1">
        <v>1.6000000000000001E-3</v>
      </c>
      <c r="G6039">
        <v>3972</v>
      </c>
      <c r="H6039">
        <v>4901</v>
      </c>
      <c r="I6039">
        <v>10430</v>
      </c>
    </row>
    <row r="6040" spans="1:9">
      <c r="A6040" s="25" t="s">
        <v>189</v>
      </c>
      <c r="B6040" t="s">
        <v>191</v>
      </c>
      <c r="C6040" t="s">
        <v>1631</v>
      </c>
      <c r="D6040" s="1">
        <v>1.4E-3</v>
      </c>
      <c r="E6040" s="1">
        <v>5.4999999999999997E-3</v>
      </c>
      <c r="F6040" s="1">
        <v>9.4000000000000004E-3</v>
      </c>
      <c r="G6040">
        <v>6445</v>
      </c>
      <c r="H6040">
        <v>5472</v>
      </c>
      <c r="I6040">
        <v>10430</v>
      </c>
    </row>
    <row r="6041" spans="1:9">
      <c r="A6041" s="25" t="s">
        <v>189</v>
      </c>
      <c r="B6041" t="s">
        <v>191</v>
      </c>
      <c r="C6041" t="s">
        <v>241</v>
      </c>
      <c r="D6041" s="1">
        <v>8.3999999999999995E-3</v>
      </c>
      <c r="E6041" s="1">
        <v>3.2399999999999998E-2</v>
      </c>
      <c r="F6041" s="1">
        <v>5.21E-2</v>
      </c>
      <c r="G6041">
        <v>6445</v>
      </c>
      <c r="H6041">
        <v>5472</v>
      </c>
      <c r="I6041">
        <v>10430</v>
      </c>
    </row>
    <row r="6042" spans="1:9">
      <c r="A6042" s="25" t="s">
        <v>189</v>
      </c>
      <c r="B6042" t="s">
        <v>191</v>
      </c>
      <c r="C6042" t="s">
        <v>1632</v>
      </c>
      <c r="D6042" s="1">
        <v>1.49E-2</v>
      </c>
      <c r="E6042" s="1">
        <v>4.65E-2</v>
      </c>
      <c r="F6042" s="1">
        <v>5.8500000000000003E-2</v>
      </c>
      <c r="G6042">
        <v>6445</v>
      </c>
      <c r="H6042">
        <v>5472</v>
      </c>
      <c r="I6042">
        <v>10430</v>
      </c>
    </row>
    <row r="6043" spans="1:9">
      <c r="A6043" s="25" t="s">
        <v>189</v>
      </c>
      <c r="B6043" t="s">
        <v>191</v>
      </c>
      <c r="C6043" t="s">
        <v>1633</v>
      </c>
      <c r="D6043" s="1">
        <v>1.14E-2</v>
      </c>
      <c r="E6043" s="1">
        <v>1.46E-2</v>
      </c>
      <c r="F6043" s="1">
        <v>1.66E-2</v>
      </c>
      <c r="G6043">
        <v>6445</v>
      </c>
      <c r="H6043">
        <v>5472</v>
      </c>
      <c r="I6043">
        <v>10430</v>
      </c>
    </row>
    <row r="6044" spans="1:9">
      <c r="A6044" s="25" t="s">
        <v>189</v>
      </c>
      <c r="B6044" t="s">
        <v>191</v>
      </c>
      <c r="C6044" t="s">
        <v>1634</v>
      </c>
      <c r="D6044" s="1">
        <v>8.9999999999999998E-4</v>
      </c>
      <c r="E6044" s="1">
        <v>8.0000000000000004E-4</v>
      </c>
      <c r="F6044" s="1">
        <v>5.3E-3</v>
      </c>
      <c r="G6044">
        <v>6445</v>
      </c>
      <c r="H6044">
        <v>5472</v>
      </c>
      <c r="I6044">
        <v>10430</v>
      </c>
    </row>
    <row r="6045" spans="1:9">
      <c r="A6045" s="25" t="s">
        <v>189</v>
      </c>
      <c r="B6045" t="s">
        <v>191</v>
      </c>
      <c r="C6045" t="s">
        <v>1635</v>
      </c>
      <c r="D6045" s="1">
        <v>2.87E-2</v>
      </c>
      <c r="E6045" s="1">
        <v>7.5999999999999998E-2</v>
      </c>
      <c r="F6045" s="1">
        <v>7.4200000000000002E-2</v>
      </c>
      <c r="G6045">
        <v>6445</v>
      </c>
      <c r="H6045">
        <v>5472</v>
      </c>
      <c r="I6045">
        <v>10430</v>
      </c>
    </row>
    <row r="6046" spans="1:9">
      <c r="A6046" s="25" t="s">
        <v>189</v>
      </c>
      <c r="B6046" t="s">
        <v>191</v>
      </c>
      <c r="C6046" t="s">
        <v>1636</v>
      </c>
      <c r="D6046" s="1">
        <v>1E-4</v>
      </c>
      <c r="E6046" s="1">
        <v>2.9999999999999997E-4</v>
      </c>
      <c r="F6046" s="1">
        <v>3.0999999999999999E-3</v>
      </c>
      <c r="G6046">
        <v>6445</v>
      </c>
      <c r="H6046">
        <v>5472</v>
      </c>
      <c r="I6046">
        <v>10430</v>
      </c>
    </row>
    <row r="6047" spans="1:9">
      <c r="A6047" s="25" t="s">
        <v>189</v>
      </c>
      <c r="B6047" t="s">
        <v>191</v>
      </c>
      <c r="C6047" t="s">
        <v>1637</v>
      </c>
      <c r="D6047" s="1">
        <v>2.76E-2</v>
      </c>
      <c r="E6047" s="1">
        <v>4.65E-2</v>
      </c>
      <c r="F6047" s="1">
        <v>3.4299999999999997E-2</v>
      </c>
      <c r="G6047">
        <v>6445</v>
      </c>
      <c r="H6047">
        <v>5472</v>
      </c>
      <c r="I6047">
        <v>10430</v>
      </c>
    </row>
    <row r="6048" spans="1:9">
      <c r="A6048" s="25" t="s">
        <v>189</v>
      </c>
      <c r="B6048" t="s">
        <v>191</v>
      </c>
      <c r="C6048" t="s">
        <v>1638</v>
      </c>
      <c r="D6048" s="1">
        <v>3.0999999999999999E-3</v>
      </c>
      <c r="E6048" s="1">
        <v>5.8999999999999999E-3</v>
      </c>
      <c r="F6048" s="1">
        <v>1.04E-2</v>
      </c>
      <c r="G6048">
        <v>6445</v>
      </c>
      <c r="H6048">
        <v>5472</v>
      </c>
      <c r="I6048">
        <v>10430</v>
      </c>
    </row>
    <row r="6049" spans="1:9">
      <c r="A6049" s="25" t="s">
        <v>189</v>
      </c>
      <c r="B6049" t="s">
        <v>191</v>
      </c>
      <c r="C6049" t="s">
        <v>1639</v>
      </c>
      <c r="D6049" s="1">
        <v>1.1000000000000001E-3</v>
      </c>
      <c r="E6049" s="1">
        <v>5.1999999999999998E-3</v>
      </c>
      <c r="F6049" s="1">
        <v>2.3999999999999998E-3</v>
      </c>
      <c r="G6049">
        <v>6445</v>
      </c>
      <c r="H6049">
        <v>5472</v>
      </c>
      <c r="I6049">
        <v>10430</v>
      </c>
    </row>
    <row r="6050" spans="1:9">
      <c r="A6050" s="25" t="s">
        <v>189</v>
      </c>
      <c r="B6050" t="s">
        <v>191</v>
      </c>
      <c r="C6050" t="s">
        <v>1640</v>
      </c>
      <c r="D6050" s="1">
        <v>3.3E-3</v>
      </c>
      <c r="E6050" s="1">
        <v>1.15E-2</v>
      </c>
      <c r="F6050" s="1">
        <v>1.4500000000000001E-2</v>
      </c>
      <c r="G6050">
        <v>6445</v>
      </c>
      <c r="H6050">
        <v>5472</v>
      </c>
      <c r="I6050">
        <v>10430</v>
      </c>
    </row>
    <row r="6051" spans="1:9">
      <c r="A6051" s="25" t="s">
        <v>189</v>
      </c>
      <c r="B6051" t="s">
        <v>191</v>
      </c>
      <c r="C6051" t="s">
        <v>1641</v>
      </c>
      <c r="D6051" s="1">
        <v>1.44E-2</v>
      </c>
      <c r="E6051" s="1">
        <v>6.8599999999999994E-2</v>
      </c>
      <c r="F6051" s="1">
        <v>8.3900000000000002E-2</v>
      </c>
      <c r="G6051">
        <v>6445</v>
      </c>
      <c r="H6051">
        <v>5472</v>
      </c>
      <c r="I6051">
        <v>10430</v>
      </c>
    </row>
    <row r="6052" spans="1:9">
      <c r="A6052" s="25" t="s">
        <v>189</v>
      </c>
      <c r="B6052" t="s">
        <v>191</v>
      </c>
      <c r="C6052" t="s">
        <v>1651</v>
      </c>
      <c r="D6052" s="1">
        <v>6.9999999999999999E-4</v>
      </c>
      <c r="E6052" s="1">
        <v>2.8999999999999998E-3</v>
      </c>
      <c r="F6052" s="1">
        <v>6.7000000000000002E-3</v>
      </c>
      <c r="G6052">
        <v>6445</v>
      </c>
      <c r="H6052">
        <v>5472</v>
      </c>
      <c r="I6052">
        <v>10430</v>
      </c>
    </row>
    <row r="6053" spans="1:9">
      <c r="A6053" s="25" t="s">
        <v>189</v>
      </c>
      <c r="B6053" t="s">
        <v>191</v>
      </c>
      <c r="C6053" t="s">
        <v>1642</v>
      </c>
      <c r="D6053" s="1">
        <v>8.8999999999999999E-3</v>
      </c>
      <c r="E6053" s="1">
        <v>4.19E-2</v>
      </c>
      <c r="F6053" s="1">
        <v>3.4500000000000003E-2</v>
      </c>
      <c r="G6053">
        <v>6445</v>
      </c>
      <c r="H6053">
        <v>5472</v>
      </c>
      <c r="I6053">
        <v>10430</v>
      </c>
    </row>
    <row r="6054" spans="1:9">
      <c r="A6054" s="25" t="s">
        <v>189</v>
      </c>
      <c r="B6054" t="s">
        <v>191</v>
      </c>
      <c r="C6054" t="s">
        <v>1643</v>
      </c>
      <c r="D6054" s="1">
        <v>2.7000000000000001E-3</v>
      </c>
      <c r="E6054" s="1">
        <v>5.7000000000000002E-3</v>
      </c>
      <c r="F6054" s="1">
        <v>1.04E-2</v>
      </c>
      <c r="G6054">
        <v>6445</v>
      </c>
      <c r="H6054">
        <v>5472</v>
      </c>
      <c r="I6054">
        <v>10430</v>
      </c>
    </row>
    <row r="6055" spans="1:9">
      <c r="A6055" s="25" t="s">
        <v>189</v>
      </c>
      <c r="B6055" t="s">
        <v>191</v>
      </c>
      <c r="C6055" t="s">
        <v>1644</v>
      </c>
      <c r="D6055" s="1">
        <v>1E-3</v>
      </c>
      <c r="E6055" s="1">
        <v>5.3E-3</v>
      </c>
      <c r="F6055" s="1">
        <v>1.5900000000000001E-2</v>
      </c>
      <c r="G6055">
        <v>6445</v>
      </c>
      <c r="H6055">
        <v>5472</v>
      </c>
      <c r="I6055">
        <v>10430</v>
      </c>
    </row>
    <row r="6056" spans="1:9">
      <c r="A6056" s="25" t="s">
        <v>189</v>
      </c>
      <c r="B6056" t="s">
        <v>191</v>
      </c>
      <c r="C6056" t="s">
        <v>1645</v>
      </c>
      <c r="D6056" s="1">
        <v>5.9999999999999995E-4</v>
      </c>
      <c r="E6056" s="1">
        <v>5.0000000000000001E-4</v>
      </c>
      <c r="F6056" s="1">
        <v>2.5999999999999999E-3</v>
      </c>
      <c r="G6056">
        <v>6445</v>
      </c>
      <c r="H6056">
        <v>5472</v>
      </c>
      <c r="I6056">
        <v>10430</v>
      </c>
    </row>
    <row r="6057" spans="1:9">
      <c r="A6057" s="25" t="s">
        <v>189</v>
      </c>
      <c r="B6057" t="s">
        <v>191</v>
      </c>
      <c r="C6057" t="s">
        <v>1646</v>
      </c>
      <c r="D6057" s="1">
        <v>1.6000000000000001E-3</v>
      </c>
      <c r="E6057" s="1">
        <v>1.5299999999999999E-2</v>
      </c>
      <c r="F6057" s="1">
        <v>2.8000000000000001E-2</v>
      </c>
      <c r="G6057">
        <v>6445</v>
      </c>
      <c r="H6057">
        <v>5472</v>
      </c>
      <c r="I6057">
        <v>10430</v>
      </c>
    </row>
    <row r="6058" spans="1:9">
      <c r="A6058" s="25" t="s">
        <v>189</v>
      </c>
      <c r="B6058" t="s">
        <v>191</v>
      </c>
      <c r="C6058" t="s">
        <v>1647</v>
      </c>
      <c r="D6058" s="1">
        <v>3.8999999999999998E-3</v>
      </c>
      <c r="E6058" s="1">
        <v>1.6799999999999999E-2</v>
      </c>
      <c r="F6058" s="1">
        <v>2.2499999999999999E-2</v>
      </c>
      <c r="G6058">
        <v>6445</v>
      </c>
      <c r="H6058">
        <v>5472</v>
      </c>
      <c r="I6058">
        <v>10430</v>
      </c>
    </row>
    <row r="6059" spans="1:9">
      <c r="A6059" s="25" t="s">
        <v>189</v>
      </c>
      <c r="B6059" t="s">
        <v>191</v>
      </c>
      <c r="C6059" t="s">
        <v>1648</v>
      </c>
      <c r="D6059" s="1">
        <v>0.2611</v>
      </c>
      <c r="E6059" s="1">
        <v>0.1459</v>
      </c>
      <c r="F6059" s="1">
        <v>5.8900000000000001E-2</v>
      </c>
      <c r="G6059">
        <v>6445</v>
      </c>
      <c r="H6059">
        <v>5472</v>
      </c>
      <c r="I6059">
        <v>10430</v>
      </c>
    </row>
    <row r="6060" spans="1:9">
      <c r="A6060" s="25" t="s">
        <v>189</v>
      </c>
      <c r="B6060" t="s">
        <v>191</v>
      </c>
      <c r="C6060" t="s">
        <v>1649</v>
      </c>
      <c r="D6060" s="1">
        <v>0.2581</v>
      </c>
      <c r="E6060" s="1">
        <v>7.5700000000000003E-2</v>
      </c>
      <c r="F6060" s="1">
        <v>4.02E-2</v>
      </c>
      <c r="G6060">
        <v>6445</v>
      </c>
      <c r="H6060">
        <v>5472</v>
      </c>
      <c r="I6060">
        <v>10430</v>
      </c>
    </row>
    <row r="6061" spans="1:9">
      <c r="A6061" s="25" t="s">
        <v>189</v>
      </c>
      <c r="B6061" t="s">
        <v>191</v>
      </c>
      <c r="C6061" t="s">
        <v>324</v>
      </c>
      <c r="D6061" s="1">
        <v>0.3407</v>
      </c>
      <c r="E6061" s="1">
        <v>0.36499999999999999</v>
      </c>
      <c r="F6061" s="1">
        <v>0.3957</v>
      </c>
      <c r="G6061">
        <v>6445</v>
      </c>
      <c r="H6061">
        <v>5472</v>
      </c>
      <c r="I6061">
        <v>10430</v>
      </c>
    </row>
    <row r="6062" spans="1:9">
      <c r="A6062" s="25" t="s">
        <v>189</v>
      </c>
      <c r="B6062" t="s">
        <v>191</v>
      </c>
      <c r="C6062" t="s">
        <v>269</v>
      </c>
      <c r="D6062" s="1">
        <v>1.8E-3</v>
      </c>
      <c r="E6062" s="1">
        <v>3.8999999999999998E-3</v>
      </c>
      <c r="F6062" s="1">
        <v>6.7999999999999996E-3</v>
      </c>
      <c r="G6062">
        <v>6445</v>
      </c>
      <c r="H6062">
        <v>5472</v>
      </c>
      <c r="I6062">
        <v>10430</v>
      </c>
    </row>
    <row r="6063" spans="1:9">
      <c r="A6063" s="25" t="s">
        <v>189</v>
      </c>
      <c r="B6063" t="s">
        <v>191</v>
      </c>
      <c r="C6063" t="s">
        <v>243</v>
      </c>
      <c r="D6063" s="1">
        <v>2.5000000000000001E-3</v>
      </c>
      <c r="E6063" s="1">
        <v>1E-4</v>
      </c>
      <c r="F6063" s="1">
        <v>1.6999999999999999E-3</v>
      </c>
      <c r="G6063">
        <v>6445</v>
      </c>
      <c r="H6063">
        <v>5472</v>
      </c>
      <c r="I6063">
        <v>10430</v>
      </c>
    </row>
    <row r="6064" spans="1:9">
      <c r="A6064" s="25" t="s">
        <v>189</v>
      </c>
      <c r="B6064" t="s">
        <v>191</v>
      </c>
      <c r="C6064" t="s">
        <v>1650</v>
      </c>
      <c r="D6064" s="1">
        <v>1E-3</v>
      </c>
      <c r="E6064" s="1">
        <v>7.0000000000000001E-3</v>
      </c>
      <c r="F6064" s="1">
        <v>1.14E-2</v>
      </c>
      <c r="G6064">
        <v>6445</v>
      </c>
      <c r="H6064">
        <v>5472</v>
      </c>
      <c r="I6064">
        <v>10430</v>
      </c>
    </row>
    <row r="6065" spans="1:9">
      <c r="A6065" s="25" t="s">
        <v>192</v>
      </c>
      <c r="B6065" t="s">
        <v>192</v>
      </c>
      <c r="C6065" t="s">
        <v>1631</v>
      </c>
      <c r="D6065" s="1">
        <v>1.1000000000000001E-3</v>
      </c>
      <c r="E6065" s="1">
        <v>4.7999999999999996E-3</v>
      </c>
      <c r="F6065" s="1">
        <v>7.4000000000000003E-3</v>
      </c>
      <c r="G6065">
        <v>10430</v>
      </c>
      <c r="H6065">
        <v>10430</v>
      </c>
      <c r="I6065">
        <v>10430</v>
      </c>
    </row>
    <row r="6066" spans="1:9">
      <c r="A6066" s="25" t="s">
        <v>192</v>
      </c>
      <c r="B6066" t="s">
        <v>192</v>
      </c>
      <c r="C6066" t="s">
        <v>241</v>
      </c>
      <c r="D6066" s="1">
        <v>1.21E-2</v>
      </c>
      <c r="E6066" s="1">
        <v>2.9100000000000001E-2</v>
      </c>
      <c r="F6066" s="1">
        <v>5.5599999999999997E-2</v>
      </c>
      <c r="G6066">
        <v>10430</v>
      </c>
      <c r="H6066">
        <v>10430</v>
      </c>
      <c r="I6066">
        <v>10430</v>
      </c>
    </row>
    <row r="6067" spans="1:9">
      <c r="A6067" s="25" t="s">
        <v>192</v>
      </c>
      <c r="B6067" t="s">
        <v>192</v>
      </c>
      <c r="C6067" t="s">
        <v>1632</v>
      </c>
      <c r="D6067" s="1">
        <v>1.4500000000000001E-2</v>
      </c>
      <c r="E6067" s="1">
        <v>3.9699999999999999E-2</v>
      </c>
      <c r="F6067" s="1">
        <v>4.8500000000000001E-2</v>
      </c>
      <c r="G6067">
        <v>10430</v>
      </c>
      <c r="H6067">
        <v>10430</v>
      </c>
      <c r="I6067">
        <v>10430</v>
      </c>
    </row>
    <row r="6068" spans="1:9">
      <c r="A6068" s="25" t="s">
        <v>192</v>
      </c>
      <c r="B6068" t="s">
        <v>192</v>
      </c>
      <c r="C6068" t="s">
        <v>1633</v>
      </c>
      <c r="D6068" s="1">
        <v>1.0699999999999999E-2</v>
      </c>
      <c r="E6068" s="1">
        <v>1.2999999999999999E-2</v>
      </c>
      <c r="F6068" s="1">
        <v>1.7600000000000001E-2</v>
      </c>
      <c r="G6068">
        <v>10430</v>
      </c>
      <c r="H6068">
        <v>10430</v>
      </c>
      <c r="I6068">
        <v>10430</v>
      </c>
    </row>
    <row r="6069" spans="1:9">
      <c r="A6069" s="25" t="s">
        <v>192</v>
      </c>
      <c r="B6069" t="s">
        <v>192</v>
      </c>
      <c r="C6069" t="s">
        <v>1634</v>
      </c>
      <c r="D6069" s="1">
        <v>1E-3</v>
      </c>
      <c r="E6069" s="1">
        <v>2.8999999999999998E-3</v>
      </c>
      <c r="F6069" s="1">
        <v>7.1000000000000004E-3</v>
      </c>
      <c r="G6069">
        <v>10430</v>
      </c>
      <c r="H6069">
        <v>10430</v>
      </c>
      <c r="I6069">
        <v>10430</v>
      </c>
    </row>
    <row r="6070" spans="1:9">
      <c r="A6070" s="25" t="s">
        <v>192</v>
      </c>
      <c r="B6070" t="s">
        <v>192</v>
      </c>
      <c r="C6070" t="s">
        <v>1635</v>
      </c>
      <c r="D6070" s="1">
        <v>4.1200000000000001E-2</v>
      </c>
      <c r="E6070" s="1">
        <v>0.10920000000000001</v>
      </c>
      <c r="F6070" s="1">
        <v>8.8099999999999998E-2</v>
      </c>
      <c r="G6070">
        <v>10430</v>
      </c>
      <c r="H6070">
        <v>10430</v>
      </c>
      <c r="I6070">
        <v>10430</v>
      </c>
    </row>
    <row r="6071" spans="1:9">
      <c r="A6071" s="25" t="s">
        <v>192</v>
      </c>
      <c r="B6071" t="s">
        <v>192</v>
      </c>
      <c r="C6071" t="s">
        <v>1636</v>
      </c>
      <c r="D6071" s="1">
        <v>2.0000000000000001E-4</v>
      </c>
      <c r="E6071" s="1">
        <v>1.8E-3</v>
      </c>
      <c r="F6071" s="1">
        <v>5.1999999999999998E-3</v>
      </c>
      <c r="G6071">
        <v>10430</v>
      </c>
      <c r="H6071">
        <v>10430</v>
      </c>
      <c r="I6071">
        <v>10430</v>
      </c>
    </row>
    <row r="6072" spans="1:9">
      <c r="A6072" s="25" t="s">
        <v>192</v>
      </c>
      <c r="B6072" t="s">
        <v>192</v>
      </c>
      <c r="C6072" t="s">
        <v>1637</v>
      </c>
      <c r="D6072" s="1">
        <v>2.53E-2</v>
      </c>
      <c r="E6072" s="1">
        <v>4.3900000000000002E-2</v>
      </c>
      <c r="F6072" s="1">
        <v>3.6700000000000003E-2</v>
      </c>
      <c r="G6072">
        <v>10430</v>
      </c>
      <c r="H6072">
        <v>10430</v>
      </c>
      <c r="I6072">
        <v>10430</v>
      </c>
    </row>
    <row r="6073" spans="1:9">
      <c r="A6073" s="25" t="s">
        <v>192</v>
      </c>
      <c r="B6073" t="s">
        <v>192</v>
      </c>
      <c r="C6073" t="s">
        <v>1638</v>
      </c>
      <c r="D6073" s="1">
        <v>3.0999999999999999E-3</v>
      </c>
      <c r="E6073" s="1">
        <v>7.3000000000000001E-3</v>
      </c>
      <c r="F6073" s="1">
        <v>1.0500000000000001E-2</v>
      </c>
      <c r="G6073">
        <v>10430</v>
      </c>
      <c r="H6073">
        <v>10430</v>
      </c>
      <c r="I6073">
        <v>10430</v>
      </c>
    </row>
    <row r="6074" spans="1:9">
      <c r="A6074" s="25" t="s">
        <v>192</v>
      </c>
      <c r="B6074" t="s">
        <v>192</v>
      </c>
      <c r="C6074" t="s">
        <v>1639</v>
      </c>
      <c r="D6074" s="1">
        <v>1.9E-3</v>
      </c>
      <c r="E6074" s="1">
        <v>4.3E-3</v>
      </c>
      <c r="F6074" s="1">
        <v>4.0000000000000001E-3</v>
      </c>
      <c r="G6074">
        <v>10430</v>
      </c>
      <c r="H6074">
        <v>10430</v>
      </c>
      <c r="I6074">
        <v>10430</v>
      </c>
    </row>
    <row r="6075" spans="1:9">
      <c r="A6075" s="25" t="s">
        <v>192</v>
      </c>
      <c r="B6075" t="s">
        <v>192</v>
      </c>
      <c r="C6075" t="s">
        <v>1640</v>
      </c>
      <c r="D6075" s="1">
        <v>4.0000000000000001E-3</v>
      </c>
      <c r="E6075" s="1">
        <v>1.4E-2</v>
      </c>
      <c r="F6075" s="1">
        <v>1.38E-2</v>
      </c>
      <c r="G6075">
        <v>10430</v>
      </c>
      <c r="H6075">
        <v>10430</v>
      </c>
      <c r="I6075">
        <v>10430</v>
      </c>
    </row>
    <row r="6076" spans="1:9">
      <c r="A6076" s="25" t="s">
        <v>192</v>
      </c>
      <c r="B6076" t="s">
        <v>192</v>
      </c>
      <c r="C6076" t="s">
        <v>1641</v>
      </c>
      <c r="D6076" s="1">
        <v>1.4500000000000001E-2</v>
      </c>
      <c r="E6076" s="1">
        <v>7.3200000000000001E-2</v>
      </c>
      <c r="F6076" s="1">
        <v>7.7799999999999994E-2</v>
      </c>
      <c r="G6076">
        <v>10430</v>
      </c>
      <c r="H6076">
        <v>10430</v>
      </c>
      <c r="I6076">
        <v>10430</v>
      </c>
    </row>
    <row r="6077" spans="1:9">
      <c r="A6077" s="25" t="s">
        <v>192</v>
      </c>
      <c r="B6077" t="s">
        <v>192</v>
      </c>
      <c r="C6077" t="s">
        <v>1651</v>
      </c>
      <c r="D6077" s="1">
        <v>6.9999999999999999E-4</v>
      </c>
      <c r="E6077" s="1">
        <v>3.8E-3</v>
      </c>
      <c r="F6077" s="1">
        <v>7.6E-3</v>
      </c>
      <c r="G6077">
        <v>10430</v>
      </c>
      <c r="H6077">
        <v>10430</v>
      </c>
      <c r="I6077">
        <v>10430</v>
      </c>
    </row>
    <row r="6078" spans="1:9">
      <c r="A6078" s="25" t="s">
        <v>192</v>
      </c>
      <c r="B6078" t="s">
        <v>192</v>
      </c>
      <c r="C6078" t="s">
        <v>1642</v>
      </c>
      <c r="D6078" s="1">
        <v>9.7000000000000003E-3</v>
      </c>
      <c r="E6078" s="1">
        <v>4.5600000000000002E-2</v>
      </c>
      <c r="F6078" s="1">
        <v>4.5100000000000001E-2</v>
      </c>
      <c r="G6078">
        <v>10430</v>
      </c>
      <c r="H6078">
        <v>10430</v>
      </c>
      <c r="I6078">
        <v>10430</v>
      </c>
    </row>
    <row r="6079" spans="1:9">
      <c r="A6079" s="25" t="s">
        <v>192</v>
      </c>
      <c r="B6079" t="s">
        <v>192</v>
      </c>
      <c r="C6079" t="s">
        <v>1643</v>
      </c>
      <c r="D6079" s="1">
        <v>3.2000000000000002E-3</v>
      </c>
      <c r="E6079" s="1">
        <v>4.8999999999999998E-3</v>
      </c>
      <c r="F6079" s="1">
        <v>8.8000000000000005E-3</v>
      </c>
      <c r="G6079">
        <v>10430</v>
      </c>
      <c r="H6079">
        <v>10430</v>
      </c>
      <c r="I6079">
        <v>10430</v>
      </c>
    </row>
    <row r="6080" spans="1:9">
      <c r="A6080" s="25" t="s">
        <v>192</v>
      </c>
      <c r="B6080" t="s">
        <v>192</v>
      </c>
      <c r="C6080" t="s">
        <v>1644</v>
      </c>
      <c r="D6080" s="1">
        <v>1E-3</v>
      </c>
      <c r="E6080" s="1">
        <v>5.4999999999999997E-3</v>
      </c>
      <c r="F6080" s="1">
        <v>1.2699999999999999E-2</v>
      </c>
      <c r="G6080">
        <v>10430</v>
      </c>
      <c r="H6080">
        <v>10430</v>
      </c>
      <c r="I6080">
        <v>10430</v>
      </c>
    </row>
    <row r="6081" spans="1:9">
      <c r="A6081" s="25" t="s">
        <v>192</v>
      </c>
      <c r="B6081" t="s">
        <v>192</v>
      </c>
      <c r="C6081" t="s">
        <v>1645</v>
      </c>
      <c r="D6081" s="1">
        <v>8.0000000000000004E-4</v>
      </c>
      <c r="E6081" s="1">
        <v>1E-3</v>
      </c>
      <c r="F6081" s="1">
        <v>3.8E-3</v>
      </c>
      <c r="G6081">
        <v>10430</v>
      </c>
      <c r="H6081">
        <v>10430</v>
      </c>
      <c r="I6081">
        <v>10430</v>
      </c>
    </row>
    <row r="6082" spans="1:9">
      <c r="A6082" s="25" t="s">
        <v>192</v>
      </c>
      <c r="B6082" t="s">
        <v>192</v>
      </c>
      <c r="C6082" t="s">
        <v>1646</v>
      </c>
      <c r="D6082" s="1">
        <v>1.6999999999999999E-3</v>
      </c>
      <c r="E6082" s="1">
        <v>1.38E-2</v>
      </c>
      <c r="F6082" s="1">
        <v>2.7699999999999999E-2</v>
      </c>
      <c r="G6082">
        <v>10430</v>
      </c>
      <c r="H6082">
        <v>10430</v>
      </c>
      <c r="I6082">
        <v>10430</v>
      </c>
    </row>
    <row r="6083" spans="1:9">
      <c r="A6083" s="25" t="s">
        <v>192</v>
      </c>
      <c r="B6083" t="s">
        <v>192</v>
      </c>
      <c r="C6083" t="s">
        <v>1647</v>
      </c>
      <c r="D6083" s="1">
        <v>5.4999999999999997E-3</v>
      </c>
      <c r="E6083" s="1">
        <v>1.9199999999999998E-2</v>
      </c>
      <c r="F6083" s="1">
        <v>2.98E-2</v>
      </c>
      <c r="G6083">
        <v>10430</v>
      </c>
      <c r="H6083">
        <v>10430</v>
      </c>
      <c r="I6083">
        <v>10430</v>
      </c>
    </row>
    <row r="6084" spans="1:9">
      <c r="A6084" s="25" t="s">
        <v>192</v>
      </c>
      <c r="B6084" t="s">
        <v>192</v>
      </c>
      <c r="C6084" t="s">
        <v>1648</v>
      </c>
      <c r="D6084" s="1">
        <v>0.28689999999999999</v>
      </c>
      <c r="E6084" s="1">
        <v>0.13789999999999999</v>
      </c>
      <c r="F6084" s="1">
        <v>5.3699999999999998E-2</v>
      </c>
      <c r="G6084">
        <v>10430</v>
      </c>
      <c r="H6084">
        <v>10430</v>
      </c>
      <c r="I6084">
        <v>10430</v>
      </c>
    </row>
    <row r="6085" spans="1:9">
      <c r="A6085" s="25" t="s">
        <v>192</v>
      </c>
      <c r="B6085" t="s">
        <v>192</v>
      </c>
      <c r="C6085" t="s">
        <v>1649</v>
      </c>
      <c r="D6085" s="1">
        <v>0.2114</v>
      </c>
      <c r="E6085" s="1">
        <v>6.6199999999999995E-2</v>
      </c>
      <c r="F6085" s="1">
        <v>4.0399999999999998E-2</v>
      </c>
      <c r="G6085">
        <v>10430</v>
      </c>
      <c r="H6085">
        <v>10430</v>
      </c>
      <c r="I6085">
        <v>10430</v>
      </c>
    </row>
    <row r="6086" spans="1:9">
      <c r="A6086" s="25" t="s">
        <v>192</v>
      </c>
      <c r="B6086" t="s">
        <v>192</v>
      </c>
      <c r="C6086" t="s">
        <v>324</v>
      </c>
      <c r="D6086" s="1">
        <v>0.34429999999999999</v>
      </c>
      <c r="E6086" s="1">
        <v>0.34960000000000002</v>
      </c>
      <c r="F6086" s="1">
        <v>0.38229999999999997</v>
      </c>
      <c r="G6086">
        <v>10430</v>
      </c>
      <c r="H6086">
        <v>10430</v>
      </c>
      <c r="I6086">
        <v>10430</v>
      </c>
    </row>
    <row r="6087" spans="1:9">
      <c r="A6087" s="25" t="s">
        <v>192</v>
      </c>
      <c r="B6087" t="s">
        <v>192</v>
      </c>
      <c r="C6087" t="s">
        <v>269</v>
      </c>
      <c r="D6087" s="1">
        <v>2.0999999999999999E-3</v>
      </c>
      <c r="E6087" s="1">
        <v>4.3E-3</v>
      </c>
      <c r="F6087" s="1">
        <v>6.8999999999999999E-3</v>
      </c>
      <c r="G6087">
        <v>10430</v>
      </c>
      <c r="H6087">
        <v>10430</v>
      </c>
      <c r="I6087">
        <v>10430</v>
      </c>
    </row>
    <row r="6088" spans="1:9">
      <c r="A6088" s="25" t="s">
        <v>192</v>
      </c>
      <c r="B6088" t="s">
        <v>192</v>
      </c>
      <c r="C6088" t="s">
        <v>243</v>
      </c>
      <c r="D6088" s="1">
        <v>2.0999999999999999E-3</v>
      </c>
      <c r="E6088" s="1">
        <v>1E-4</v>
      </c>
      <c r="F6088" s="1">
        <v>1.5E-3</v>
      </c>
      <c r="G6088">
        <v>10430</v>
      </c>
      <c r="H6088">
        <v>10430</v>
      </c>
      <c r="I6088">
        <v>10430</v>
      </c>
    </row>
    <row r="6089" spans="1:9">
      <c r="A6089" s="25" t="s">
        <v>192</v>
      </c>
      <c r="B6089" t="s">
        <v>192</v>
      </c>
      <c r="C6089" t="s">
        <v>1650</v>
      </c>
      <c r="D6089" s="1">
        <v>8.0000000000000004E-4</v>
      </c>
      <c r="E6089" s="1">
        <v>4.8999999999999998E-3</v>
      </c>
      <c r="F6089" s="1">
        <v>7.4999999999999997E-3</v>
      </c>
      <c r="G6089">
        <v>10430</v>
      </c>
      <c r="H6089">
        <v>10430</v>
      </c>
      <c r="I6089">
        <v>10430</v>
      </c>
    </row>
    <row r="6091" spans="1:9" ht="57.95">
      <c r="A6091" s="25" t="s">
        <v>1654</v>
      </c>
    </row>
    <row r="6092" spans="1:9">
      <c r="A6092" s="25" t="s">
        <v>181</v>
      </c>
      <c r="B6092" t="s">
        <v>182</v>
      </c>
      <c r="C6092" t="s">
        <v>1015</v>
      </c>
      <c r="D6092" t="s">
        <v>1628</v>
      </c>
      <c r="E6092" t="s">
        <v>1629</v>
      </c>
      <c r="F6092" t="s">
        <v>1630</v>
      </c>
      <c r="G6092" t="s">
        <v>1026</v>
      </c>
      <c r="H6092" t="s">
        <v>219</v>
      </c>
      <c r="I6092" t="s">
        <v>188</v>
      </c>
    </row>
    <row r="6093" spans="1:9">
      <c r="A6093" s="25" t="s">
        <v>189</v>
      </c>
      <c r="B6093" t="s">
        <v>194</v>
      </c>
      <c r="C6093" t="s">
        <v>1631</v>
      </c>
      <c r="D6093" s="1">
        <v>2.9999999999999997E-4</v>
      </c>
      <c r="E6093" s="1">
        <v>1.4E-3</v>
      </c>
      <c r="F6093" s="1">
        <v>2.2000000000000001E-3</v>
      </c>
      <c r="G6093">
        <v>7434</v>
      </c>
      <c r="H6093">
        <v>5950</v>
      </c>
      <c r="I6093">
        <v>10430</v>
      </c>
    </row>
    <row r="6094" spans="1:9">
      <c r="A6094" s="25" t="s">
        <v>189</v>
      </c>
      <c r="B6094" t="s">
        <v>194</v>
      </c>
      <c r="C6094" t="s">
        <v>241</v>
      </c>
      <c r="D6094" s="1">
        <v>1.41E-2</v>
      </c>
      <c r="E6094" s="1">
        <v>3.2199999999999999E-2</v>
      </c>
      <c r="F6094" s="1">
        <v>6.2100000000000002E-2</v>
      </c>
      <c r="G6094">
        <v>7434</v>
      </c>
      <c r="H6094">
        <v>5950</v>
      </c>
      <c r="I6094">
        <v>10430</v>
      </c>
    </row>
    <row r="6095" spans="1:9">
      <c r="A6095" s="25" t="s">
        <v>189</v>
      </c>
      <c r="B6095" t="s">
        <v>194</v>
      </c>
      <c r="C6095" t="s">
        <v>1632</v>
      </c>
      <c r="D6095" s="1">
        <v>1.6400000000000001E-2</v>
      </c>
      <c r="E6095" s="1">
        <v>3.44E-2</v>
      </c>
      <c r="F6095" s="1">
        <v>4.5600000000000002E-2</v>
      </c>
      <c r="G6095">
        <v>7434</v>
      </c>
      <c r="H6095">
        <v>5950</v>
      </c>
      <c r="I6095">
        <v>10430</v>
      </c>
    </row>
    <row r="6096" spans="1:9">
      <c r="A6096" s="25" t="s">
        <v>189</v>
      </c>
      <c r="B6096" t="s">
        <v>194</v>
      </c>
      <c r="C6096" t="s">
        <v>1633</v>
      </c>
      <c r="D6096" s="1">
        <v>8.6E-3</v>
      </c>
      <c r="E6096" s="1">
        <v>9.7999999999999997E-3</v>
      </c>
      <c r="F6096" s="1">
        <v>1.49E-2</v>
      </c>
      <c r="G6096">
        <v>7434</v>
      </c>
      <c r="H6096">
        <v>5950</v>
      </c>
      <c r="I6096">
        <v>10430</v>
      </c>
    </row>
    <row r="6097" spans="1:9">
      <c r="A6097" s="25" t="s">
        <v>189</v>
      </c>
      <c r="B6097" t="s">
        <v>194</v>
      </c>
      <c r="C6097" t="s">
        <v>1634</v>
      </c>
      <c r="D6097" s="1">
        <v>6.9999999999999999E-4</v>
      </c>
      <c r="E6097" s="1">
        <v>3.5999999999999999E-3</v>
      </c>
      <c r="F6097" s="1">
        <v>9.5999999999999992E-3</v>
      </c>
      <c r="G6097">
        <v>7434</v>
      </c>
      <c r="H6097">
        <v>5950</v>
      </c>
      <c r="I6097">
        <v>10430</v>
      </c>
    </row>
    <row r="6098" spans="1:9">
      <c r="A6098" s="25" t="s">
        <v>189</v>
      </c>
      <c r="B6098" t="s">
        <v>194</v>
      </c>
      <c r="C6098" t="s">
        <v>1635</v>
      </c>
      <c r="D6098" s="1">
        <v>4.2200000000000001E-2</v>
      </c>
      <c r="E6098" s="1">
        <v>0.12609999999999999</v>
      </c>
      <c r="F6098" s="1">
        <v>9.35E-2</v>
      </c>
      <c r="G6098">
        <v>7434</v>
      </c>
      <c r="H6098">
        <v>5950</v>
      </c>
      <c r="I6098">
        <v>10430</v>
      </c>
    </row>
    <row r="6099" spans="1:9">
      <c r="A6099" s="25" t="s">
        <v>189</v>
      </c>
      <c r="B6099" t="s">
        <v>194</v>
      </c>
      <c r="C6099" t="s">
        <v>1636</v>
      </c>
      <c r="D6099" s="1">
        <v>1E-4</v>
      </c>
      <c r="E6099" s="1">
        <v>2E-3</v>
      </c>
      <c r="F6099" s="1">
        <v>5.4000000000000003E-3</v>
      </c>
      <c r="G6099">
        <v>7434</v>
      </c>
      <c r="H6099">
        <v>5950</v>
      </c>
      <c r="I6099">
        <v>10430</v>
      </c>
    </row>
    <row r="6100" spans="1:9">
      <c r="A6100" s="25" t="s">
        <v>189</v>
      </c>
      <c r="B6100" t="s">
        <v>194</v>
      </c>
      <c r="C6100" t="s">
        <v>1637</v>
      </c>
      <c r="D6100" s="1">
        <v>2.8400000000000002E-2</v>
      </c>
      <c r="E6100" s="1">
        <v>5.1200000000000002E-2</v>
      </c>
      <c r="F6100" s="1">
        <v>4.2500000000000003E-2</v>
      </c>
      <c r="G6100">
        <v>7434</v>
      </c>
      <c r="H6100">
        <v>5950</v>
      </c>
      <c r="I6100">
        <v>10430</v>
      </c>
    </row>
    <row r="6101" spans="1:9">
      <c r="A6101" s="25" t="s">
        <v>189</v>
      </c>
      <c r="B6101" t="s">
        <v>194</v>
      </c>
      <c r="C6101" t="s">
        <v>1638</v>
      </c>
      <c r="D6101" s="1">
        <v>6.9999999999999999E-4</v>
      </c>
      <c r="E6101" s="1">
        <v>4.0000000000000001E-3</v>
      </c>
      <c r="F6101" s="1">
        <v>5.4000000000000003E-3</v>
      </c>
      <c r="G6101">
        <v>7434</v>
      </c>
      <c r="H6101">
        <v>5950</v>
      </c>
      <c r="I6101">
        <v>10430</v>
      </c>
    </row>
    <row r="6102" spans="1:9">
      <c r="A6102" s="25" t="s">
        <v>189</v>
      </c>
      <c r="B6102" t="s">
        <v>194</v>
      </c>
      <c r="C6102" t="s">
        <v>1639</v>
      </c>
      <c r="D6102" s="1">
        <v>5.9999999999999995E-4</v>
      </c>
      <c r="E6102" s="1">
        <v>2.5999999999999999E-3</v>
      </c>
      <c r="F6102" s="1">
        <v>3.3999999999999998E-3</v>
      </c>
      <c r="G6102">
        <v>7434</v>
      </c>
      <c r="H6102">
        <v>5950</v>
      </c>
      <c r="I6102">
        <v>10430</v>
      </c>
    </row>
    <row r="6103" spans="1:9">
      <c r="A6103" s="25" t="s">
        <v>189</v>
      </c>
      <c r="B6103" t="s">
        <v>194</v>
      </c>
      <c r="C6103" t="s">
        <v>1640</v>
      </c>
      <c r="D6103" s="1">
        <v>3.8999999999999998E-3</v>
      </c>
      <c r="E6103" s="1">
        <v>1.5699999999999999E-2</v>
      </c>
      <c r="F6103" s="1">
        <v>1.3899999999999999E-2</v>
      </c>
      <c r="G6103">
        <v>7434</v>
      </c>
      <c r="H6103">
        <v>5950</v>
      </c>
      <c r="I6103">
        <v>10430</v>
      </c>
    </row>
    <row r="6104" spans="1:9">
      <c r="A6104" s="25" t="s">
        <v>189</v>
      </c>
      <c r="B6104" t="s">
        <v>194</v>
      </c>
      <c r="C6104" t="s">
        <v>1641</v>
      </c>
      <c r="D6104" s="1">
        <v>1.46E-2</v>
      </c>
      <c r="E6104" s="1">
        <v>7.1999999999999995E-2</v>
      </c>
      <c r="F6104" s="1">
        <v>7.0000000000000007E-2</v>
      </c>
      <c r="G6104">
        <v>7434</v>
      </c>
      <c r="H6104">
        <v>5950</v>
      </c>
      <c r="I6104">
        <v>10430</v>
      </c>
    </row>
    <row r="6105" spans="1:9">
      <c r="A6105" s="25" t="s">
        <v>189</v>
      </c>
      <c r="B6105" t="s">
        <v>194</v>
      </c>
      <c r="C6105" t="s">
        <v>1651</v>
      </c>
      <c r="D6105" s="1">
        <v>5.0000000000000001E-4</v>
      </c>
      <c r="E6105" s="1">
        <v>3.3E-3</v>
      </c>
      <c r="F6105" s="1">
        <v>6.8999999999999999E-3</v>
      </c>
      <c r="G6105">
        <v>7434</v>
      </c>
      <c r="H6105">
        <v>5950</v>
      </c>
      <c r="I6105">
        <v>10430</v>
      </c>
    </row>
    <row r="6106" spans="1:9">
      <c r="A6106" s="25" t="s">
        <v>189</v>
      </c>
      <c r="B6106" t="s">
        <v>194</v>
      </c>
      <c r="C6106" t="s">
        <v>1642</v>
      </c>
      <c r="D6106" s="1">
        <v>9.1000000000000004E-3</v>
      </c>
      <c r="E6106" s="1">
        <v>4.8000000000000001E-2</v>
      </c>
      <c r="F6106" s="1">
        <v>4.2099999999999999E-2</v>
      </c>
      <c r="G6106">
        <v>7434</v>
      </c>
      <c r="H6106">
        <v>5950</v>
      </c>
      <c r="I6106">
        <v>10430</v>
      </c>
    </row>
    <row r="6107" spans="1:9">
      <c r="A6107" s="25" t="s">
        <v>189</v>
      </c>
      <c r="B6107" t="s">
        <v>194</v>
      </c>
      <c r="C6107" t="s">
        <v>1643</v>
      </c>
      <c r="D6107" s="1">
        <v>3.5999999999999999E-3</v>
      </c>
      <c r="E6107" s="1">
        <v>3.0999999999999999E-3</v>
      </c>
      <c r="F6107" s="1">
        <v>1.2699999999999999E-2</v>
      </c>
      <c r="G6107">
        <v>7434</v>
      </c>
      <c r="H6107">
        <v>5950</v>
      </c>
      <c r="I6107">
        <v>10430</v>
      </c>
    </row>
    <row r="6108" spans="1:9">
      <c r="A6108" s="25" t="s">
        <v>189</v>
      </c>
      <c r="B6108" t="s">
        <v>194</v>
      </c>
      <c r="C6108" t="s">
        <v>1644</v>
      </c>
      <c r="D6108" s="1">
        <v>8.0000000000000004E-4</v>
      </c>
      <c r="E6108" s="1">
        <v>6.0000000000000001E-3</v>
      </c>
      <c r="F6108" s="1">
        <v>1.32E-2</v>
      </c>
      <c r="G6108">
        <v>7434</v>
      </c>
      <c r="H6108">
        <v>5950</v>
      </c>
      <c r="I6108">
        <v>10430</v>
      </c>
    </row>
    <row r="6109" spans="1:9">
      <c r="A6109" s="25" t="s">
        <v>189</v>
      </c>
      <c r="B6109" t="s">
        <v>194</v>
      </c>
      <c r="C6109" t="s">
        <v>1645</v>
      </c>
      <c r="D6109" s="1">
        <v>1.1000000000000001E-3</v>
      </c>
      <c r="E6109" s="1">
        <v>8.9999999999999998E-4</v>
      </c>
      <c r="F6109" s="1">
        <v>4.1999999999999997E-3</v>
      </c>
      <c r="G6109">
        <v>7434</v>
      </c>
      <c r="H6109">
        <v>5950</v>
      </c>
      <c r="I6109">
        <v>10430</v>
      </c>
    </row>
    <row r="6110" spans="1:9">
      <c r="A6110" s="25" t="s">
        <v>189</v>
      </c>
      <c r="B6110" t="s">
        <v>194</v>
      </c>
      <c r="C6110" t="s">
        <v>1646</v>
      </c>
      <c r="D6110" s="1">
        <v>8.9999999999999998E-4</v>
      </c>
      <c r="E6110" s="1">
        <v>1.47E-2</v>
      </c>
      <c r="F6110" s="1">
        <v>2.81E-2</v>
      </c>
      <c r="G6110">
        <v>7434</v>
      </c>
      <c r="H6110">
        <v>5950</v>
      </c>
      <c r="I6110">
        <v>10430</v>
      </c>
    </row>
    <row r="6111" spans="1:9">
      <c r="A6111" s="25" t="s">
        <v>189</v>
      </c>
      <c r="B6111" t="s">
        <v>194</v>
      </c>
      <c r="C6111" t="s">
        <v>1647</v>
      </c>
      <c r="D6111" s="1">
        <v>4.7000000000000002E-3</v>
      </c>
      <c r="E6111" s="1">
        <v>2.0400000000000001E-2</v>
      </c>
      <c r="F6111" s="1">
        <v>3.4799999999999998E-2</v>
      </c>
      <c r="G6111">
        <v>7434</v>
      </c>
      <c r="H6111">
        <v>5950</v>
      </c>
      <c r="I6111">
        <v>10430</v>
      </c>
    </row>
    <row r="6112" spans="1:9">
      <c r="A6112" s="25" t="s">
        <v>189</v>
      </c>
      <c r="B6112" t="s">
        <v>194</v>
      </c>
      <c r="C6112" t="s">
        <v>1648</v>
      </c>
      <c r="D6112" s="1">
        <v>0.28439999999999999</v>
      </c>
      <c r="E6112" s="1">
        <v>0.1241</v>
      </c>
      <c r="F6112" s="1">
        <v>4.4600000000000001E-2</v>
      </c>
      <c r="G6112">
        <v>7434</v>
      </c>
      <c r="H6112">
        <v>5950</v>
      </c>
      <c r="I6112">
        <v>10430</v>
      </c>
    </row>
    <row r="6113" spans="1:9">
      <c r="A6113" s="25" t="s">
        <v>189</v>
      </c>
      <c r="B6113" t="s">
        <v>194</v>
      </c>
      <c r="C6113" t="s">
        <v>1649</v>
      </c>
      <c r="D6113" s="1">
        <v>0.16400000000000001</v>
      </c>
      <c r="E6113" s="1">
        <v>5.6000000000000001E-2</v>
      </c>
      <c r="F6113" s="1">
        <v>3.49E-2</v>
      </c>
      <c r="G6113">
        <v>7434</v>
      </c>
      <c r="H6113">
        <v>5950</v>
      </c>
      <c r="I6113">
        <v>10430</v>
      </c>
    </row>
    <row r="6114" spans="1:9">
      <c r="A6114" s="25" t="s">
        <v>189</v>
      </c>
      <c r="B6114" t="s">
        <v>194</v>
      </c>
      <c r="C6114" t="s">
        <v>324</v>
      </c>
      <c r="D6114" s="1">
        <v>0.39510000000000001</v>
      </c>
      <c r="E6114" s="1">
        <v>0.36099999999999999</v>
      </c>
      <c r="F6114" s="1">
        <v>0.39419999999999999</v>
      </c>
      <c r="G6114">
        <v>7434</v>
      </c>
      <c r="H6114">
        <v>5950</v>
      </c>
      <c r="I6114">
        <v>10430</v>
      </c>
    </row>
    <row r="6115" spans="1:9">
      <c r="A6115" s="25" t="s">
        <v>189</v>
      </c>
      <c r="B6115" t="s">
        <v>194</v>
      </c>
      <c r="C6115" t="s">
        <v>269</v>
      </c>
      <c r="D6115" s="1">
        <v>2E-3</v>
      </c>
      <c r="E6115" s="1">
        <v>4.7999999999999996E-3</v>
      </c>
      <c r="F6115" s="1">
        <v>8.8000000000000005E-3</v>
      </c>
      <c r="G6115">
        <v>7434</v>
      </c>
      <c r="H6115">
        <v>5950</v>
      </c>
      <c r="I6115">
        <v>10430</v>
      </c>
    </row>
    <row r="6116" spans="1:9">
      <c r="A6116" s="25" t="s">
        <v>189</v>
      </c>
      <c r="B6116" t="s">
        <v>194</v>
      </c>
      <c r="C6116" t="s">
        <v>243</v>
      </c>
      <c r="D6116" s="1">
        <v>2.3999999999999998E-3</v>
      </c>
      <c r="F6116" s="1">
        <v>2E-3</v>
      </c>
      <c r="G6116">
        <v>7434</v>
      </c>
      <c r="H6116">
        <v>5950</v>
      </c>
      <c r="I6116">
        <v>10430</v>
      </c>
    </row>
    <row r="6117" spans="1:9">
      <c r="A6117" s="25" t="s">
        <v>189</v>
      </c>
      <c r="B6117" t="s">
        <v>194</v>
      </c>
      <c r="C6117" t="s">
        <v>1650</v>
      </c>
      <c r="D6117" s="1">
        <v>8.0000000000000004E-4</v>
      </c>
      <c r="E6117" s="1">
        <v>2.5000000000000001E-3</v>
      </c>
      <c r="F6117" s="1">
        <v>5.0000000000000001E-3</v>
      </c>
      <c r="G6117">
        <v>7434</v>
      </c>
      <c r="H6117">
        <v>5950</v>
      </c>
      <c r="I6117">
        <v>10430</v>
      </c>
    </row>
    <row r="6118" spans="1:9">
      <c r="A6118" s="25" t="s">
        <v>189</v>
      </c>
      <c r="B6118" t="s">
        <v>195</v>
      </c>
      <c r="C6118" t="s">
        <v>1631</v>
      </c>
      <c r="D6118" s="1">
        <v>2E-3</v>
      </c>
      <c r="E6118" s="1">
        <v>7.1000000000000004E-3</v>
      </c>
      <c r="F6118" s="1">
        <v>6.7000000000000002E-3</v>
      </c>
      <c r="G6118">
        <v>2004</v>
      </c>
      <c r="H6118">
        <v>2703</v>
      </c>
      <c r="I6118">
        <v>10430</v>
      </c>
    </row>
    <row r="6119" spans="1:9">
      <c r="A6119" s="25" t="s">
        <v>189</v>
      </c>
      <c r="B6119" t="s">
        <v>195</v>
      </c>
      <c r="C6119" t="s">
        <v>241</v>
      </c>
      <c r="D6119" s="1">
        <v>6.6E-3</v>
      </c>
      <c r="E6119" s="1">
        <v>2.5499999999999998E-2</v>
      </c>
      <c r="F6119" s="1">
        <v>4.99E-2</v>
      </c>
      <c r="G6119">
        <v>2004</v>
      </c>
      <c r="H6119">
        <v>2703</v>
      </c>
      <c r="I6119">
        <v>10430</v>
      </c>
    </row>
    <row r="6120" spans="1:9">
      <c r="A6120" s="25" t="s">
        <v>189</v>
      </c>
      <c r="B6120" t="s">
        <v>195</v>
      </c>
      <c r="C6120" t="s">
        <v>1632</v>
      </c>
      <c r="D6120" s="1">
        <v>9.7999999999999997E-3</v>
      </c>
      <c r="E6120" s="1">
        <v>3.8300000000000001E-2</v>
      </c>
      <c r="F6120" s="1">
        <v>4.8399999999999999E-2</v>
      </c>
      <c r="G6120">
        <v>2004</v>
      </c>
      <c r="H6120">
        <v>2703</v>
      </c>
      <c r="I6120">
        <v>10430</v>
      </c>
    </row>
    <row r="6121" spans="1:9">
      <c r="A6121" s="25" t="s">
        <v>189</v>
      </c>
      <c r="B6121" t="s">
        <v>195</v>
      </c>
      <c r="C6121" t="s">
        <v>1633</v>
      </c>
      <c r="D6121" s="1">
        <v>1.5900000000000001E-2</v>
      </c>
      <c r="E6121" s="1">
        <v>2.4299999999999999E-2</v>
      </c>
      <c r="F6121" s="1">
        <v>2.1100000000000001E-2</v>
      </c>
      <c r="G6121">
        <v>2004</v>
      </c>
      <c r="H6121">
        <v>2703</v>
      </c>
      <c r="I6121">
        <v>10430</v>
      </c>
    </row>
    <row r="6122" spans="1:9">
      <c r="A6122" s="25" t="s">
        <v>189</v>
      </c>
      <c r="B6122" t="s">
        <v>195</v>
      </c>
      <c r="C6122" t="s">
        <v>1634</v>
      </c>
      <c r="D6122" s="1">
        <v>1E-3</v>
      </c>
      <c r="E6122" s="1">
        <v>8.0000000000000004E-4</v>
      </c>
      <c r="F6122" s="1">
        <v>4.1999999999999997E-3</v>
      </c>
      <c r="G6122">
        <v>2004</v>
      </c>
      <c r="H6122">
        <v>2703</v>
      </c>
      <c r="I6122">
        <v>10430</v>
      </c>
    </row>
    <row r="6123" spans="1:9">
      <c r="A6123" s="25" t="s">
        <v>189</v>
      </c>
      <c r="B6123" t="s">
        <v>195</v>
      </c>
      <c r="C6123" t="s">
        <v>1635</v>
      </c>
      <c r="D6123" s="1">
        <v>4.2200000000000001E-2</v>
      </c>
      <c r="E6123" s="1">
        <v>8.3500000000000005E-2</v>
      </c>
      <c r="F6123" s="1">
        <v>8.7599999999999997E-2</v>
      </c>
      <c r="G6123">
        <v>2004</v>
      </c>
      <c r="H6123">
        <v>2703</v>
      </c>
      <c r="I6123">
        <v>10430</v>
      </c>
    </row>
    <row r="6124" spans="1:9">
      <c r="A6124" s="25" t="s">
        <v>189</v>
      </c>
      <c r="B6124" t="s">
        <v>195</v>
      </c>
      <c r="C6124" t="s">
        <v>1636</v>
      </c>
      <c r="D6124" s="1">
        <v>2.0000000000000001E-4</v>
      </c>
      <c r="E6124" s="1">
        <v>1.8E-3</v>
      </c>
      <c r="F6124" s="1">
        <v>1.8E-3</v>
      </c>
      <c r="G6124">
        <v>2004</v>
      </c>
      <c r="H6124">
        <v>2703</v>
      </c>
      <c r="I6124">
        <v>10430</v>
      </c>
    </row>
    <row r="6125" spans="1:9">
      <c r="A6125" s="25" t="s">
        <v>189</v>
      </c>
      <c r="B6125" t="s">
        <v>195</v>
      </c>
      <c r="C6125" t="s">
        <v>1637</v>
      </c>
      <c r="D6125" s="1">
        <v>1.7399999999999999E-2</v>
      </c>
      <c r="E6125" s="1">
        <v>2.18E-2</v>
      </c>
      <c r="F6125" s="1">
        <v>1.7399999999999999E-2</v>
      </c>
      <c r="G6125">
        <v>2004</v>
      </c>
      <c r="H6125">
        <v>2703</v>
      </c>
      <c r="I6125">
        <v>10430</v>
      </c>
    </row>
    <row r="6126" spans="1:9">
      <c r="A6126" s="25" t="s">
        <v>189</v>
      </c>
      <c r="B6126" t="s">
        <v>195</v>
      </c>
      <c r="C6126" t="s">
        <v>1638</v>
      </c>
      <c r="D6126" s="1">
        <v>1.21E-2</v>
      </c>
      <c r="E6126" s="1">
        <v>1.7299999999999999E-2</v>
      </c>
      <c r="F6126" s="1">
        <v>2.24E-2</v>
      </c>
      <c r="G6126">
        <v>2004</v>
      </c>
      <c r="H6126">
        <v>2703</v>
      </c>
      <c r="I6126">
        <v>10430</v>
      </c>
    </row>
    <row r="6127" spans="1:9">
      <c r="A6127" s="25" t="s">
        <v>189</v>
      </c>
      <c r="B6127" t="s">
        <v>195</v>
      </c>
      <c r="C6127" t="s">
        <v>1639</v>
      </c>
      <c r="D6127" s="1">
        <v>6.6E-3</v>
      </c>
      <c r="E6127" s="1">
        <v>6.3E-3</v>
      </c>
      <c r="F6127" s="1">
        <v>5.4000000000000003E-3</v>
      </c>
      <c r="G6127">
        <v>2004</v>
      </c>
      <c r="H6127">
        <v>2703</v>
      </c>
      <c r="I6127">
        <v>10430</v>
      </c>
    </row>
    <row r="6128" spans="1:9">
      <c r="A6128" s="25" t="s">
        <v>189</v>
      </c>
      <c r="B6128" t="s">
        <v>195</v>
      </c>
      <c r="C6128" t="s">
        <v>1640</v>
      </c>
      <c r="D6128" s="1">
        <v>4.4000000000000003E-3</v>
      </c>
      <c r="E6128" s="1">
        <v>8.5000000000000006E-3</v>
      </c>
      <c r="F6128" s="1">
        <v>9.7999999999999997E-3</v>
      </c>
      <c r="G6128">
        <v>2004</v>
      </c>
      <c r="H6128">
        <v>2703</v>
      </c>
      <c r="I6128">
        <v>10430</v>
      </c>
    </row>
    <row r="6129" spans="1:9">
      <c r="A6129" s="25" t="s">
        <v>189</v>
      </c>
      <c r="B6129" t="s">
        <v>195</v>
      </c>
      <c r="C6129" t="s">
        <v>1641</v>
      </c>
      <c r="D6129" s="1">
        <v>1.26E-2</v>
      </c>
      <c r="E6129" s="1">
        <v>7.8299999999999995E-2</v>
      </c>
      <c r="F6129" s="1">
        <v>6.6500000000000004E-2</v>
      </c>
      <c r="G6129">
        <v>2004</v>
      </c>
      <c r="H6129">
        <v>2703</v>
      </c>
      <c r="I6129">
        <v>10430</v>
      </c>
    </row>
    <row r="6130" spans="1:9">
      <c r="A6130" s="25" t="s">
        <v>189</v>
      </c>
      <c r="B6130" t="s">
        <v>195</v>
      </c>
      <c r="C6130" t="s">
        <v>1651</v>
      </c>
      <c r="D6130" s="1">
        <v>1.1000000000000001E-3</v>
      </c>
      <c r="E6130" s="1">
        <v>5.4999999999999997E-3</v>
      </c>
      <c r="F6130" s="1">
        <v>6.3E-3</v>
      </c>
      <c r="G6130">
        <v>2004</v>
      </c>
      <c r="H6130">
        <v>2703</v>
      </c>
      <c r="I6130">
        <v>10430</v>
      </c>
    </row>
    <row r="6131" spans="1:9">
      <c r="A6131" s="25" t="s">
        <v>189</v>
      </c>
      <c r="B6131" t="s">
        <v>195</v>
      </c>
      <c r="C6131" t="s">
        <v>1642</v>
      </c>
      <c r="D6131" s="1">
        <v>1.0999999999999999E-2</v>
      </c>
      <c r="E6131" s="1">
        <v>3.7699999999999997E-2</v>
      </c>
      <c r="F6131" s="1">
        <v>5.1900000000000002E-2</v>
      </c>
      <c r="G6131">
        <v>2004</v>
      </c>
      <c r="H6131">
        <v>2703</v>
      </c>
      <c r="I6131">
        <v>10430</v>
      </c>
    </row>
    <row r="6132" spans="1:9">
      <c r="A6132" s="25" t="s">
        <v>189</v>
      </c>
      <c r="B6132" t="s">
        <v>195</v>
      </c>
      <c r="C6132" t="s">
        <v>1643</v>
      </c>
      <c r="D6132" s="1">
        <v>1.8E-3</v>
      </c>
      <c r="E6132" s="1">
        <v>0.01</v>
      </c>
      <c r="F6132" s="1">
        <v>3.0999999999999999E-3</v>
      </c>
      <c r="G6132">
        <v>2004</v>
      </c>
      <c r="H6132">
        <v>2703</v>
      </c>
      <c r="I6132">
        <v>10430</v>
      </c>
    </row>
    <row r="6133" spans="1:9">
      <c r="A6133" s="25" t="s">
        <v>189</v>
      </c>
      <c r="B6133" t="s">
        <v>195</v>
      </c>
      <c r="C6133" t="s">
        <v>1644</v>
      </c>
      <c r="D6133" s="1">
        <v>1E-3</v>
      </c>
      <c r="E6133" s="1">
        <v>3.7000000000000002E-3</v>
      </c>
      <c r="F6133" s="1">
        <v>1.47E-2</v>
      </c>
      <c r="G6133">
        <v>2004</v>
      </c>
      <c r="H6133">
        <v>2703</v>
      </c>
      <c r="I6133">
        <v>10430</v>
      </c>
    </row>
    <row r="6134" spans="1:9">
      <c r="A6134" s="25" t="s">
        <v>189</v>
      </c>
      <c r="B6134" t="s">
        <v>195</v>
      </c>
      <c r="C6134" t="s">
        <v>1645</v>
      </c>
      <c r="D6134" s="1">
        <v>1E-4</v>
      </c>
      <c r="E6134" s="1">
        <v>1.4E-3</v>
      </c>
      <c r="F6134" s="1">
        <v>5.1000000000000004E-3</v>
      </c>
      <c r="G6134">
        <v>2004</v>
      </c>
      <c r="H6134">
        <v>2703</v>
      </c>
      <c r="I6134">
        <v>10430</v>
      </c>
    </row>
    <row r="6135" spans="1:9">
      <c r="A6135" s="25" t="s">
        <v>189</v>
      </c>
      <c r="B6135" t="s">
        <v>195</v>
      </c>
      <c r="C6135" t="s">
        <v>1646</v>
      </c>
      <c r="D6135" s="1">
        <v>3.5000000000000001E-3</v>
      </c>
      <c r="E6135" s="1">
        <v>1.4200000000000001E-2</v>
      </c>
      <c r="F6135" s="1">
        <v>2.5000000000000001E-2</v>
      </c>
      <c r="G6135">
        <v>2004</v>
      </c>
      <c r="H6135">
        <v>2703</v>
      </c>
      <c r="I6135">
        <v>10430</v>
      </c>
    </row>
    <row r="6136" spans="1:9">
      <c r="A6136" s="25" t="s">
        <v>189</v>
      </c>
      <c r="B6136" t="s">
        <v>195</v>
      </c>
      <c r="C6136" t="s">
        <v>1647</v>
      </c>
      <c r="D6136" s="1">
        <v>8.8999999999999999E-3</v>
      </c>
      <c r="E6136" s="1">
        <v>2.0199999999999999E-2</v>
      </c>
      <c r="F6136" s="1">
        <v>2.52E-2</v>
      </c>
      <c r="G6136">
        <v>2004</v>
      </c>
      <c r="H6136">
        <v>2703</v>
      </c>
      <c r="I6136">
        <v>10430</v>
      </c>
    </row>
    <row r="6137" spans="1:9">
      <c r="A6137" s="25" t="s">
        <v>189</v>
      </c>
      <c r="B6137" t="s">
        <v>195</v>
      </c>
      <c r="C6137" t="s">
        <v>1648</v>
      </c>
      <c r="D6137" s="1">
        <v>0.30730000000000002</v>
      </c>
      <c r="E6137" s="1">
        <v>0.1263</v>
      </c>
      <c r="F6137" s="1">
        <v>6.7900000000000002E-2</v>
      </c>
      <c r="G6137">
        <v>2004</v>
      </c>
      <c r="H6137">
        <v>2703</v>
      </c>
      <c r="I6137">
        <v>10430</v>
      </c>
    </row>
    <row r="6138" spans="1:9">
      <c r="A6138" s="25" t="s">
        <v>189</v>
      </c>
      <c r="B6138" t="s">
        <v>195</v>
      </c>
      <c r="C6138" t="s">
        <v>1649</v>
      </c>
      <c r="D6138" s="1">
        <v>0.2833</v>
      </c>
      <c r="E6138" s="1">
        <v>8.7300000000000003E-2</v>
      </c>
      <c r="F6138" s="1">
        <v>5.0299999999999997E-2</v>
      </c>
      <c r="G6138">
        <v>2004</v>
      </c>
      <c r="H6138">
        <v>2703</v>
      </c>
      <c r="I6138">
        <v>10430</v>
      </c>
    </row>
    <row r="6139" spans="1:9">
      <c r="A6139" s="25" t="s">
        <v>189</v>
      </c>
      <c r="B6139" t="s">
        <v>195</v>
      </c>
      <c r="C6139" t="s">
        <v>324</v>
      </c>
      <c r="D6139" s="1">
        <v>0.2475</v>
      </c>
      <c r="E6139" s="1">
        <v>0.37190000000000001</v>
      </c>
      <c r="F6139" s="1">
        <v>0.39829999999999999</v>
      </c>
      <c r="G6139">
        <v>2004</v>
      </c>
      <c r="H6139">
        <v>2703</v>
      </c>
      <c r="I6139">
        <v>10430</v>
      </c>
    </row>
    <row r="6140" spans="1:9">
      <c r="A6140" s="25" t="s">
        <v>189</v>
      </c>
      <c r="B6140" t="s">
        <v>195</v>
      </c>
      <c r="C6140" t="s">
        <v>269</v>
      </c>
      <c r="D6140" s="1">
        <v>2.3999999999999998E-3</v>
      </c>
      <c r="E6140" s="1">
        <v>1.2999999999999999E-3</v>
      </c>
      <c r="F6140" s="1">
        <v>4.7000000000000002E-3</v>
      </c>
      <c r="G6140">
        <v>2004</v>
      </c>
      <c r="H6140">
        <v>2703</v>
      </c>
      <c r="I6140">
        <v>10430</v>
      </c>
    </row>
    <row r="6141" spans="1:9">
      <c r="A6141" s="25" t="s">
        <v>189</v>
      </c>
      <c r="B6141" t="s">
        <v>195</v>
      </c>
      <c r="C6141" t="s">
        <v>243</v>
      </c>
      <c r="D6141" s="1">
        <v>1.4E-3</v>
      </c>
      <c r="E6141" s="1">
        <v>2.9999999999999997E-4</v>
      </c>
      <c r="F6141" s="1">
        <v>5.0000000000000001E-4</v>
      </c>
      <c r="G6141">
        <v>2004</v>
      </c>
      <c r="H6141">
        <v>2703</v>
      </c>
      <c r="I6141">
        <v>10430</v>
      </c>
    </row>
    <row r="6142" spans="1:9">
      <c r="A6142" s="25" t="s">
        <v>189</v>
      </c>
      <c r="B6142" t="s">
        <v>195</v>
      </c>
      <c r="C6142" t="s">
        <v>1650</v>
      </c>
      <c r="D6142" s="1">
        <v>0</v>
      </c>
      <c r="E6142" s="1">
        <v>6.7999999999999996E-3</v>
      </c>
      <c r="F6142" s="1">
        <v>6.1000000000000004E-3</v>
      </c>
      <c r="G6142">
        <v>2004</v>
      </c>
      <c r="H6142">
        <v>2703</v>
      </c>
      <c r="I6142">
        <v>10430</v>
      </c>
    </row>
    <row r="6143" spans="1:9">
      <c r="A6143" s="25" t="s">
        <v>189</v>
      </c>
      <c r="B6143" t="s">
        <v>196</v>
      </c>
      <c r="C6143" t="s">
        <v>1631</v>
      </c>
      <c r="D6143" s="1">
        <v>5.8999999999999999E-3</v>
      </c>
      <c r="E6143" s="1">
        <v>1.9E-2</v>
      </c>
      <c r="F6143" s="1">
        <v>3.0599999999999999E-2</v>
      </c>
      <c r="G6143">
        <v>978</v>
      </c>
      <c r="H6143">
        <v>1720</v>
      </c>
      <c r="I6143">
        <v>10430</v>
      </c>
    </row>
    <row r="6144" spans="1:9">
      <c r="A6144" s="25" t="s">
        <v>189</v>
      </c>
      <c r="B6144" t="s">
        <v>196</v>
      </c>
      <c r="C6144" t="s">
        <v>241</v>
      </c>
      <c r="D6144" s="1">
        <v>8.0000000000000002E-3</v>
      </c>
      <c r="E6144" s="1">
        <v>1.84E-2</v>
      </c>
      <c r="F6144" s="1">
        <v>3.5499999999999997E-2</v>
      </c>
      <c r="G6144">
        <v>978</v>
      </c>
      <c r="H6144">
        <v>1720</v>
      </c>
      <c r="I6144">
        <v>10430</v>
      </c>
    </row>
    <row r="6145" spans="1:9">
      <c r="A6145" s="25" t="s">
        <v>189</v>
      </c>
      <c r="B6145" t="s">
        <v>196</v>
      </c>
      <c r="C6145" t="s">
        <v>1632</v>
      </c>
      <c r="D6145" s="1">
        <v>9.7000000000000003E-3</v>
      </c>
      <c r="E6145" s="1">
        <v>7.1599999999999997E-2</v>
      </c>
      <c r="F6145" s="1">
        <v>6.2199999999999998E-2</v>
      </c>
      <c r="G6145">
        <v>978</v>
      </c>
      <c r="H6145">
        <v>1720</v>
      </c>
      <c r="I6145">
        <v>10430</v>
      </c>
    </row>
    <row r="6146" spans="1:9">
      <c r="A6146" s="25" t="s">
        <v>189</v>
      </c>
      <c r="B6146" t="s">
        <v>196</v>
      </c>
      <c r="C6146" t="s">
        <v>1633</v>
      </c>
      <c r="D6146" s="1">
        <v>1.5800000000000002E-2</v>
      </c>
      <c r="E6146" s="1">
        <v>9.4000000000000004E-3</v>
      </c>
      <c r="F6146" s="1">
        <v>2.3599999999999999E-2</v>
      </c>
      <c r="G6146">
        <v>978</v>
      </c>
      <c r="H6146">
        <v>1720</v>
      </c>
      <c r="I6146">
        <v>10430</v>
      </c>
    </row>
    <row r="6147" spans="1:9">
      <c r="A6147" s="25" t="s">
        <v>189</v>
      </c>
      <c r="B6147" t="s">
        <v>196</v>
      </c>
      <c r="C6147" t="s">
        <v>1634</v>
      </c>
      <c r="D6147" s="1">
        <v>3.7000000000000002E-3</v>
      </c>
      <c r="E6147" s="1">
        <v>2.5999999999999999E-3</v>
      </c>
      <c r="F6147" s="1">
        <v>2.9999999999999997E-4</v>
      </c>
      <c r="G6147">
        <v>978</v>
      </c>
      <c r="H6147">
        <v>1720</v>
      </c>
      <c r="I6147">
        <v>10430</v>
      </c>
    </row>
    <row r="6148" spans="1:9">
      <c r="A6148" s="25" t="s">
        <v>189</v>
      </c>
      <c r="B6148" t="s">
        <v>196</v>
      </c>
      <c r="C6148" t="s">
        <v>1635</v>
      </c>
      <c r="D6148" s="1">
        <v>3.1099999999999999E-2</v>
      </c>
      <c r="E6148" s="1">
        <v>6.6900000000000001E-2</v>
      </c>
      <c r="F6148" s="1">
        <v>6.5799999999999997E-2</v>
      </c>
      <c r="G6148">
        <v>978</v>
      </c>
      <c r="H6148">
        <v>1720</v>
      </c>
      <c r="I6148">
        <v>10430</v>
      </c>
    </row>
    <row r="6149" spans="1:9">
      <c r="A6149" s="25" t="s">
        <v>189</v>
      </c>
      <c r="B6149" t="s">
        <v>196</v>
      </c>
      <c r="C6149" t="s">
        <v>1636</v>
      </c>
      <c r="D6149" s="1">
        <v>4.0000000000000002E-4</v>
      </c>
      <c r="E6149" s="1">
        <v>5.0000000000000001E-4</v>
      </c>
      <c r="F6149" s="1">
        <v>9.7000000000000003E-3</v>
      </c>
      <c r="G6149">
        <v>978</v>
      </c>
      <c r="H6149">
        <v>1720</v>
      </c>
      <c r="I6149">
        <v>10430</v>
      </c>
    </row>
    <row r="6150" spans="1:9">
      <c r="A6150" s="25" t="s">
        <v>189</v>
      </c>
      <c r="B6150" t="s">
        <v>196</v>
      </c>
      <c r="C6150" t="s">
        <v>1637</v>
      </c>
      <c r="D6150" s="1">
        <v>1.7999999999999999E-2</v>
      </c>
      <c r="E6150" s="1">
        <v>4.5499999999999999E-2</v>
      </c>
      <c r="F6150" s="1">
        <v>0.04</v>
      </c>
      <c r="G6150">
        <v>978</v>
      </c>
      <c r="H6150">
        <v>1720</v>
      </c>
      <c r="I6150">
        <v>10430</v>
      </c>
    </row>
    <row r="6151" spans="1:9">
      <c r="A6151" s="25" t="s">
        <v>189</v>
      </c>
      <c r="B6151" t="s">
        <v>196</v>
      </c>
      <c r="C6151" t="s">
        <v>1638</v>
      </c>
      <c r="D6151" s="1">
        <v>3.3999999999999998E-3</v>
      </c>
      <c r="E6151" s="1">
        <v>6.7999999999999996E-3</v>
      </c>
      <c r="F6151" s="1">
        <v>1.54E-2</v>
      </c>
      <c r="G6151">
        <v>978</v>
      </c>
      <c r="H6151">
        <v>1720</v>
      </c>
      <c r="I6151">
        <v>10430</v>
      </c>
    </row>
    <row r="6152" spans="1:9">
      <c r="A6152" s="25" t="s">
        <v>189</v>
      </c>
      <c r="B6152" t="s">
        <v>196</v>
      </c>
      <c r="C6152" t="s">
        <v>1639</v>
      </c>
      <c r="D6152" s="1">
        <v>2.8999999999999998E-3</v>
      </c>
      <c r="E6152" s="1">
        <v>9.4000000000000004E-3</v>
      </c>
      <c r="F6152" s="1">
        <v>4.5999999999999999E-3</v>
      </c>
      <c r="G6152">
        <v>978</v>
      </c>
      <c r="H6152">
        <v>1720</v>
      </c>
      <c r="I6152">
        <v>10430</v>
      </c>
    </row>
    <row r="6153" spans="1:9">
      <c r="A6153" s="25" t="s">
        <v>189</v>
      </c>
      <c r="B6153" t="s">
        <v>196</v>
      </c>
      <c r="C6153" t="s">
        <v>1640</v>
      </c>
      <c r="D6153" s="1">
        <v>3.0000000000000001E-3</v>
      </c>
      <c r="E6153" s="1">
        <v>1.5100000000000001E-2</v>
      </c>
      <c r="F6153" s="1">
        <v>1.9800000000000002E-2</v>
      </c>
      <c r="G6153">
        <v>978</v>
      </c>
      <c r="H6153">
        <v>1720</v>
      </c>
      <c r="I6153">
        <v>10430</v>
      </c>
    </row>
    <row r="6154" spans="1:9">
      <c r="A6154" s="25" t="s">
        <v>189</v>
      </c>
      <c r="B6154" t="s">
        <v>196</v>
      </c>
      <c r="C6154" t="s">
        <v>1641</v>
      </c>
      <c r="D6154" s="1">
        <v>1.8200000000000001E-2</v>
      </c>
      <c r="E6154" s="1">
        <v>7.0199999999999999E-2</v>
      </c>
      <c r="F6154" s="1">
        <v>0.13009999999999999</v>
      </c>
      <c r="G6154">
        <v>978</v>
      </c>
      <c r="H6154">
        <v>1720</v>
      </c>
      <c r="I6154">
        <v>10430</v>
      </c>
    </row>
    <row r="6155" spans="1:9">
      <c r="A6155" s="25" t="s">
        <v>189</v>
      </c>
      <c r="B6155" t="s">
        <v>196</v>
      </c>
      <c r="C6155" t="s">
        <v>1651</v>
      </c>
      <c r="D6155" s="1">
        <v>1.6999999999999999E-3</v>
      </c>
      <c r="E6155" s="1">
        <v>2.3E-3</v>
      </c>
      <c r="F6155" s="1">
        <v>1.2200000000000001E-2</v>
      </c>
      <c r="G6155">
        <v>978</v>
      </c>
      <c r="H6155">
        <v>1720</v>
      </c>
      <c r="I6155">
        <v>10430</v>
      </c>
    </row>
    <row r="6156" spans="1:9">
      <c r="A6156" s="25" t="s">
        <v>189</v>
      </c>
      <c r="B6156" t="s">
        <v>196</v>
      </c>
      <c r="C6156" t="s">
        <v>1642</v>
      </c>
      <c r="D6156" s="1">
        <v>1.1299999999999999E-2</v>
      </c>
      <c r="E6156" s="1">
        <v>4.7100000000000003E-2</v>
      </c>
      <c r="F6156" s="1">
        <v>4.7600000000000003E-2</v>
      </c>
      <c r="G6156">
        <v>978</v>
      </c>
      <c r="H6156">
        <v>1720</v>
      </c>
      <c r="I6156">
        <v>10430</v>
      </c>
    </row>
    <row r="6157" spans="1:9">
      <c r="A6157" s="25" t="s">
        <v>189</v>
      </c>
      <c r="B6157" t="s">
        <v>196</v>
      </c>
      <c r="C6157" t="s">
        <v>1643</v>
      </c>
      <c r="D6157" s="1">
        <v>3.0000000000000001E-3</v>
      </c>
      <c r="E6157" s="1">
        <v>5.5999999999999999E-3</v>
      </c>
      <c r="G6157">
        <v>978</v>
      </c>
      <c r="H6157">
        <v>1720</v>
      </c>
      <c r="I6157">
        <v>10430</v>
      </c>
    </row>
    <row r="6158" spans="1:9">
      <c r="A6158" s="25" t="s">
        <v>189</v>
      </c>
      <c r="B6158" t="s">
        <v>196</v>
      </c>
      <c r="C6158" t="s">
        <v>1644</v>
      </c>
      <c r="D6158" s="1">
        <v>2.7000000000000001E-3</v>
      </c>
      <c r="E6158" s="1">
        <v>6.1999999999999998E-3</v>
      </c>
      <c r="F6158" s="1">
        <v>6.3E-3</v>
      </c>
      <c r="G6158">
        <v>978</v>
      </c>
      <c r="H6158">
        <v>1720</v>
      </c>
      <c r="I6158">
        <v>10430</v>
      </c>
    </row>
    <row r="6159" spans="1:9">
      <c r="A6159" s="25" t="s">
        <v>189</v>
      </c>
      <c r="B6159" t="s">
        <v>196</v>
      </c>
      <c r="C6159" t="s">
        <v>1645</v>
      </c>
      <c r="D6159" s="1">
        <v>5.0000000000000001E-4</v>
      </c>
      <c r="E6159" s="1">
        <v>8.0000000000000004E-4</v>
      </c>
      <c r="F6159" s="1">
        <v>4.0000000000000002E-4</v>
      </c>
      <c r="G6159">
        <v>978</v>
      </c>
      <c r="H6159">
        <v>1720</v>
      </c>
      <c r="I6159">
        <v>10430</v>
      </c>
    </row>
    <row r="6160" spans="1:9">
      <c r="A6160" s="25" t="s">
        <v>189</v>
      </c>
      <c r="B6160" t="s">
        <v>196</v>
      </c>
      <c r="C6160" t="s">
        <v>1646</v>
      </c>
      <c r="D6160" s="1">
        <v>3.3999999999999998E-3</v>
      </c>
      <c r="E6160" s="1">
        <v>8.3999999999999995E-3</v>
      </c>
      <c r="F6160" s="1">
        <v>2.9399999999999999E-2</v>
      </c>
      <c r="G6160">
        <v>978</v>
      </c>
      <c r="H6160">
        <v>1720</v>
      </c>
      <c r="I6160">
        <v>10430</v>
      </c>
    </row>
    <row r="6161" spans="1:9">
      <c r="A6161" s="25" t="s">
        <v>189</v>
      </c>
      <c r="B6161" t="s">
        <v>196</v>
      </c>
      <c r="C6161" t="s">
        <v>1647</v>
      </c>
      <c r="D6161" s="1">
        <v>4.8999999999999998E-3</v>
      </c>
      <c r="E6161" s="1">
        <v>1.0800000000000001E-2</v>
      </c>
      <c r="F6161" s="1">
        <v>1.4800000000000001E-2</v>
      </c>
      <c r="G6161">
        <v>978</v>
      </c>
      <c r="H6161">
        <v>1720</v>
      </c>
      <c r="I6161">
        <v>10430</v>
      </c>
    </row>
    <row r="6162" spans="1:9">
      <c r="A6162" s="25" t="s">
        <v>189</v>
      </c>
      <c r="B6162" t="s">
        <v>196</v>
      </c>
      <c r="C6162" t="s">
        <v>1648</v>
      </c>
      <c r="D6162" s="1">
        <v>0.26400000000000001</v>
      </c>
      <c r="E6162" s="1">
        <v>0.23180000000000001</v>
      </c>
      <c r="F6162" s="1">
        <v>7.3099999999999998E-2</v>
      </c>
      <c r="G6162">
        <v>978</v>
      </c>
      <c r="H6162">
        <v>1720</v>
      </c>
      <c r="I6162">
        <v>10430</v>
      </c>
    </row>
    <row r="6163" spans="1:9">
      <c r="A6163" s="25" t="s">
        <v>189</v>
      </c>
      <c r="B6163" t="s">
        <v>196</v>
      </c>
      <c r="C6163" t="s">
        <v>1649</v>
      </c>
      <c r="D6163" s="1">
        <v>0.42359999999999998</v>
      </c>
      <c r="E6163" s="1">
        <v>8.2699999999999996E-2</v>
      </c>
      <c r="F6163" s="1">
        <v>4.9799999999999997E-2</v>
      </c>
      <c r="G6163">
        <v>978</v>
      </c>
      <c r="H6163">
        <v>1720</v>
      </c>
      <c r="I6163">
        <v>10430</v>
      </c>
    </row>
    <row r="6164" spans="1:9">
      <c r="A6164" s="25" t="s">
        <v>189</v>
      </c>
      <c r="B6164" t="s">
        <v>196</v>
      </c>
      <c r="C6164" t="s">
        <v>324</v>
      </c>
      <c r="D6164" s="1">
        <v>0.1578</v>
      </c>
      <c r="E6164" s="1">
        <v>0.24729999999999999</v>
      </c>
      <c r="F6164" s="1">
        <v>0.30499999999999999</v>
      </c>
      <c r="G6164">
        <v>978</v>
      </c>
      <c r="H6164">
        <v>1720</v>
      </c>
      <c r="I6164">
        <v>10430</v>
      </c>
    </row>
    <row r="6165" spans="1:9">
      <c r="A6165" s="25" t="s">
        <v>189</v>
      </c>
      <c r="B6165" t="s">
        <v>196</v>
      </c>
      <c r="C6165" t="s">
        <v>269</v>
      </c>
      <c r="D6165" s="1">
        <v>2.8E-3</v>
      </c>
      <c r="E6165" s="1">
        <v>7.1000000000000004E-3</v>
      </c>
      <c r="F6165" s="1">
        <v>1.5E-3</v>
      </c>
      <c r="G6165">
        <v>978</v>
      </c>
      <c r="H6165">
        <v>1720</v>
      </c>
      <c r="I6165">
        <v>10430</v>
      </c>
    </row>
    <row r="6166" spans="1:9">
      <c r="A6166" s="25" t="s">
        <v>189</v>
      </c>
      <c r="B6166" t="s">
        <v>196</v>
      </c>
      <c r="C6166" t="s">
        <v>243</v>
      </c>
      <c r="D6166" s="1">
        <v>1.1999999999999999E-3</v>
      </c>
      <c r="E6166" s="1">
        <v>1E-4</v>
      </c>
      <c r="F6166" s="1">
        <v>1.1000000000000001E-3</v>
      </c>
      <c r="G6166">
        <v>978</v>
      </c>
      <c r="H6166">
        <v>1720</v>
      </c>
      <c r="I6166">
        <v>10430</v>
      </c>
    </row>
    <row r="6167" spans="1:9">
      <c r="A6167" s="25" t="s">
        <v>189</v>
      </c>
      <c r="B6167" t="s">
        <v>196</v>
      </c>
      <c r="C6167" t="s">
        <v>1650</v>
      </c>
      <c r="D6167" s="1">
        <v>2.8999999999999998E-3</v>
      </c>
      <c r="E6167" s="1">
        <v>1.43E-2</v>
      </c>
      <c r="F6167" s="1">
        <v>2.12E-2</v>
      </c>
      <c r="G6167">
        <v>978</v>
      </c>
      <c r="H6167">
        <v>1720</v>
      </c>
      <c r="I6167">
        <v>10430</v>
      </c>
    </row>
    <row r="6168" spans="1:9">
      <c r="A6168" s="25" t="s">
        <v>192</v>
      </c>
      <c r="B6168" t="s">
        <v>192</v>
      </c>
      <c r="C6168" t="s">
        <v>1631</v>
      </c>
      <c r="D6168" s="1">
        <v>1.1000000000000001E-3</v>
      </c>
      <c r="E6168" s="1">
        <v>4.7999999999999996E-3</v>
      </c>
      <c r="F6168" s="1">
        <v>7.4000000000000003E-3</v>
      </c>
      <c r="G6168">
        <v>10430</v>
      </c>
      <c r="H6168">
        <v>10430</v>
      </c>
      <c r="I6168">
        <v>10430</v>
      </c>
    </row>
    <row r="6169" spans="1:9">
      <c r="A6169" s="25" t="s">
        <v>192</v>
      </c>
      <c r="B6169" t="s">
        <v>192</v>
      </c>
      <c r="C6169" t="s">
        <v>241</v>
      </c>
      <c r="D6169" s="1">
        <v>1.21E-2</v>
      </c>
      <c r="E6169" s="1">
        <v>2.9100000000000001E-2</v>
      </c>
      <c r="F6169" s="1">
        <v>5.5599999999999997E-2</v>
      </c>
      <c r="G6169">
        <v>10430</v>
      </c>
      <c r="H6169">
        <v>10430</v>
      </c>
      <c r="I6169">
        <v>10430</v>
      </c>
    </row>
    <row r="6170" spans="1:9">
      <c r="A6170" s="25" t="s">
        <v>192</v>
      </c>
      <c r="B6170" t="s">
        <v>192</v>
      </c>
      <c r="C6170" t="s">
        <v>1632</v>
      </c>
      <c r="D6170" s="1">
        <v>1.4500000000000001E-2</v>
      </c>
      <c r="E6170" s="1">
        <v>3.9699999999999999E-2</v>
      </c>
      <c r="F6170" s="1">
        <v>4.8500000000000001E-2</v>
      </c>
      <c r="G6170">
        <v>10430</v>
      </c>
      <c r="H6170">
        <v>10430</v>
      </c>
      <c r="I6170">
        <v>10430</v>
      </c>
    </row>
    <row r="6171" spans="1:9">
      <c r="A6171" s="25" t="s">
        <v>192</v>
      </c>
      <c r="B6171" t="s">
        <v>192</v>
      </c>
      <c r="C6171" t="s">
        <v>1633</v>
      </c>
      <c r="D6171" s="1">
        <v>1.0699999999999999E-2</v>
      </c>
      <c r="E6171" s="1">
        <v>1.2999999999999999E-2</v>
      </c>
      <c r="F6171" s="1">
        <v>1.7600000000000001E-2</v>
      </c>
      <c r="G6171">
        <v>10430</v>
      </c>
      <c r="H6171">
        <v>10430</v>
      </c>
      <c r="I6171">
        <v>10430</v>
      </c>
    </row>
    <row r="6172" spans="1:9">
      <c r="A6172" s="25" t="s">
        <v>192</v>
      </c>
      <c r="B6172" t="s">
        <v>192</v>
      </c>
      <c r="C6172" t="s">
        <v>1634</v>
      </c>
      <c r="D6172" s="1">
        <v>1E-3</v>
      </c>
      <c r="E6172" s="1">
        <v>2.8999999999999998E-3</v>
      </c>
      <c r="F6172" s="1">
        <v>7.1000000000000004E-3</v>
      </c>
      <c r="G6172">
        <v>10430</v>
      </c>
      <c r="H6172">
        <v>10430</v>
      </c>
      <c r="I6172">
        <v>10430</v>
      </c>
    </row>
    <row r="6173" spans="1:9">
      <c r="A6173" s="25" t="s">
        <v>192</v>
      </c>
      <c r="B6173" t="s">
        <v>192</v>
      </c>
      <c r="C6173" t="s">
        <v>1635</v>
      </c>
      <c r="D6173" s="1">
        <v>4.1200000000000001E-2</v>
      </c>
      <c r="E6173" s="1">
        <v>0.10920000000000001</v>
      </c>
      <c r="F6173" s="1">
        <v>8.8099999999999998E-2</v>
      </c>
      <c r="G6173">
        <v>10430</v>
      </c>
      <c r="H6173">
        <v>10430</v>
      </c>
      <c r="I6173">
        <v>10430</v>
      </c>
    </row>
    <row r="6174" spans="1:9">
      <c r="A6174" s="25" t="s">
        <v>192</v>
      </c>
      <c r="B6174" t="s">
        <v>192</v>
      </c>
      <c r="C6174" t="s">
        <v>1636</v>
      </c>
      <c r="D6174" s="1">
        <v>2.0000000000000001E-4</v>
      </c>
      <c r="E6174" s="1">
        <v>1.8E-3</v>
      </c>
      <c r="F6174" s="1">
        <v>5.1999999999999998E-3</v>
      </c>
      <c r="G6174">
        <v>10430</v>
      </c>
      <c r="H6174">
        <v>10430</v>
      </c>
      <c r="I6174">
        <v>10430</v>
      </c>
    </row>
    <row r="6175" spans="1:9">
      <c r="A6175" s="25" t="s">
        <v>192</v>
      </c>
      <c r="B6175" t="s">
        <v>192</v>
      </c>
      <c r="C6175" t="s">
        <v>1637</v>
      </c>
      <c r="D6175" s="1">
        <v>2.53E-2</v>
      </c>
      <c r="E6175" s="1">
        <v>4.3900000000000002E-2</v>
      </c>
      <c r="F6175" s="1">
        <v>3.6700000000000003E-2</v>
      </c>
      <c r="G6175">
        <v>10430</v>
      </c>
      <c r="H6175">
        <v>10430</v>
      </c>
      <c r="I6175">
        <v>10430</v>
      </c>
    </row>
    <row r="6176" spans="1:9">
      <c r="A6176" s="25" t="s">
        <v>192</v>
      </c>
      <c r="B6176" t="s">
        <v>192</v>
      </c>
      <c r="C6176" t="s">
        <v>1638</v>
      </c>
      <c r="D6176" s="1">
        <v>3.0999999999999999E-3</v>
      </c>
      <c r="E6176" s="1">
        <v>7.3000000000000001E-3</v>
      </c>
      <c r="F6176" s="1">
        <v>1.0500000000000001E-2</v>
      </c>
      <c r="G6176">
        <v>10430</v>
      </c>
      <c r="H6176">
        <v>10430</v>
      </c>
      <c r="I6176">
        <v>10430</v>
      </c>
    </row>
    <row r="6177" spans="1:9">
      <c r="A6177" s="25" t="s">
        <v>192</v>
      </c>
      <c r="B6177" t="s">
        <v>192</v>
      </c>
      <c r="C6177" t="s">
        <v>1639</v>
      </c>
      <c r="D6177" s="1">
        <v>1.9E-3</v>
      </c>
      <c r="E6177" s="1">
        <v>4.3E-3</v>
      </c>
      <c r="F6177" s="1">
        <v>4.0000000000000001E-3</v>
      </c>
      <c r="G6177">
        <v>10430</v>
      </c>
      <c r="H6177">
        <v>10430</v>
      </c>
      <c r="I6177">
        <v>10430</v>
      </c>
    </row>
    <row r="6178" spans="1:9">
      <c r="A6178" s="25" t="s">
        <v>192</v>
      </c>
      <c r="B6178" t="s">
        <v>192</v>
      </c>
      <c r="C6178" t="s">
        <v>1640</v>
      </c>
      <c r="D6178" s="1">
        <v>4.0000000000000001E-3</v>
      </c>
      <c r="E6178" s="1">
        <v>1.4E-2</v>
      </c>
      <c r="F6178" s="1">
        <v>1.38E-2</v>
      </c>
      <c r="G6178">
        <v>10430</v>
      </c>
      <c r="H6178">
        <v>10430</v>
      </c>
      <c r="I6178">
        <v>10430</v>
      </c>
    </row>
    <row r="6179" spans="1:9">
      <c r="A6179" s="25" t="s">
        <v>192</v>
      </c>
      <c r="B6179" t="s">
        <v>192</v>
      </c>
      <c r="C6179" t="s">
        <v>1641</v>
      </c>
      <c r="D6179" s="1">
        <v>1.4500000000000001E-2</v>
      </c>
      <c r="E6179" s="1">
        <v>7.3200000000000001E-2</v>
      </c>
      <c r="F6179" s="1">
        <v>7.7799999999999994E-2</v>
      </c>
      <c r="G6179">
        <v>10430</v>
      </c>
      <c r="H6179">
        <v>10430</v>
      </c>
      <c r="I6179">
        <v>10430</v>
      </c>
    </row>
    <row r="6180" spans="1:9">
      <c r="A6180" s="25" t="s">
        <v>192</v>
      </c>
      <c r="B6180" t="s">
        <v>192</v>
      </c>
      <c r="C6180" t="s">
        <v>1651</v>
      </c>
      <c r="D6180" s="1">
        <v>6.9999999999999999E-4</v>
      </c>
      <c r="E6180" s="1">
        <v>3.8E-3</v>
      </c>
      <c r="F6180" s="1">
        <v>7.6E-3</v>
      </c>
      <c r="G6180">
        <v>10430</v>
      </c>
      <c r="H6180">
        <v>10430</v>
      </c>
      <c r="I6180">
        <v>10430</v>
      </c>
    </row>
    <row r="6181" spans="1:9">
      <c r="A6181" s="25" t="s">
        <v>192</v>
      </c>
      <c r="B6181" t="s">
        <v>192</v>
      </c>
      <c r="C6181" t="s">
        <v>1642</v>
      </c>
      <c r="D6181" s="1">
        <v>9.7000000000000003E-3</v>
      </c>
      <c r="E6181" s="1">
        <v>4.5600000000000002E-2</v>
      </c>
      <c r="F6181" s="1">
        <v>4.5100000000000001E-2</v>
      </c>
      <c r="G6181">
        <v>10430</v>
      </c>
      <c r="H6181">
        <v>10430</v>
      </c>
      <c r="I6181">
        <v>10430</v>
      </c>
    </row>
    <row r="6182" spans="1:9">
      <c r="A6182" s="25" t="s">
        <v>192</v>
      </c>
      <c r="B6182" t="s">
        <v>192</v>
      </c>
      <c r="C6182" t="s">
        <v>1643</v>
      </c>
      <c r="D6182" s="1">
        <v>3.2000000000000002E-3</v>
      </c>
      <c r="E6182" s="1">
        <v>4.8999999999999998E-3</v>
      </c>
      <c r="F6182" s="1">
        <v>8.8000000000000005E-3</v>
      </c>
      <c r="G6182">
        <v>10430</v>
      </c>
      <c r="H6182">
        <v>10430</v>
      </c>
      <c r="I6182">
        <v>10430</v>
      </c>
    </row>
    <row r="6183" spans="1:9">
      <c r="A6183" s="25" t="s">
        <v>192</v>
      </c>
      <c r="B6183" t="s">
        <v>192</v>
      </c>
      <c r="C6183" t="s">
        <v>1644</v>
      </c>
      <c r="D6183" s="1">
        <v>1E-3</v>
      </c>
      <c r="E6183" s="1">
        <v>5.4999999999999997E-3</v>
      </c>
      <c r="F6183" s="1">
        <v>1.2699999999999999E-2</v>
      </c>
      <c r="G6183">
        <v>10430</v>
      </c>
      <c r="H6183">
        <v>10430</v>
      </c>
      <c r="I6183">
        <v>10430</v>
      </c>
    </row>
    <row r="6184" spans="1:9">
      <c r="A6184" s="25" t="s">
        <v>192</v>
      </c>
      <c r="B6184" t="s">
        <v>192</v>
      </c>
      <c r="C6184" t="s">
        <v>1645</v>
      </c>
      <c r="D6184" s="1">
        <v>8.0000000000000004E-4</v>
      </c>
      <c r="E6184" s="1">
        <v>1E-3</v>
      </c>
      <c r="F6184" s="1">
        <v>3.8E-3</v>
      </c>
      <c r="G6184">
        <v>10430</v>
      </c>
      <c r="H6184">
        <v>10430</v>
      </c>
      <c r="I6184">
        <v>10430</v>
      </c>
    </row>
    <row r="6185" spans="1:9">
      <c r="A6185" s="25" t="s">
        <v>192</v>
      </c>
      <c r="B6185" t="s">
        <v>192</v>
      </c>
      <c r="C6185" t="s">
        <v>1646</v>
      </c>
      <c r="D6185" s="1">
        <v>1.6999999999999999E-3</v>
      </c>
      <c r="E6185" s="1">
        <v>1.38E-2</v>
      </c>
      <c r="F6185" s="1">
        <v>2.7699999999999999E-2</v>
      </c>
      <c r="G6185">
        <v>10430</v>
      </c>
      <c r="H6185">
        <v>10430</v>
      </c>
      <c r="I6185">
        <v>10430</v>
      </c>
    </row>
    <row r="6186" spans="1:9">
      <c r="A6186" s="25" t="s">
        <v>192</v>
      </c>
      <c r="B6186" t="s">
        <v>192</v>
      </c>
      <c r="C6186" t="s">
        <v>1647</v>
      </c>
      <c r="D6186" s="1">
        <v>5.4999999999999997E-3</v>
      </c>
      <c r="E6186" s="1">
        <v>1.9199999999999998E-2</v>
      </c>
      <c r="F6186" s="1">
        <v>2.98E-2</v>
      </c>
      <c r="G6186">
        <v>10430</v>
      </c>
      <c r="H6186">
        <v>10430</v>
      </c>
      <c r="I6186">
        <v>10430</v>
      </c>
    </row>
    <row r="6187" spans="1:9">
      <c r="A6187" s="25" t="s">
        <v>192</v>
      </c>
      <c r="B6187" t="s">
        <v>192</v>
      </c>
      <c r="C6187" t="s">
        <v>1648</v>
      </c>
      <c r="D6187" s="1">
        <v>0.28689999999999999</v>
      </c>
      <c r="E6187" s="1">
        <v>0.13789999999999999</v>
      </c>
      <c r="F6187" s="1">
        <v>5.3699999999999998E-2</v>
      </c>
      <c r="G6187">
        <v>10430</v>
      </c>
      <c r="H6187">
        <v>10430</v>
      </c>
      <c r="I6187">
        <v>10430</v>
      </c>
    </row>
    <row r="6188" spans="1:9">
      <c r="A6188" s="25" t="s">
        <v>192</v>
      </c>
      <c r="B6188" t="s">
        <v>192</v>
      </c>
      <c r="C6188" t="s">
        <v>1649</v>
      </c>
      <c r="D6188" s="1">
        <v>0.2114</v>
      </c>
      <c r="E6188" s="1">
        <v>6.6199999999999995E-2</v>
      </c>
      <c r="F6188" s="1">
        <v>4.0399999999999998E-2</v>
      </c>
      <c r="G6188">
        <v>10430</v>
      </c>
      <c r="H6188">
        <v>10430</v>
      </c>
      <c r="I6188">
        <v>10430</v>
      </c>
    </row>
    <row r="6189" spans="1:9">
      <c r="A6189" s="25" t="s">
        <v>192</v>
      </c>
      <c r="B6189" t="s">
        <v>192</v>
      </c>
      <c r="C6189" t="s">
        <v>324</v>
      </c>
      <c r="D6189" s="1">
        <v>0.34429999999999999</v>
      </c>
      <c r="E6189" s="1">
        <v>0.34960000000000002</v>
      </c>
      <c r="F6189" s="1">
        <v>0.38229999999999997</v>
      </c>
      <c r="G6189">
        <v>10430</v>
      </c>
      <c r="H6189">
        <v>10430</v>
      </c>
      <c r="I6189">
        <v>10430</v>
      </c>
    </row>
    <row r="6190" spans="1:9">
      <c r="A6190" s="25" t="s">
        <v>192</v>
      </c>
      <c r="B6190" t="s">
        <v>192</v>
      </c>
      <c r="C6190" t="s">
        <v>269</v>
      </c>
      <c r="D6190" s="1">
        <v>2.0999999999999999E-3</v>
      </c>
      <c r="E6190" s="1">
        <v>4.3E-3</v>
      </c>
      <c r="F6190" s="1">
        <v>6.8999999999999999E-3</v>
      </c>
      <c r="G6190">
        <v>10430</v>
      </c>
      <c r="H6190">
        <v>10430</v>
      </c>
      <c r="I6190">
        <v>10430</v>
      </c>
    </row>
    <row r="6191" spans="1:9">
      <c r="A6191" s="25" t="s">
        <v>192</v>
      </c>
      <c r="B6191" t="s">
        <v>192</v>
      </c>
      <c r="C6191" t="s">
        <v>243</v>
      </c>
      <c r="D6191" s="1">
        <v>2.0999999999999999E-3</v>
      </c>
      <c r="E6191" s="1">
        <v>1E-4</v>
      </c>
      <c r="F6191" s="1">
        <v>1.5E-3</v>
      </c>
      <c r="G6191">
        <v>10430</v>
      </c>
      <c r="H6191">
        <v>10430</v>
      </c>
      <c r="I6191">
        <v>10430</v>
      </c>
    </row>
    <row r="6192" spans="1:9">
      <c r="A6192" s="25" t="s">
        <v>192</v>
      </c>
      <c r="B6192" t="s">
        <v>192</v>
      </c>
      <c r="C6192" t="s">
        <v>1650</v>
      </c>
      <c r="D6192" s="1">
        <v>8.0000000000000004E-4</v>
      </c>
      <c r="E6192" s="1">
        <v>4.8999999999999998E-3</v>
      </c>
      <c r="F6192" s="1">
        <v>7.4999999999999997E-3</v>
      </c>
      <c r="G6192">
        <v>10430</v>
      </c>
      <c r="H6192">
        <v>10430</v>
      </c>
      <c r="I6192">
        <v>10430</v>
      </c>
    </row>
    <row r="6194" spans="1:9" ht="57.95">
      <c r="A6194" s="25" t="s">
        <v>1655</v>
      </c>
    </row>
    <row r="6195" spans="1:9">
      <c r="A6195" s="25" t="s">
        <v>181</v>
      </c>
      <c r="B6195" t="s">
        <v>182</v>
      </c>
      <c r="C6195" t="s">
        <v>1015</v>
      </c>
      <c r="D6195" t="s">
        <v>1628</v>
      </c>
      <c r="E6195" t="s">
        <v>1629</v>
      </c>
      <c r="F6195" t="s">
        <v>1630</v>
      </c>
      <c r="G6195" t="s">
        <v>1026</v>
      </c>
      <c r="H6195" t="s">
        <v>219</v>
      </c>
      <c r="I6195" t="s">
        <v>188</v>
      </c>
    </row>
    <row r="6196" spans="1:9">
      <c r="A6196" s="25" t="s">
        <v>189</v>
      </c>
      <c r="B6196" t="s">
        <v>198</v>
      </c>
      <c r="C6196" t="s">
        <v>1631</v>
      </c>
      <c r="D6196" s="1">
        <v>8.9999999999999998E-4</v>
      </c>
      <c r="E6196" s="1">
        <v>6.9999999999999999E-4</v>
      </c>
      <c r="F6196" s="1">
        <v>2.8999999999999998E-3</v>
      </c>
      <c r="G6196">
        <v>1909</v>
      </c>
      <c r="H6196">
        <v>2262</v>
      </c>
      <c r="I6196">
        <v>10430</v>
      </c>
    </row>
    <row r="6197" spans="1:9">
      <c r="A6197" s="25" t="s">
        <v>189</v>
      </c>
      <c r="B6197" t="s">
        <v>198</v>
      </c>
      <c r="C6197" t="s">
        <v>241</v>
      </c>
      <c r="D6197" s="1">
        <v>7.7000000000000002E-3</v>
      </c>
      <c r="E6197" s="1">
        <v>3.27E-2</v>
      </c>
      <c r="F6197" s="1">
        <v>6.4000000000000001E-2</v>
      </c>
      <c r="G6197">
        <v>1909</v>
      </c>
      <c r="H6197">
        <v>2262</v>
      </c>
      <c r="I6197">
        <v>10430</v>
      </c>
    </row>
    <row r="6198" spans="1:9">
      <c r="A6198" s="25" t="s">
        <v>189</v>
      </c>
      <c r="B6198" t="s">
        <v>198</v>
      </c>
      <c r="C6198" t="s">
        <v>1632</v>
      </c>
      <c r="D6198" s="1">
        <v>1.15E-2</v>
      </c>
      <c r="E6198" s="1">
        <v>3.8800000000000001E-2</v>
      </c>
      <c r="F6198" s="1">
        <v>4.4600000000000001E-2</v>
      </c>
      <c r="G6198">
        <v>1909</v>
      </c>
      <c r="H6198">
        <v>2262</v>
      </c>
      <c r="I6198">
        <v>10430</v>
      </c>
    </row>
    <row r="6199" spans="1:9">
      <c r="A6199" s="25" t="s">
        <v>189</v>
      </c>
      <c r="B6199" t="s">
        <v>198</v>
      </c>
      <c r="C6199" t="s">
        <v>1633</v>
      </c>
      <c r="D6199" s="1">
        <v>1.5900000000000001E-2</v>
      </c>
      <c r="E6199" s="1">
        <v>9.1999999999999998E-3</v>
      </c>
      <c r="F6199" s="1">
        <v>1.2E-2</v>
      </c>
      <c r="G6199">
        <v>1909</v>
      </c>
      <c r="H6199">
        <v>2262</v>
      </c>
      <c r="I6199">
        <v>10430</v>
      </c>
    </row>
    <row r="6200" spans="1:9">
      <c r="A6200" s="25" t="s">
        <v>189</v>
      </c>
      <c r="B6200" t="s">
        <v>198</v>
      </c>
      <c r="C6200" t="s">
        <v>1634</v>
      </c>
      <c r="D6200" s="1">
        <v>1.4E-3</v>
      </c>
      <c r="E6200" s="1">
        <v>1.2999999999999999E-3</v>
      </c>
      <c r="F6200" s="1">
        <v>1.06E-2</v>
      </c>
      <c r="G6200">
        <v>1909</v>
      </c>
      <c r="H6200">
        <v>2262</v>
      </c>
      <c r="I6200">
        <v>10430</v>
      </c>
    </row>
    <row r="6201" spans="1:9">
      <c r="A6201" s="25" t="s">
        <v>189</v>
      </c>
      <c r="B6201" t="s">
        <v>198</v>
      </c>
      <c r="C6201" t="s">
        <v>1635</v>
      </c>
      <c r="D6201" s="1">
        <v>0.1017</v>
      </c>
      <c r="E6201" s="1">
        <v>0.1767</v>
      </c>
      <c r="F6201" s="1">
        <v>0.1331</v>
      </c>
      <c r="G6201">
        <v>1909</v>
      </c>
      <c r="H6201">
        <v>2262</v>
      </c>
      <c r="I6201">
        <v>10430</v>
      </c>
    </row>
    <row r="6202" spans="1:9">
      <c r="A6202" s="25" t="s">
        <v>189</v>
      </c>
      <c r="B6202" t="s">
        <v>198</v>
      </c>
      <c r="C6202" t="s">
        <v>1637</v>
      </c>
      <c r="D6202" s="1">
        <v>1.5800000000000002E-2</v>
      </c>
      <c r="E6202" s="1">
        <v>5.2400000000000002E-2</v>
      </c>
      <c r="F6202" s="1">
        <v>4.9000000000000002E-2</v>
      </c>
      <c r="G6202">
        <v>1909</v>
      </c>
      <c r="H6202">
        <v>2262</v>
      </c>
      <c r="I6202">
        <v>10430</v>
      </c>
    </row>
    <row r="6203" spans="1:9">
      <c r="A6203" s="25" t="s">
        <v>189</v>
      </c>
      <c r="B6203" t="s">
        <v>198</v>
      </c>
      <c r="C6203" t="s">
        <v>1638</v>
      </c>
      <c r="D6203" s="1">
        <v>3.8999999999999998E-3</v>
      </c>
      <c r="E6203" s="1">
        <v>7.1999999999999998E-3</v>
      </c>
      <c r="F6203" s="1">
        <v>1.0999999999999999E-2</v>
      </c>
      <c r="G6203">
        <v>1909</v>
      </c>
      <c r="H6203">
        <v>2262</v>
      </c>
      <c r="I6203">
        <v>10430</v>
      </c>
    </row>
    <row r="6204" spans="1:9">
      <c r="A6204" s="25" t="s">
        <v>189</v>
      </c>
      <c r="B6204" t="s">
        <v>198</v>
      </c>
      <c r="C6204" t="s">
        <v>1639</v>
      </c>
      <c r="D6204" s="1">
        <v>5.9999999999999995E-4</v>
      </c>
      <c r="E6204" s="1">
        <v>2.0999999999999999E-3</v>
      </c>
      <c r="F6204" s="1">
        <v>3.7000000000000002E-3</v>
      </c>
      <c r="G6204">
        <v>1909</v>
      </c>
      <c r="H6204">
        <v>2262</v>
      </c>
      <c r="I6204">
        <v>10430</v>
      </c>
    </row>
    <row r="6205" spans="1:9">
      <c r="A6205" s="25" t="s">
        <v>189</v>
      </c>
      <c r="B6205" t="s">
        <v>198</v>
      </c>
      <c r="C6205" t="s">
        <v>1640</v>
      </c>
      <c r="D6205" s="1">
        <v>5.3E-3</v>
      </c>
      <c r="E6205" s="1">
        <v>1.9300000000000001E-2</v>
      </c>
      <c r="F6205" s="1">
        <v>1.83E-2</v>
      </c>
      <c r="G6205">
        <v>1909</v>
      </c>
      <c r="H6205">
        <v>2262</v>
      </c>
      <c r="I6205">
        <v>10430</v>
      </c>
    </row>
    <row r="6206" spans="1:9">
      <c r="A6206" s="25" t="s">
        <v>189</v>
      </c>
      <c r="B6206" t="s">
        <v>198</v>
      </c>
      <c r="C6206" t="s">
        <v>1641</v>
      </c>
      <c r="D6206" s="1">
        <v>2.8299999999999999E-2</v>
      </c>
      <c r="E6206" s="1">
        <v>0.111</v>
      </c>
      <c r="F6206" s="1">
        <v>8.7599999999999997E-2</v>
      </c>
      <c r="G6206">
        <v>1909</v>
      </c>
      <c r="H6206">
        <v>2262</v>
      </c>
      <c r="I6206">
        <v>10430</v>
      </c>
    </row>
    <row r="6207" spans="1:9">
      <c r="A6207" s="25" t="s">
        <v>189</v>
      </c>
      <c r="B6207" t="s">
        <v>198</v>
      </c>
      <c r="C6207" t="s">
        <v>1651</v>
      </c>
      <c r="D6207" s="1">
        <v>1.1000000000000001E-3</v>
      </c>
      <c r="E6207" s="1">
        <v>4.1999999999999997E-3</v>
      </c>
      <c r="F6207" s="1">
        <v>1.24E-2</v>
      </c>
      <c r="G6207">
        <v>1909</v>
      </c>
      <c r="H6207">
        <v>2262</v>
      </c>
      <c r="I6207">
        <v>10430</v>
      </c>
    </row>
    <row r="6208" spans="1:9">
      <c r="A6208" s="25" t="s">
        <v>189</v>
      </c>
      <c r="B6208" t="s">
        <v>198</v>
      </c>
      <c r="C6208" t="s">
        <v>1642</v>
      </c>
      <c r="D6208" s="1">
        <v>3.8E-3</v>
      </c>
      <c r="E6208" s="1">
        <v>3.49E-2</v>
      </c>
      <c r="F6208" s="1">
        <v>3.1899999999999998E-2</v>
      </c>
      <c r="G6208">
        <v>1909</v>
      </c>
      <c r="H6208">
        <v>2262</v>
      </c>
      <c r="I6208">
        <v>10430</v>
      </c>
    </row>
    <row r="6209" spans="1:9">
      <c r="A6209" s="25" t="s">
        <v>189</v>
      </c>
      <c r="B6209" t="s">
        <v>198</v>
      </c>
      <c r="C6209" t="s">
        <v>1643</v>
      </c>
      <c r="D6209" s="1">
        <v>4.5999999999999999E-3</v>
      </c>
      <c r="E6209" s="1">
        <v>2.7000000000000001E-3</v>
      </c>
      <c r="F6209" s="1">
        <v>4.1000000000000003E-3</v>
      </c>
      <c r="G6209">
        <v>1909</v>
      </c>
      <c r="H6209">
        <v>2262</v>
      </c>
      <c r="I6209">
        <v>10430</v>
      </c>
    </row>
    <row r="6210" spans="1:9">
      <c r="A6210" s="25" t="s">
        <v>189</v>
      </c>
      <c r="B6210" t="s">
        <v>198</v>
      </c>
      <c r="C6210" t="s">
        <v>1644</v>
      </c>
      <c r="D6210" s="1">
        <v>2.9999999999999997E-4</v>
      </c>
      <c r="E6210" s="1">
        <v>5.7999999999999996E-3</v>
      </c>
      <c r="F6210" s="1">
        <v>8.8000000000000005E-3</v>
      </c>
      <c r="G6210">
        <v>1909</v>
      </c>
      <c r="H6210">
        <v>2262</v>
      </c>
      <c r="I6210">
        <v>10430</v>
      </c>
    </row>
    <row r="6211" spans="1:9">
      <c r="A6211" s="25" t="s">
        <v>189</v>
      </c>
      <c r="B6211" t="s">
        <v>198</v>
      </c>
      <c r="C6211" t="s">
        <v>1646</v>
      </c>
      <c r="D6211" s="1">
        <v>3.0000000000000001E-3</v>
      </c>
      <c r="E6211" s="1">
        <v>1.7899999999999999E-2</v>
      </c>
      <c r="F6211" s="1">
        <v>4.1500000000000002E-2</v>
      </c>
      <c r="G6211">
        <v>1909</v>
      </c>
      <c r="H6211">
        <v>2262</v>
      </c>
      <c r="I6211">
        <v>10430</v>
      </c>
    </row>
    <row r="6212" spans="1:9">
      <c r="A6212" s="25" t="s">
        <v>189</v>
      </c>
      <c r="B6212" t="s">
        <v>198</v>
      </c>
      <c r="C6212" t="s">
        <v>1647</v>
      </c>
      <c r="D6212" s="1">
        <v>6.8999999999999999E-3</v>
      </c>
      <c r="E6212" s="1">
        <v>2.23E-2</v>
      </c>
      <c r="F6212" s="1">
        <v>4.1500000000000002E-2</v>
      </c>
      <c r="G6212">
        <v>1909</v>
      </c>
      <c r="H6212">
        <v>2262</v>
      </c>
      <c r="I6212">
        <v>10430</v>
      </c>
    </row>
    <row r="6213" spans="1:9">
      <c r="A6213" s="25" t="s">
        <v>189</v>
      </c>
      <c r="B6213" t="s">
        <v>198</v>
      </c>
      <c r="C6213" t="s">
        <v>1648</v>
      </c>
      <c r="D6213" s="1">
        <v>0.41949999999999998</v>
      </c>
      <c r="E6213" s="1">
        <v>0.15620000000000001</v>
      </c>
      <c r="F6213" s="1">
        <v>5.5800000000000002E-2</v>
      </c>
      <c r="G6213">
        <v>1909</v>
      </c>
      <c r="H6213">
        <v>2262</v>
      </c>
      <c r="I6213">
        <v>10430</v>
      </c>
    </row>
    <row r="6214" spans="1:9">
      <c r="A6214" s="25" t="s">
        <v>189</v>
      </c>
      <c r="B6214" t="s">
        <v>198</v>
      </c>
      <c r="C6214" t="s">
        <v>1649</v>
      </c>
      <c r="D6214" s="1">
        <v>0.18099999999999999</v>
      </c>
      <c r="E6214" s="1">
        <v>6.0199999999999997E-2</v>
      </c>
      <c r="F6214" s="1">
        <v>4.5499999999999999E-2</v>
      </c>
      <c r="G6214">
        <v>1909</v>
      </c>
      <c r="H6214">
        <v>2262</v>
      </c>
      <c r="I6214">
        <v>10430</v>
      </c>
    </row>
    <row r="6215" spans="1:9">
      <c r="A6215" s="25" t="s">
        <v>189</v>
      </c>
      <c r="B6215" t="s">
        <v>198</v>
      </c>
      <c r="C6215" t="s">
        <v>324</v>
      </c>
      <c r="D6215" s="1">
        <v>0.1807</v>
      </c>
      <c r="E6215" s="1">
        <v>0.23669999999999999</v>
      </c>
      <c r="F6215" s="1">
        <v>0.30990000000000001</v>
      </c>
      <c r="G6215">
        <v>1909</v>
      </c>
      <c r="H6215">
        <v>2262</v>
      </c>
      <c r="I6215">
        <v>10430</v>
      </c>
    </row>
    <row r="6216" spans="1:9">
      <c r="A6216" s="25" t="s">
        <v>189</v>
      </c>
      <c r="B6216" t="s">
        <v>198</v>
      </c>
      <c r="C6216" t="s">
        <v>269</v>
      </c>
      <c r="D6216" s="1">
        <v>2.7000000000000001E-3</v>
      </c>
      <c r="E6216" s="1">
        <v>3.7000000000000002E-3</v>
      </c>
      <c r="F6216" s="1">
        <v>2.3999999999999998E-3</v>
      </c>
      <c r="G6216">
        <v>1909</v>
      </c>
      <c r="H6216">
        <v>2262</v>
      </c>
      <c r="I6216">
        <v>10430</v>
      </c>
    </row>
    <row r="6217" spans="1:9">
      <c r="A6217" s="25" t="s">
        <v>189</v>
      </c>
      <c r="B6217" t="s">
        <v>198</v>
      </c>
      <c r="C6217" t="s">
        <v>243</v>
      </c>
      <c r="D6217" s="1">
        <v>5.0000000000000001E-4</v>
      </c>
      <c r="F6217" s="1">
        <v>2.9999999999999997E-4</v>
      </c>
      <c r="G6217">
        <v>1909</v>
      </c>
      <c r="H6217">
        <v>2262</v>
      </c>
      <c r="I6217">
        <v>10430</v>
      </c>
    </row>
    <row r="6218" spans="1:9">
      <c r="A6218" s="25" t="s">
        <v>189</v>
      </c>
      <c r="B6218" t="s">
        <v>198</v>
      </c>
      <c r="C6218" t="s">
        <v>1650</v>
      </c>
      <c r="D6218" s="1">
        <v>2.8999999999999998E-3</v>
      </c>
      <c r="E6218" s="1">
        <v>1.6000000000000001E-3</v>
      </c>
      <c r="F6218" s="1">
        <v>2.3E-3</v>
      </c>
      <c r="G6218">
        <v>1909</v>
      </c>
      <c r="H6218">
        <v>2262</v>
      </c>
      <c r="I6218">
        <v>10430</v>
      </c>
    </row>
    <row r="6219" spans="1:9">
      <c r="A6219" s="25" t="s">
        <v>189</v>
      </c>
      <c r="B6219" t="s">
        <v>199</v>
      </c>
      <c r="C6219" t="s">
        <v>1631</v>
      </c>
      <c r="D6219" s="1">
        <v>1.1999999999999999E-3</v>
      </c>
      <c r="E6219" s="1">
        <v>6.1000000000000004E-3</v>
      </c>
      <c r="F6219" s="1">
        <v>8.9999999999999993E-3</v>
      </c>
      <c r="G6219">
        <v>8519</v>
      </c>
      <c r="H6219">
        <v>8168</v>
      </c>
      <c r="I6219">
        <v>10430</v>
      </c>
    </row>
    <row r="6220" spans="1:9">
      <c r="A6220" s="25" t="s">
        <v>189</v>
      </c>
      <c r="B6220" t="s">
        <v>199</v>
      </c>
      <c r="C6220" t="s">
        <v>241</v>
      </c>
      <c r="D6220" s="1">
        <v>1.3100000000000001E-2</v>
      </c>
      <c r="E6220" s="1">
        <v>2.8000000000000001E-2</v>
      </c>
      <c r="F6220" s="1">
        <v>5.2400000000000002E-2</v>
      </c>
      <c r="G6220">
        <v>8519</v>
      </c>
      <c r="H6220">
        <v>8168</v>
      </c>
      <c r="I6220">
        <v>10430</v>
      </c>
    </row>
    <row r="6221" spans="1:9">
      <c r="A6221" s="25" t="s">
        <v>189</v>
      </c>
      <c r="B6221" t="s">
        <v>199</v>
      </c>
      <c r="C6221" t="s">
        <v>1632</v>
      </c>
      <c r="D6221" s="1">
        <v>1.52E-2</v>
      </c>
      <c r="E6221" s="1">
        <v>0.04</v>
      </c>
      <c r="F6221" s="1">
        <v>0.05</v>
      </c>
      <c r="G6221">
        <v>8519</v>
      </c>
      <c r="H6221">
        <v>8168</v>
      </c>
      <c r="I6221">
        <v>10430</v>
      </c>
    </row>
    <row r="6222" spans="1:9">
      <c r="A6222" s="25" t="s">
        <v>189</v>
      </c>
      <c r="B6222" t="s">
        <v>199</v>
      </c>
      <c r="C6222" t="s">
        <v>1633</v>
      </c>
      <c r="D6222" s="1">
        <v>9.4999999999999998E-3</v>
      </c>
      <c r="E6222" s="1">
        <v>1.4200000000000001E-2</v>
      </c>
      <c r="F6222" s="1">
        <v>1.9699999999999999E-2</v>
      </c>
      <c r="G6222">
        <v>8519</v>
      </c>
      <c r="H6222">
        <v>8168</v>
      </c>
      <c r="I6222">
        <v>10430</v>
      </c>
    </row>
    <row r="6223" spans="1:9">
      <c r="A6223" s="25" t="s">
        <v>189</v>
      </c>
      <c r="B6223" t="s">
        <v>199</v>
      </c>
      <c r="C6223" t="s">
        <v>1634</v>
      </c>
      <c r="D6223" s="1">
        <v>1E-3</v>
      </c>
      <c r="E6223" s="1">
        <v>3.3999999999999998E-3</v>
      </c>
      <c r="F6223" s="1">
        <v>5.7000000000000002E-3</v>
      </c>
      <c r="G6223">
        <v>8519</v>
      </c>
      <c r="H6223">
        <v>8168</v>
      </c>
      <c r="I6223">
        <v>10430</v>
      </c>
    </row>
    <row r="6224" spans="1:9">
      <c r="A6224" s="25" t="s">
        <v>189</v>
      </c>
      <c r="B6224" t="s">
        <v>199</v>
      </c>
      <c r="C6224" t="s">
        <v>1635</v>
      </c>
      <c r="D6224" s="1">
        <v>2.76E-2</v>
      </c>
      <c r="E6224" s="1">
        <v>8.8900000000000007E-2</v>
      </c>
      <c r="F6224" s="1">
        <v>7.1199999999999999E-2</v>
      </c>
      <c r="G6224">
        <v>8519</v>
      </c>
      <c r="H6224">
        <v>8168</v>
      </c>
      <c r="I6224">
        <v>10430</v>
      </c>
    </row>
    <row r="6225" spans="1:9">
      <c r="A6225" s="25" t="s">
        <v>189</v>
      </c>
      <c r="B6225" t="s">
        <v>199</v>
      </c>
      <c r="C6225" t="s">
        <v>1636</v>
      </c>
      <c r="D6225" s="1">
        <v>2.0000000000000001E-4</v>
      </c>
      <c r="E6225" s="1">
        <v>1.9E-3</v>
      </c>
      <c r="F6225" s="1">
        <v>5.1999999999999998E-3</v>
      </c>
      <c r="G6225">
        <v>8519</v>
      </c>
      <c r="H6225">
        <v>8168</v>
      </c>
      <c r="I6225">
        <v>10430</v>
      </c>
    </row>
    <row r="6226" spans="1:9">
      <c r="A6226" s="25" t="s">
        <v>189</v>
      </c>
      <c r="B6226" t="s">
        <v>199</v>
      </c>
      <c r="C6226" t="s">
        <v>1637</v>
      </c>
      <c r="D6226" s="1">
        <v>2.75E-2</v>
      </c>
      <c r="E6226" s="1">
        <v>4.1300000000000003E-2</v>
      </c>
      <c r="F6226" s="1">
        <v>3.2099999999999997E-2</v>
      </c>
      <c r="G6226">
        <v>8519</v>
      </c>
      <c r="H6226">
        <v>8168</v>
      </c>
      <c r="I6226">
        <v>10430</v>
      </c>
    </row>
    <row r="6227" spans="1:9">
      <c r="A6227" s="25" t="s">
        <v>189</v>
      </c>
      <c r="B6227" t="s">
        <v>199</v>
      </c>
      <c r="C6227" t="s">
        <v>1638</v>
      </c>
      <c r="D6227" s="1">
        <v>3.0000000000000001E-3</v>
      </c>
      <c r="E6227" s="1">
        <v>7.4000000000000003E-3</v>
      </c>
      <c r="F6227" s="1">
        <v>1.03E-2</v>
      </c>
      <c r="G6227">
        <v>8519</v>
      </c>
      <c r="H6227">
        <v>8168</v>
      </c>
      <c r="I6227">
        <v>10430</v>
      </c>
    </row>
    <row r="6228" spans="1:9">
      <c r="A6228" s="25" t="s">
        <v>189</v>
      </c>
      <c r="B6228" t="s">
        <v>199</v>
      </c>
      <c r="C6228" t="s">
        <v>1639</v>
      </c>
      <c r="D6228" s="1">
        <v>2.2000000000000001E-3</v>
      </c>
      <c r="E6228" s="1">
        <v>5.0000000000000001E-3</v>
      </c>
      <c r="F6228" s="1">
        <v>4.1999999999999997E-3</v>
      </c>
      <c r="G6228">
        <v>8519</v>
      </c>
      <c r="H6228">
        <v>8168</v>
      </c>
      <c r="I6228">
        <v>10430</v>
      </c>
    </row>
    <row r="6229" spans="1:9">
      <c r="A6229" s="25" t="s">
        <v>189</v>
      </c>
      <c r="B6229" t="s">
        <v>199</v>
      </c>
      <c r="C6229" t="s">
        <v>1640</v>
      </c>
      <c r="D6229" s="1">
        <v>3.7000000000000002E-3</v>
      </c>
      <c r="E6229" s="1">
        <v>1.24E-2</v>
      </c>
      <c r="F6229" s="1">
        <v>1.2200000000000001E-2</v>
      </c>
      <c r="G6229">
        <v>8519</v>
      </c>
      <c r="H6229">
        <v>8168</v>
      </c>
      <c r="I6229">
        <v>10430</v>
      </c>
    </row>
    <row r="6230" spans="1:9">
      <c r="A6230" s="25" t="s">
        <v>189</v>
      </c>
      <c r="B6230" t="s">
        <v>199</v>
      </c>
      <c r="C6230" t="s">
        <v>1641</v>
      </c>
      <c r="D6230" s="1">
        <v>1.14E-2</v>
      </c>
      <c r="E6230" s="1">
        <v>6.1800000000000001E-2</v>
      </c>
      <c r="F6230" s="1">
        <v>7.4099999999999999E-2</v>
      </c>
      <c r="G6230">
        <v>8519</v>
      </c>
      <c r="H6230">
        <v>8168</v>
      </c>
      <c r="I6230">
        <v>10430</v>
      </c>
    </row>
    <row r="6231" spans="1:9">
      <c r="A6231" s="25" t="s">
        <v>189</v>
      </c>
      <c r="B6231" t="s">
        <v>199</v>
      </c>
      <c r="C6231" t="s">
        <v>1651</v>
      </c>
      <c r="D6231" s="1">
        <v>5.9999999999999995E-4</v>
      </c>
      <c r="E6231" s="1">
        <v>3.5999999999999999E-3</v>
      </c>
      <c r="F6231" s="1">
        <v>5.7000000000000002E-3</v>
      </c>
      <c r="G6231">
        <v>8519</v>
      </c>
      <c r="H6231">
        <v>8168</v>
      </c>
      <c r="I6231">
        <v>10430</v>
      </c>
    </row>
    <row r="6232" spans="1:9">
      <c r="A6232" s="25" t="s">
        <v>189</v>
      </c>
      <c r="B6232" t="s">
        <v>199</v>
      </c>
      <c r="C6232" t="s">
        <v>1642</v>
      </c>
      <c r="D6232" s="1">
        <v>1.0999999999999999E-2</v>
      </c>
      <c r="E6232" s="1">
        <v>4.8800000000000003E-2</v>
      </c>
      <c r="F6232" s="1">
        <v>0.05</v>
      </c>
      <c r="G6232">
        <v>8519</v>
      </c>
      <c r="H6232">
        <v>8168</v>
      </c>
      <c r="I6232">
        <v>10430</v>
      </c>
    </row>
    <row r="6233" spans="1:9">
      <c r="A6233" s="25" t="s">
        <v>189</v>
      </c>
      <c r="B6233" t="s">
        <v>199</v>
      </c>
      <c r="C6233" t="s">
        <v>1643</v>
      </c>
      <c r="D6233" s="1">
        <v>2.8999999999999998E-3</v>
      </c>
      <c r="E6233" s="1">
        <v>5.5999999999999999E-3</v>
      </c>
      <c r="F6233" s="1">
        <v>1.06E-2</v>
      </c>
      <c r="G6233">
        <v>8519</v>
      </c>
      <c r="H6233">
        <v>8168</v>
      </c>
      <c r="I6233">
        <v>10430</v>
      </c>
    </row>
    <row r="6234" spans="1:9">
      <c r="A6234" s="25" t="s">
        <v>189</v>
      </c>
      <c r="B6234" t="s">
        <v>199</v>
      </c>
      <c r="C6234" t="s">
        <v>1644</v>
      </c>
      <c r="D6234" s="1">
        <v>1.1999999999999999E-3</v>
      </c>
      <c r="E6234" s="1">
        <v>5.4000000000000003E-3</v>
      </c>
      <c r="F6234" s="1">
        <v>1.41E-2</v>
      </c>
      <c r="G6234">
        <v>8519</v>
      </c>
      <c r="H6234">
        <v>8168</v>
      </c>
      <c r="I6234">
        <v>10430</v>
      </c>
    </row>
    <row r="6235" spans="1:9">
      <c r="A6235" s="25" t="s">
        <v>189</v>
      </c>
      <c r="B6235" t="s">
        <v>199</v>
      </c>
      <c r="C6235" t="s">
        <v>1645</v>
      </c>
      <c r="D6235" s="1">
        <v>1E-3</v>
      </c>
      <c r="E6235" s="1">
        <v>8.9999999999999998E-4</v>
      </c>
      <c r="F6235" s="1">
        <v>4.7000000000000002E-3</v>
      </c>
      <c r="G6235">
        <v>8519</v>
      </c>
      <c r="H6235">
        <v>8168</v>
      </c>
      <c r="I6235">
        <v>10430</v>
      </c>
    </row>
    <row r="6236" spans="1:9">
      <c r="A6236" s="25" t="s">
        <v>189</v>
      </c>
      <c r="B6236" t="s">
        <v>199</v>
      </c>
      <c r="C6236" t="s">
        <v>1646</v>
      </c>
      <c r="D6236" s="1">
        <v>1.4E-3</v>
      </c>
      <c r="E6236" s="1">
        <v>1.26E-2</v>
      </c>
      <c r="F6236" s="1">
        <v>2.2499999999999999E-2</v>
      </c>
      <c r="G6236">
        <v>8519</v>
      </c>
      <c r="H6236">
        <v>8168</v>
      </c>
      <c r="I6236">
        <v>10430</v>
      </c>
    </row>
    <row r="6237" spans="1:9">
      <c r="A6237" s="25" t="s">
        <v>189</v>
      </c>
      <c r="B6237" t="s">
        <v>199</v>
      </c>
      <c r="C6237" t="s">
        <v>1647</v>
      </c>
      <c r="D6237" s="1">
        <v>5.1999999999999998E-3</v>
      </c>
      <c r="E6237" s="1">
        <v>1.8200000000000001E-2</v>
      </c>
      <c r="F6237" s="1">
        <v>2.5499999999999998E-2</v>
      </c>
      <c r="G6237">
        <v>8519</v>
      </c>
      <c r="H6237">
        <v>8168</v>
      </c>
      <c r="I6237">
        <v>10430</v>
      </c>
    </row>
    <row r="6238" spans="1:9">
      <c r="A6238" s="25" t="s">
        <v>189</v>
      </c>
      <c r="B6238" t="s">
        <v>199</v>
      </c>
      <c r="C6238" t="s">
        <v>1648</v>
      </c>
      <c r="D6238" s="1">
        <v>0.25719999999999998</v>
      </c>
      <c r="E6238" s="1">
        <v>0.13239999999999999</v>
      </c>
      <c r="F6238" s="1">
        <v>5.2900000000000003E-2</v>
      </c>
      <c r="G6238">
        <v>8519</v>
      </c>
      <c r="H6238">
        <v>8168</v>
      </c>
      <c r="I6238">
        <v>10430</v>
      </c>
    </row>
    <row r="6239" spans="1:9">
      <c r="A6239" s="25" t="s">
        <v>189</v>
      </c>
      <c r="B6239" t="s">
        <v>199</v>
      </c>
      <c r="C6239" t="s">
        <v>1649</v>
      </c>
      <c r="D6239" s="1">
        <v>0.21820000000000001</v>
      </c>
      <c r="E6239" s="1">
        <v>6.8099999999999994E-2</v>
      </c>
      <c r="F6239" s="1">
        <v>3.85E-2</v>
      </c>
      <c r="G6239">
        <v>8519</v>
      </c>
      <c r="H6239">
        <v>8168</v>
      </c>
      <c r="I6239">
        <v>10430</v>
      </c>
    </row>
    <row r="6240" spans="1:9">
      <c r="A6240" s="25" t="s">
        <v>189</v>
      </c>
      <c r="B6240" t="s">
        <v>199</v>
      </c>
      <c r="C6240" t="s">
        <v>324</v>
      </c>
      <c r="D6240" s="1">
        <v>0.38090000000000002</v>
      </c>
      <c r="E6240" s="1">
        <v>0.38369999999999999</v>
      </c>
      <c r="F6240" s="1">
        <v>0.40939999999999999</v>
      </c>
      <c r="G6240">
        <v>8519</v>
      </c>
      <c r="H6240">
        <v>8168</v>
      </c>
      <c r="I6240">
        <v>10430</v>
      </c>
    </row>
    <row r="6241" spans="1:9">
      <c r="A6241" s="25" t="s">
        <v>189</v>
      </c>
      <c r="B6241" t="s">
        <v>199</v>
      </c>
      <c r="C6241" t="s">
        <v>269</v>
      </c>
      <c r="D6241" s="1">
        <v>2E-3</v>
      </c>
      <c r="E6241" s="1">
        <v>4.4999999999999997E-3</v>
      </c>
      <c r="F6241" s="1">
        <v>8.6E-3</v>
      </c>
      <c r="G6241">
        <v>8519</v>
      </c>
      <c r="H6241">
        <v>8168</v>
      </c>
      <c r="I6241">
        <v>10430</v>
      </c>
    </row>
    <row r="6242" spans="1:9">
      <c r="A6242" s="25" t="s">
        <v>189</v>
      </c>
      <c r="B6242" t="s">
        <v>199</v>
      </c>
      <c r="C6242" t="s">
        <v>243</v>
      </c>
      <c r="D6242" s="1">
        <v>2.5000000000000001E-3</v>
      </c>
      <c r="E6242" s="1">
        <v>1E-4</v>
      </c>
      <c r="F6242" s="1">
        <v>2E-3</v>
      </c>
      <c r="G6242">
        <v>8519</v>
      </c>
      <c r="H6242">
        <v>8168</v>
      </c>
      <c r="I6242">
        <v>10430</v>
      </c>
    </row>
    <row r="6243" spans="1:9">
      <c r="A6243" s="25" t="s">
        <v>189</v>
      </c>
      <c r="B6243" t="s">
        <v>199</v>
      </c>
      <c r="C6243" t="s">
        <v>1650</v>
      </c>
      <c r="D6243" s="1">
        <v>4.0000000000000002E-4</v>
      </c>
      <c r="E6243" s="1">
        <v>5.8999999999999999E-3</v>
      </c>
      <c r="F6243" s="1">
        <v>9.4999999999999998E-3</v>
      </c>
      <c r="G6243">
        <v>8519</v>
      </c>
      <c r="H6243">
        <v>8168</v>
      </c>
      <c r="I6243">
        <v>10430</v>
      </c>
    </row>
    <row r="6244" spans="1:9">
      <c r="A6244" s="25" t="s">
        <v>192</v>
      </c>
      <c r="B6244" t="s">
        <v>192</v>
      </c>
      <c r="C6244" t="s">
        <v>1631</v>
      </c>
      <c r="D6244" s="1">
        <v>1.1000000000000001E-3</v>
      </c>
      <c r="E6244" s="1">
        <v>4.7999999999999996E-3</v>
      </c>
      <c r="F6244" s="1">
        <v>7.4000000000000003E-3</v>
      </c>
      <c r="G6244">
        <v>10430</v>
      </c>
      <c r="H6244">
        <v>10430</v>
      </c>
      <c r="I6244">
        <v>10430</v>
      </c>
    </row>
    <row r="6245" spans="1:9">
      <c r="A6245" s="25" t="s">
        <v>192</v>
      </c>
      <c r="B6245" t="s">
        <v>192</v>
      </c>
      <c r="C6245" t="s">
        <v>241</v>
      </c>
      <c r="D6245" s="1">
        <v>1.21E-2</v>
      </c>
      <c r="E6245" s="1">
        <v>2.9100000000000001E-2</v>
      </c>
      <c r="F6245" s="1">
        <v>5.5599999999999997E-2</v>
      </c>
      <c r="G6245">
        <v>10430</v>
      </c>
      <c r="H6245">
        <v>10430</v>
      </c>
      <c r="I6245">
        <v>10430</v>
      </c>
    </row>
    <row r="6246" spans="1:9">
      <c r="A6246" s="25" t="s">
        <v>192</v>
      </c>
      <c r="B6246" t="s">
        <v>192</v>
      </c>
      <c r="C6246" t="s">
        <v>1632</v>
      </c>
      <c r="D6246" s="1">
        <v>1.4500000000000001E-2</v>
      </c>
      <c r="E6246" s="1">
        <v>3.9699999999999999E-2</v>
      </c>
      <c r="F6246" s="1">
        <v>4.8500000000000001E-2</v>
      </c>
      <c r="G6246">
        <v>10430</v>
      </c>
      <c r="H6246">
        <v>10430</v>
      </c>
      <c r="I6246">
        <v>10430</v>
      </c>
    </row>
    <row r="6247" spans="1:9">
      <c r="A6247" s="25" t="s">
        <v>192</v>
      </c>
      <c r="B6247" t="s">
        <v>192</v>
      </c>
      <c r="C6247" t="s">
        <v>1633</v>
      </c>
      <c r="D6247" s="1">
        <v>1.0699999999999999E-2</v>
      </c>
      <c r="E6247" s="1">
        <v>1.2999999999999999E-2</v>
      </c>
      <c r="F6247" s="1">
        <v>1.7600000000000001E-2</v>
      </c>
      <c r="G6247">
        <v>10430</v>
      </c>
      <c r="H6247">
        <v>10430</v>
      </c>
      <c r="I6247">
        <v>10430</v>
      </c>
    </row>
    <row r="6248" spans="1:9">
      <c r="A6248" s="25" t="s">
        <v>192</v>
      </c>
      <c r="B6248" t="s">
        <v>192</v>
      </c>
      <c r="C6248" t="s">
        <v>1634</v>
      </c>
      <c r="D6248" s="1">
        <v>1E-3</v>
      </c>
      <c r="E6248" s="1">
        <v>2.8999999999999998E-3</v>
      </c>
      <c r="F6248" s="1">
        <v>7.1000000000000004E-3</v>
      </c>
      <c r="G6248">
        <v>10430</v>
      </c>
      <c r="H6248">
        <v>10430</v>
      </c>
      <c r="I6248">
        <v>10430</v>
      </c>
    </row>
    <row r="6249" spans="1:9">
      <c r="A6249" s="25" t="s">
        <v>192</v>
      </c>
      <c r="B6249" t="s">
        <v>192</v>
      </c>
      <c r="C6249" t="s">
        <v>1635</v>
      </c>
      <c r="D6249" s="1">
        <v>4.1200000000000001E-2</v>
      </c>
      <c r="E6249" s="1">
        <v>0.10920000000000001</v>
      </c>
      <c r="F6249" s="1">
        <v>8.8099999999999998E-2</v>
      </c>
      <c r="G6249">
        <v>10430</v>
      </c>
      <c r="H6249">
        <v>10430</v>
      </c>
      <c r="I6249">
        <v>10430</v>
      </c>
    </row>
    <row r="6250" spans="1:9">
      <c r="A6250" s="25" t="s">
        <v>192</v>
      </c>
      <c r="B6250" t="s">
        <v>192</v>
      </c>
      <c r="C6250" t="s">
        <v>1636</v>
      </c>
      <c r="D6250" s="1">
        <v>2.0000000000000001E-4</v>
      </c>
      <c r="E6250" s="1">
        <v>1.8E-3</v>
      </c>
      <c r="F6250" s="1">
        <v>5.1999999999999998E-3</v>
      </c>
      <c r="G6250">
        <v>10430</v>
      </c>
      <c r="H6250">
        <v>10430</v>
      </c>
      <c r="I6250">
        <v>10430</v>
      </c>
    </row>
    <row r="6251" spans="1:9">
      <c r="A6251" s="25" t="s">
        <v>192</v>
      </c>
      <c r="B6251" t="s">
        <v>192</v>
      </c>
      <c r="C6251" t="s">
        <v>1637</v>
      </c>
      <c r="D6251" s="1">
        <v>2.53E-2</v>
      </c>
      <c r="E6251" s="1">
        <v>4.3900000000000002E-2</v>
      </c>
      <c r="F6251" s="1">
        <v>3.6700000000000003E-2</v>
      </c>
      <c r="G6251">
        <v>10430</v>
      </c>
      <c r="H6251">
        <v>10430</v>
      </c>
      <c r="I6251">
        <v>10430</v>
      </c>
    </row>
    <row r="6252" spans="1:9">
      <c r="A6252" s="25" t="s">
        <v>192</v>
      </c>
      <c r="B6252" t="s">
        <v>192</v>
      </c>
      <c r="C6252" t="s">
        <v>1638</v>
      </c>
      <c r="D6252" s="1">
        <v>3.0999999999999999E-3</v>
      </c>
      <c r="E6252" s="1">
        <v>7.3000000000000001E-3</v>
      </c>
      <c r="F6252" s="1">
        <v>1.0500000000000001E-2</v>
      </c>
      <c r="G6252">
        <v>10430</v>
      </c>
      <c r="H6252">
        <v>10430</v>
      </c>
      <c r="I6252">
        <v>10430</v>
      </c>
    </row>
    <row r="6253" spans="1:9">
      <c r="A6253" s="25" t="s">
        <v>192</v>
      </c>
      <c r="B6253" t="s">
        <v>192</v>
      </c>
      <c r="C6253" t="s">
        <v>1639</v>
      </c>
      <c r="D6253" s="1">
        <v>1.9E-3</v>
      </c>
      <c r="E6253" s="1">
        <v>4.3E-3</v>
      </c>
      <c r="F6253" s="1">
        <v>4.0000000000000001E-3</v>
      </c>
      <c r="G6253">
        <v>10430</v>
      </c>
      <c r="H6253">
        <v>10430</v>
      </c>
      <c r="I6253">
        <v>10430</v>
      </c>
    </row>
    <row r="6254" spans="1:9">
      <c r="A6254" s="25" t="s">
        <v>192</v>
      </c>
      <c r="B6254" t="s">
        <v>192</v>
      </c>
      <c r="C6254" t="s">
        <v>1640</v>
      </c>
      <c r="D6254" s="1">
        <v>4.0000000000000001E-3</v>
      </c>
      <c r="E6254" s="1">
        <v>1.4E-2</v>
      </c>
      <c r="F6254" s="1">
        <v>1.38E-2</v>
      </c>
      <c r="G6254">
        <v>10430</v>
      </c>
      <c r="H6254">
        <v>10430</v>
      </c>
      <c r="I6254">
        <v>10430</v>
      </c>
    </row>
    <row r="6255" spans="1:9">
      <c r="A6255" s="25" t="s">
        <v>192</v>
      </c>
      <c r="B6255" t="s">
        <v>192</v>
      </c>
      <c r="C6255" t="s">
        <v>1641</v>
      </c>
      <c r="D6255" s="1">
        <v>1.4500000000000001E-2</v>
      </c>
      <c r="E6255" s="1">
        <v>7.3200000000000001E-2</v>
      </c>
      <c r="F6255" s="1">
        <v>7.7799999999999994E-2</v>
      </c>
      <c r="G6255">
        <v>10430</v>
      </c>
      <c r="H6255">
        <v>10430</v>
      </c>
      <c r="I6255">
        <v>10430</v>
      </c>
    </row>
    <row r="6256" spans="1:9">
      <c r="A6256" s="25" t="s">
        <v>192</v>
      </c>
      <c r="B6256" t="s">
        <v>192</v>
      </c>
      <c r="C6256" t="s">
        <v>1651</v>
      </c>
      <c r="D6256" s="1">
        <v>6.9999999999999999E-4</v>
      </c>
      <c r="E6256" s="1">
        <v>3.8E-3</v>
      </c>
      <c r="F6256" s="1">
        <v>7.6E-3</v>
      </c>
      <c r="G6256">
        <v>10430</v>
      </c>
      <c r="H6256">
        <v>10430</v>
      </c>
      <c r="I6256">
        <v>10430</v>
      </c>
    </row>
    <row r="6257" spans="1:9">
      <c r="A6257" s="25" t="s">
        <v>192</v>
      </c>
      <c r="B6257" t="s">
        <v>192</v>
      </c>
      <c r="C6257" t="s">
        <v>1642</v>
      </c>
      <c r="D6257" s="1">
        <v>9.7000000000000003E-3</v>
      </c>
      <c r="E6257" s="1">
        <v>4.5600000000000002E-2</v>
      </c>
      <c r="F6257" s="1">
        <v>4.5100000000000001E-2</v>
      </c>
      <c r="G6257">
        <v>10430</v>
      </c>
      <c r="H6257">
        <v>10430</v>
      </c>
      <c r="I6257">
        <v>10430</v>
      </c>
    </row>
    <row r="6258" spans="1:9">
      <c r="A6258" s="25" t="s">
        <v>192</v>
      </c>
      <c r="B6258" t="s">
        <v>192</v>
      </c>
      <c r="C6258" t="s">
        <v>1643</v>
      </c>
      <c r="D6258" s="1">
        <v>3.2000000000000002E-3</v>
      </c>
      <c r="E6258" s="1">
        <v>4.8999999999999998E-3</v>
      </c>
      <c r="F6258" s="1">
        <v>8.8000000000000005E-3</v>
      </c>
      <c r="G6258">
        <v>10430</v>
      </c>
      <c r="H6258">
        <v>10430</v>
      </c>
      <c r="I6258">
        <v>10430</v>
      </c>
    </row>
    <row r="6259" spans="1:9">
      <c r="A6259" s="25" t="s">
        <v>192</v>
      </c>
      <c r="B6259" t="s">
        <v>192</v>
      </c>
      <c r="C6259" t="s">
        <v>1644</v>
      </c>
      <c r="D6259" s="1">
        <v>1E-3</v>
      </c>
      <c r="E6259" s="1">
        <v>5.4999999999999997E-3</v>
      </c>
      <c r="F6259" s="1">
        <v>1.2699999999999999E-2</v>
      </c>
      <c r="G6259">
        <v>10430</v>
      </c>
      <c r="H6259">
        <v>10430</v>
      </c>
      <c r="I6259">
        <v>10430</v>
      </c>
    </row>
    <row r="6260" spans="1:9">
      <c r="A6260" s="25" t="s">
        <v>192</v>
      </c>
      <c r="B6260" t="s">
        <v>192</v>
      </c>
      <c r="C6260" t="s">
        <v>1645</v>
      </c>
      <c r="D6260" s="1">
        <v>8.0000000000000004E-4</v>
      </c>
      <c r="E6260" s="1">
        <v>1E-3</v>
      </c>
      <c r="F6260" s="1">
        <v>3.8E-3</v>
      </c>
      <c r="G6260">
        <v>10430</v>
      </c>
      <c r="H6260">
        <v>10430</v>
      </c>
      <c r="I6260">
        <v>10430</v>
      </c>
    </row>
    <row r="6261" spans="1:9">
      <c r="A6261" s="25" t="s">
        <v>192</v>
      </c>
      <c r="B6261" t="s">
        <v>192</v>
      </c>
      <c r="C6261" t="s">
        <v>1646</v>
      </c>
      <c r="D6261" s="1">
        <v>1.6999999999999999E-3</v>
      </c>
      <c r="E6261" s="1">
        <v>1.38E-2</v>
      </c>
      <c r="F6261" s="1">
        <v>2.7699999999999999E-2</v>
      </c>
      <c r="G6261">
        <v>10430</v>
      </c>
      <c r="H6261">
        <v>10430</v>
      </c>
      <c r="I6261">
        <v>10430</v>
      </c>
    </row>
    <row r="6262" spans="1:9">
      <c r="A6262" s="25" t="s">
        <v>192</v>
      </c>
      <c r="B6262" t="s">
        <v>192</v>
      </c>
      <c r="C6262" t="s">
        <v>1647</v>
      </c>
      <c r="D6262" s="1">
        <v>5.4999999999999997E-3</v>
      </c>
      <c r="E6262" s="1">
        <v>1.9199999999999998E-2</v>
      </c>
      <c r="F6262" s="1">
        <v>2.98E-2</v>
      </c>
      <c r="G6262">
        <v>10430</v>
      </c>
      <c r="H6262">
        <v>10430</v>
      </c>
      <c r="I6262">
        <v>10430</v>
      </c>
    </row>
    <row r="6263" spans="1:9">
      <c r="A6263" s="25" t="s">
        <v>192</v>
      </c>
      <c r="B6263" t="s">
        <v>192</v>
      </c>
      <c r="C6263" t="s">
        <v>1648</v>
      </c>
      <c r="D6263" s="1">
        <v>0.28689999999999999</v>
      </c>
      <c r="E6263" s="1">
        <v>0.13789999999999999</v>
      </c>
      <c r="F6263" s="1">
        <v>5.3699999999999998E-2</v>
      </c>
      <c r="G6263">
        <v>10430</v>
      </c>
      <c r="H6263">
        <v>10430</v>
      </c>
      <c r="I6263">
        <v>10430</v>
      </c>
    </row>
    <row r="6264" spans="1:9">
      <c r="A6264" s="25" t="s">
        <v>192</v>
      </c>
      <c r="B6264" t="s">
        <v>192</v>
      </c>
      <c r="C6264" t="s">
        <v>1649</v>
      </c>
      <c r="D6264" s="1">
        <v>0.2114</v>
      </c>
      <c r="E6264" s="1">
        <v>6.6199999999999995E-2</v>
      </c>
      <c r="F6264" s="1">
        <v>4.0399999999999998E-2</v>
      </c>
      <c r="G6264">
        <v>10430</v>
      </c>
      <c r="H6264">
        <v>10430</v>
      </c>
      <c r="I6264">
        <v>10430</v>
      </c>
    </row>
    <row r="6265" spans="1:9">
      <c r="A6265" s="25" t="s">
        <v>192</v>
      </c>
      <c r="B6265" t="s">
        <v>192</v>
      </c>
      <c r="C6265" t="s">
        <v>324</v>
      </c>
      <c r="D6265" s="1">
        <v>0.34429999999999999</v>
      </c>
      <c r="E6265" s="1">
        <v>0.34960000000000002</v>
      </c>
      <c r="F6265" s="1">
        <v>0.38229999999999997</v>
      </c>
      <c r="G6265">
        <v>10430</v>
      </c>
      <c r="H6265">
        <v>10430</v>
      </c>
      <c r="I6265">
        <v>10430</v>
      </c>
    </row>
    <row r="6266" spans="1:9">
      <c r="A6266" s="25" t="s">
        <v>192</v>
      </c>
      <c r="B6266" t="s">
        <v>192</v>
      </c>
      <c r="C6266" t="s">
        <v>269</v>
      </c>
      <c r="D6266" s="1">
        <v>2.0999999999999999E-3</v>
      </c>
      <c r="E6266" s="1">
        <v>4.3E-3</v>
      </c>
      <c r="F6266" s="1">
        <v>6.8999999999999999E-3</v>
      </c>
      <c r="G6266">
        <v>10430</v>
      </c>
      <c r="H6266">
        <v>10430</v>
      </c>
      <c r="I6266">
        <v>10430</v>
      </c>
    </row>
    <row r="6267" spans="1:9">
      <c r="A6267" s="25" t="s">
        <v>192</v>
      </c>
      <c r="B6267" t="s">
        <v>192</v>
      </c>
      <c r="C6267" t="s">
        <v>243</v>
      </c>
      <c r="D6267" s="1">
        <v>2.0999999999999999E-3</v>
      </c>
      <c r="E6267" s="1">
        <v>1E-4</v>
      </c>
      <c r="F6267" s="1">
        <v>1.5E-3</v>
      </c>
      <c r="G6267">
        <v>10430</v>
      </c>
      <c r="H6267">
        <v>10430</v>
      </c>
      <c r="I6267">
        <v>10430</v>
      </c>
    </row>
    <row r="6268" spans="1:9">
      <c r="A6268" s="25" t="s">
        <v>192</v>
      </c>
      <c r="B6268" t="s">
        <v>192</v>
      </c>
      <c r="C6268" t="s">
        <v>1650</v>
      </c>
      <c r="D6268" s="1">
        <v>8.0000000000000004E-4</v>
      </c>
      <c r="E6268" s="1">
        <v>4.8999999999999998E-3</v>
      </c>
      <c r="F6268" s="1">
        <v>7.4999999999999997E-3</v>
      </c>
      <c r="G6268">
        <v>10430</v>
      </c>
      <c r="H6268">
        <v>10430</v>
      </c>
      <c r="I6268">
        <v>10430</v>
      </c>
    </row>
    <row r="6270" spans="1:9" ht="57.95">
      <c r="A6270" s="25" t="s">
        <v>1656</v>
      </c>
    </row>
    <row r="6271" spans="1:9">
      <c r="A6271" s="25" t="s">
        <v>181</v>
      </c>
      <c r="B6271" t="s">
        <v>182</v>
      </c>
      <c r="C6271" t="s">
        <v>1015</v>
      </c>
      <c r="D6271" t="s">
        <v>1628</v>
      </c>
      <c r="E6271" t="s">
        <v>1629</v>
      </c>
      <c r="F6271" t="s">
        <v>1630</v>
      </c>
      <c r="G6271" t="s">
        <v>1026</v>
      </c>
      <c r="H6271" t="s">
        <v>219</v>
      </c>
      <c r="I6271" t="s">
        <v>188</v>
      </c>
    </row>
    <row r="6272" spans="1:9">
      <c r="A6272" s="25" t="s">
        <v>189</v>
      </c>
      <c r="B6272" t="s">
        <v>201</v>
      </c>
      <c r="C6272" t="s">
        <v>1631</v>
      </c>
      <c r="D6272" s="1">
        <v>8.0000000000000004E-4</v>
      </c>
      <c r="E6272" s="1">
        <v>1.34E-2</v>
      </c>
      <c r="F6272" s="1">
        <v>1.49E-2</v>
      </c>
      <c r="G6272">
        <v>725</v>
      </c>
      <c r="H6272">
        <v>767</v>
      </c>
      <c r="I6272">
        <v>10430</v>
      </c>
    </row>
    <row r="6273" spans="1:9">
      <c r="A6273" s="25" t="s">
        <v>189</v>
      </c>
      <c r="B6273" t="s">
        <v>201</v>
      </c>
      <c r="C6273" t="s">
        <v>241</v>
      </c>
      <c r="D6273" s="1">
        <v>2.7000000000000001E-3</v>
      </c>
      <c r="E6273" s="1">
        <v>1.26E-2</v>
      </c>
      <c r="F6273" s="1">
        <v>2.8400000000000002E-2</v>
      </c>
      <c r="G6273">
        <v>725</v>
      </c>
      <c r="H6273">
        <v>767</v>
      </c>
      <c r="I6273">
        <v>10430</v>
      </c>
    </row>
    <row r="6274" spans="1:9">
      <c r="A6274" s="25" t="s">
        <v>189</v>
      </c>
      <c r="B6274" t="s">
        <v>201</v>
      </c>
      <c r="C6274" t="s">
        <v>1632</v>
      </c>
      <c r="D6274" s="1">
        <v>5.0000000000000001E-3</v>
      </c>
      <c r="E6274" s="1">
        <v>5.3800000000000001E-2</v>
      </c>
      <c r="F6274" s="1">
        <v>5.1400000000000001E-2</v>
      </c>
      <c r="G6274">
        <v>725</v>
      </c>
      <c r="H6274">
        <v>767</v>
      </c>
      <c r="I6274">
        <v>10430</v>
      </c>
    </row>
    <row r="6275" spans="1:9">
      <c r="A6275" s="25" t="s">
        <v>189</v>
      </c>
      <c r="B6275" t="s">
        <v>201</v>
      </c>
      <c r="C6275" t="s">
        <v>1633</v>
      </c>
      <c r="D6275" s="1">
        <v>7.1999999999999995E-2</v>
      </c>
      <c r="E6275" s="1">
        <v>5.7000000000000002E-2</v>
      </c>
      <c r="F6275" s="1">
        <v>3.15E-2</v>
      </c>
      <c r="G6275">
        <v>725</v>
      </c>
      <c r="H6275">
        <v>767</v>
      </c>
      <c r="I6275">
        <v>10430</v>
      </c>
    </row>
    <row r="6276" spans="1:9">
      <c r="A6276" s="25" t="s">
        <v>189</v>
      </c>
      <c r="B6276" t="s">
        <v>201</v>
      </c>
      <c r="C6276" t="s">
        <v>1634</v>
      </c>
      <c r="D6276" s="1">
        <v>4.0000000000000002E-4</v>
      </c>
      <c r="E6276" s="1">
        <v>3.0999999999999999E-3</v>
      </c>
      <c r="F6276" s="1">
        <v>5.4999999999999997E-3</v>
      </c>
      <c r="G6276">
        <v>725</v>
      </c>
      <c r="H6276">
        <v>767</v>
      </c>
      <c r="I6276">
        <v>10430</v>
      </c>
    </row>
    <row r="6277" spans="1:9">
      <c r="A6277" s="25" t="s">
        <v>189</v>
      </c>
      <c r="B6277" t="s">
        <v>201</v>
      </c>
      <c r="C6277" t="s">
        <v>1635</v>
      </c>
      <c r="D6277" s="1">
        <v>1.7299999999999999E-2</v>
      </c>
      <c r="E6277" s="1">
        <v>6.8699999999999997E-2</v>
      </c>
      <c r="F6277" s="1">
        <v>8.9099999999999999E-2</v>
      </c>
      <c r="G6277">
        <v>725</v>
      </c>
      <c r="H6277">
        <v>767</v>
      </c>
      <c r="I6277">
        <v>10430</v>
      </c>
    </row>
    <row r="6278" spans="1:9">
      <c r="A6278" s="25" t="s">
        <v>189</v>
      </c>
      <c r="B6278" t="s">
        <v>201</v>
      </c>
      <c r="C6278" t="s">
        <v>1637</v>
      </c>
      <c r="D6278" s="1">
        <v>1.8599999999999998E-2</v>
      </c>
      <c r="E6278" s="1">
        <v>5.1999999999999998E-2</v>
      </c>
      <c r="F6278" s="1">
        <v>2.01E-2</v>
      </c>
      <c r="G6278">
        <v>725</v>
      </c>
      <c r="H6278">
        <v>767</v>
      </c>
      <c r="I6278">
        <v>10430</v>
      </c>
    </row>
    <row r="6279" spans="1:9">
      <c r="A6279" s="25" t="s">
        <v>189</v>
      </c>
      <c r="B6279" t="s">
        <v>201</v>
      </c>
      <c r="C6279" t="s">
        <v>1638</v>
      </c>
      <c r="D6279" s="1">
        <v>6.9999999999999999E-4</v>
      </c>
      <c r="E6279" s="1">
        <v>5.0000000000000001E-4</v>
      </c>
      <c r="F6279" s="1">
        <v>2.3999999999999998E-3</v>
      </c>
      <c r="G6279">
        <v>725</v>
      </c>
      <c r="H6279">
        <v>767</v>
      </c>
      <c r="I6279">
        <v>10430</v>
      </c>
    </row>
    <row r="6280" spans="1:9">
      <c r="A6280" s="25" t="s">
        <v>189</v>
      </c>
      <c r="B6280" t="s">
        <v>201</v>
      </c>
      <c r="C6280" t="s">
        <v>1639</v>
      </c>
      <c r="D6280" s="1">
        <v>2.3999999999999998E-3</v>
      </c>
      <c r="E6280" s="1">
        <v>3.8E-3</v>
      </c>
      <c r="F6280" s="1">
        <v>1.6999999999999999E-3</v>
      </c>
      <c r="G6280">
        <v>725</v>
      </c>
      <c r="H6280">
        <v>767</v>
      </c>
      <c r="I6280">
        <v>10430</v>
      </c>
    </row>
    <row r="6281" spans="1:9">
      <c r="A6281" s="25" t="s">
        <v>189</v>
      </c>
      <c r="B6281" t="s">
        <v>201</v>
      </c>
      <c r="C6281" t="s">
        <v>1640</v>
      </c>
      <c r="D6281" s="1">
        <v>5.1000000000000004E-3</v>
      </c>
      <c r="E6281" s="1">
        <v>1.15E-2</v>
      </c>
      <c r="F6281" s="1">
        <v>2.2100000000000002E-2</v>
      </c>
      <c r="G6281">
        <v>725</v>
      </c>
      <c r="H6281">
        <v>767</v>
      </c>
      <c r="I6281">
        <v>10430</v>
      </c>
    </row>
    <row r="6282" spans="1:9">
      <c r="A6282" s="25" t="s">
        <v>189</v>
      </c>
      <c r="B6282" t="s">
        <v>201</v>
      </c>
      <c r="C6282" t="s">
        <v>1641</v>
      </c>
      <c r="D6282" s="1">
        <v>5.6000000000000001E-2</v>
      </c>
      <c r="E6282" s="1">
        <v>0.1394</v>
      </c>
      <c r="F6282" s="1">
        <v>0.10249999999999999</v>
      </c>
      <c r="G6282">
        <v>725</v>
      </c>
      <c r="H6282">
        <v>767</v>
      </c>
      <c r="I6282">
        <v>10430</v>
      </c>
    </row>
    <row r="6283" spans="1:9">
      <c r="A6283" s="25" t="s">
        <v>189</v>
      </c>
      <c r="B6283" t="s">
        <v>201</v>
      </c>
      <c r="C6283" t="s">
        <v>1651</v>
      </c>
      <c r="D6283" s="1">
        <v>5.9999999999999995E-4</v>
      </c>
      <c r="E6283" s="1">
        <v>5.3E-3</v>
      </c>
      <c r="F6283" s="1">
        <v>1.5100000000000001E-2</v>
      </c>
      <c r="G6283">
        <v>725</v>
      </c>
      <c r="H6283">
        <v>767</v>
      </c>
      <c r="I6283">
        <v>10430</v>
      </c>
    </row>
    <row r="6284" spans="1:9">
      <c r="A6284" s="25" t="s">
        <v>189</v>
      </c>
      <c r="B6284" t="s">
        <v>201</v>
      </c>
      <c r="C6284" t="s">
        <v>1642</v>
      </c>
      <c r="D6284" s="1">
        <v>2.23E-2</v>
      </c>
      <c r="E6284" s="1">
        <v>3.0099999999999998E-2</v>
      </c>
      <c r="F6284" s="1">
        <v>7.6700000000000004E-2</v>
      </c>
      <c r="G6284">
        <v>725</v>
      </c>
      <c r="H6284">
        <v>767</v>
      </c>
      <c r="I6284">
        <v>10430</v>
      </c>
    </row>
    <row r="6285" spans="1:9">
      <c r="A6285" s="25" t="s">
        <v>189</v>
      </c>
      <c r="B6285" t="s">
        <v>201</v>
      </c>
      <c r="C6285" t="s">
        <v>1643</v>
      </c>
      <c r="D6285" s="1">
        <v>6.9999999999999999E-4</v>
      </c>
      <c r="E6285" s="1">
        <v>1.6999999999999999E-3</v>
      </c>
      <c r="F6285" s="1">
        <v>6.0000000000000001E-3</v>
      </c>
      <c r="G6285">
        <v>725</v>
      </c>
      <c r="H6285">
        <v>767</v>
      </c>
      <c r="I6285">
        <v>10430</v>
      </c>
    </row>
    <row r="6286" spans="1:9">
      <c r="A6286" s="25" t="s">
        <v>189</v>
      </c>
      <c r="B6286" t="s">
        <v>201</v>
      </c>
      <c r="C6286" t="s">
        <v>1644</v>
      </c>
      <c r="D6286" s="1">
        <v>4.4999999999999997E-3</v>
      </c>
      <c r="E6286" s="1">
        <v>6.1000000000000004E-3</v>
      </c>
      <c r="F6286" s="1">
        <v>1.24E-2</v>
      </c>
      <c r="G6286">
        <v>725</v>
      </c>
      <c r="H6286">
        <v>767</v>
      </c>
      <c r="I6286">
        <v>10430</v>
      </c>
    </row>
    <row r="6287" spans="1:9">
      <c r="A6287" s="25" t="s">
        <v>189</v>
      </c>
      <c r="B6287" t="s">
        <v>201</v>
      </c>
      <c r="C6287" t="s">
        <v>1645</v>
      </c>
      <c r="D6287" s="1">
        <v>3.2000000000000002E-3</v>
      </c>
      <c r="F6287" s="1">
        <v>4.4999999999999997E-3</v>
      </c>
      <c r="G6287">
        <v>725</v>
      </c>
      <c r="H6287">
        <v>767</v>
      </c>
      <c r="I6287">
        <v>10430</v>
      </c>
    </row>
    <row r="6288" spans="1:9">
      <c r="A6288" s="25" t="s">
        <v>189</v>
      </c>
      <c r="B6288" t="s">
        <v>201</v>
      </c>
      <c r="C6288" t="s">
        <v>1646</v>
      </c>
      <c r="D6288" s="1">
        <v>1.6000000000000001E-3</v>
      </c>
      <c r="E6288" s="1">
        <v>9.7999999999999997E-3</v>
      </c>
      <c r="F6288" s="1">
        <v>3.4299999999999997E-2</v>
      </c>
      <c r="G6288">
        <v>725</v>
      </c>
      <c r="H6288">
        <v>767</v>
      </c>
      <c r="I6288">
        <v>10430</v>
      </c>
    </row>
    <row r="6289" spans="1:9">
      <c r="A6289" s="25" t="s">
        <v>189</v>
      </c>
      <c r="B6289" t="s">
        <v>201</v>
      </c>
      <c r="C6289" t="s">
        <v>1647</v>
      </c>
      <c r="D6289" s="1">
        <v>2.7000000000000001E-3</v>
      </c>
      <c r="E6289" s="1">
        <v>1.5800000000000002E-2</v>
      </c>
      <c r="F6289" s="1">
        <v>1.6E-2</v>
      </c>
      <c r="G6289">
        <v>725</v>
      </c>
      <c r="H6289">
        <v>767</v>
      </c>
      <c r="I6289">
        <v>10430</v>
      </c>
    </row>
    <row r="6290" spans="1:9">
      <c r="A6290" s="25" t="s">
        <v>189</v>
      </c>
      <c r="B6290" t="s">
        <v>201</v>
      </c>
      <c r="C6290" t="s">
        <v>1648</v>
      </c>
      <c r="D6290" s="1">
        <v>0.33329999999999999</v>
      </c>
      <c r="E6290" s="1">
        <v>0.19800000000000001</v>
      </c>
      <c r="F6290" s="1">
        <v>6.2799999999999995E-2</v>
      </c>
      <c r="G6290">
        <v>725</v>
      </c>
      <c r="H6290">
        <v>767</v>
      </c>
      <c r="I6290">
        <v>10430</v>
      </c>
    </row>
    <row r="6291" spans="1:9">
      <c r="A6291" s="25" t="s">
        <v>189</v>
      </c>
      <c r="B6291" t="s">
        <v>201</v>
      </c>
      <c r="C6291" t="s">
        <v>1649</v>
      </c>
      <c r="D6291" s="1">
        <v>0.30649999999999999</v>
      </c>
      <c r="E6291" s="1">
        <v>7.6200000000000004E-2</v>
      </c>
      <c r="F6291" s="1">
        <v>3.2099999999999997E-2</v>
      </c>
      <c r="G6291">
        <v>725</v>
      </c>
      <c r="H6291">
        <v>767</v>
      </c>
      <c r="I6291">
        <v>10430</v>
      </c>
    </row>
    <row r="6292" spans="1:9">
      <c r="A6292" s="25" t="s">
        <v>189</v>
      </c>
      <c r="B6292" t="s">
        <v>201</v>
      </c>
      <c r="C6292" t="s">
        <v>324</v>
      </c>
      <c r="D6292" s="1">
        <v>0.13869999999999999</v>
      </c>
      <c r="E6292" s="1">
        <v>0.23380000000000001</v>
      </c>
      <c r="F6292" s="1">
        <v>0.33539999999999998</v>
      </c>
      <c r="G6292">
        <v>725</v>
      </c>
      <c r="H6292">
        <v>767</v>
      </c>
      <c r="I6292">
        <v>10430</v>
      </c>
    </row>
    <row r="6293" spans="1:9">
      <c r="A6293" s="25" t="s">
        <v>189</v>
      </c>
      <c r="B6293" t="s">
        <v>201</v>
      </c>
      <c r="C6293" t="s">
        <v>269</v>
      </c>
      <c r="D6293" s="1">
        <v>2.9999999999999997E-4</v>
      </c>
      <c r="E6293" s="1">
        <v>2.2000000000000001E-3</v>
      </c>
      <c r="F6293" s="1">
        <v>7.6E-3</v>
      </c>
      <c r="G6293">
        <v>725</v>
      </c>
      <c r="H6293">
        <v>767</v>
      </c>
      <c r="I6293">
        <v>10430</v>
      </c>
    </row>
    <row r="6294" spans="1:9">
      <c r="A6294" s="25" t="s">
        <v>189</v>
      </c>
      <c r="B6294" t="s">
        <v>201</v>
      </c>
      <c r="C6294" t="s">
        <v>243</v>
      </c>
      <c r="D6294" s="1">
        <v>4.4999999999999997E-3</v>
      </c>
      <c r="E6294" s="1">
        <v>2.0000000000000001E-4</v>
      </c>
      <c r="F6294" s="1">
        <v>2.7000000000000001E-3</v>
      </c>
      <c r="G6294">
        <v>725</v>
      </c>
      <c r="H6294">
        <v>767</v>
      </c>
      <c r="I6294">
        <v>10430</v>
      </c>
    </row>
    <row r="6295" spans="1:9">
      <c r="A6295" s="25" t="s">
        <v>189</v>
      </c>
      <c r="B6295" t="s">
        <v>202</v>
      </c>
      <c r="C6295" t="s">
        <v>241</v>
      </c>
      <c r="D6295" s="1">
        <v>2.06E-2</v>
      </c>
      <c r="E6295" s="1">
        <v>2.4799999999999999E-2</v>
      </c>
      <c r="F6295" s="1">
        <v>3.1099999999999999E-2</v>
      </c>
      <c r="G6295">
        <v>60</v>
      </c>
      <c r="H6295">
        <v>110</v>
      </c>
      <c r="I6295">
        <v>10430</v>
      </c>
    </row>
    <row r="6296" spans="1:9">
      <c r="A6296" s="25" t="s">
        <v>189</v>
      </c>
      <c r="B6296" t="s">
        <v>202</v>
      </c>
      <c r="C6296" t="s">
        <v>1633</v>
      </c>
      <c r="D6296" s="1">
        <v>6.3200000000000006E-2</v>
      </c>
      <c r="E6296" s="1">
        <v>5.2200000000000003E-2</v>
      </c>
      <c r="F6296" s="1">
        <v>2.9399999999999999E-2</v>
      </c>
      <c r="G6296">
        <v>60</v>
      </c>
      <c r="H6296">
        <v>110</v>
      </c>
      <c r="I6296">
        <v>10430</v>
      </c>
    </row>
    <row r="6297" spans="1:9">
      <c r="A6297" s="25" t="s">
        <v>189</v>
      </c>
      <c r="B6297" t="s">
        <v>202</v>
      </c>
      <c r="C6297" t="s">
        <v>1635</v>
      </c>
      <c r="D6297" s="1">
        <v>1.0999999999999999E-2</v>
      </c>
      <c r="E6297" s="1">
        <v>7.2900000000000006E-2</v>
      </c>
      <c r="F6297" s="1">
        <v>0.19309999999999999</v>
      </c>
      <c r="G6297">
        <v>60</v>
      </c>
      <c r="H6297">
        <v>110</v>
      </c>
      <c r="I6297">
        <v>10430</v>
      </c>
    </row>
    <row r="6298" spans="1:9">
      <c r="A6298" s="25" t="s">
        <v>189</v>
      </c>
      <c r="B6298" t="s">
        <v>202</v>
      </c>
      <c r="C6298" t="s">
        <v>1637</v>
      </c>
      <c r="D6298" s="1">
        <v>3.1399999999999997E-2</v>
      </c>
      <c r="E6298" s="1">
        <v>3.9600000000000003E-2</v>
      </c>
      <c r="F6298" s="1">
        <v>4.9500000000000002E-2</v>
      </c>
      <c r="G6298">
        <v>60</v>
      </c>
      <c r="H6298">
        <v>110</v>
      </c>
      <c r="I6298">
        <v>10430</v>
      </c>
    </row>
    <row r="6299" spans="1:9">
      <c r="A6299" s="25" t="s">
        <v>189</v>
      </c>
      <c r="B6299" t="s">
        <v>202</v>
      </c>
      <c r="C6299" t="s">
        <v>1638</v>
      </c>
      <c r="D6299" s="1">
        <v>6.7000000000000002E-3</v>
      </c>
      <c r="E6299" s="1">
        <v>1.35E-2</v>
      </c>
      <c r="G6299">
        <v>60</v>
      </c>
      <c r="H6299">
        <v>110</v>
      </c>
      <c r="I6299">
        <v>10430</v>
      </c>
    </row>
    <row r="6300" spans="1:9">
      <c r="A6300" s="25" t="s">
        <v>189</v>
      </c>
      <c r="B6300" t="s">
        <v>202</v>
      </c>
      <c r="C6300" t="s">
        <v>1640</v>
      </c>
      <c r="D6300" s="1">
        <v>7.9000000000000008E-3</v>
      </c>
      <c r="F6300" s="1">
        <v>8.9099999999999999E-2</v>
      </c>
      <c r="G6300">
        <v>60</v>
      </c>
      <c r="H6300">
        <v>110</v>
      </c>
      <c r="I6300">
        <v>10430</v>
      </c>
    </row>
    <row r="6301" spans="1:9">
      <c r="A6301" s="25" t="s">
        <v>189</v>
      </c>
      <c r="B6301" t="s">
        <v>202</v>
      </c>
      <c r="C6301" t="s">
        <v>1641</v>
      </c>
      <c r="D6301" s="1">
        <v>1.35E-2</v>
      </c>
      <c r="E6301" s="1">
        <v>0.14299999999999999</v>
      </c>
      <c r="F6301" s="1">
        <v>0.1464</v>
      </c>
      <c r="G6301">
        <v>60</v>
      </c>
      <c r="H6301">
        <v>110</v>
      </c>
      <c r="I6301">
        <v>10430</v>
      </c>
    </row>
    <row r="6302" spans="1:9">
      <c r="A6302" s="25" t="s">
        <v>189</v>
      </c>
      <c r="B6302" t="s">
        <v>202</v>
      </c>
      <c r="C6302" t="s">
        <v>1642</v>
      </c>
      <c r="D6302" s="1">
        <v>1.24E-2</v>
      </c>
      <c r="E6302" s="1">
        <v>5.2699999999999997E-2</v>
      </c>
      <c r="F6302" s="1">
        <v>4.0000000000000001E-3</v>
      </c>
      <c r="G6302">
        <v>60</v>
      </c>
      <c r="H6302">
        <v>110</v>
      </c>
      <c r="I6302">
        <v>10430</v>
      </c>
    </row>
    <row r="6303" spans="1:9">
      <c r="A6303" s="25" t="s">
        <v>189</v>
      </c>
      <c r="B6303" t="s">
        <v>202</v>
      </c>
      <c r="C6303" t="s">
        <v>1644</v>
      </c>
      <c r="D6303" s="1">
        <v>3.8E-3</v>
      </c>
      <c r="E6303" s="1">
        <v>1.0200000000000001E-2</v>
      </c>
      <c r="G6303">
        <v>60</v>
      </c>
      <c r="H6303">
        <v>110</v>
      </c>
      <c r="I6303">
        <v>10430</v>
      </c>
    </row>
    <row r="6304" spans="1:9">
      <c r="A6304" s="25" t="s">
        <v>189</v>
      </c>
      <c r="B6304" t="s">
        <v>202</v>
      </c>
      <c r="C6304" t="s">
        <v>1646</v>
      </c>
      <c r="D6304" s="1">
        <v>2.5000000000000001E-3</v>
      </c>
      <c r="F6304" s="1">
        <v>3.0099999999999998E-2</v>
      </c>
      <c r="G6304">
        <v>60</v>
      </c>
      <c r="H6304">
        <v>110</v>
      </c>
      <c r="I6304">
        <v>10430</v>
      </c>
    </row>
    <row r="6305" spans="1:9">
      <c r="A6305" s="25" t="s">
        <v>189</v>
      </c>
      <c r="B6305" t="s">
        <v>202</v>
      </c>
      <c r="C6305" t="s">
        <v>1647</v>
      </c>
      <c r="D6305" s="1">
        <v>7.3000000000000001E-3</v>
      </c>
      <c r="E6305" s="1">
        <v>8.2000000000000007E-3</v>
      </c>
      <c r="F6305" s="1">
        <v>2.7199999999999998E-2</v>
      </c>
      <c r="G6305">
        <v>60</v>
      </c>
      <c r="H6305">
        <v>110</v>
      </c>
      <c r="I6305">
        <v>10430</v>
      </c>
    </row>
    <row r="6306" spans="1:9">
      <c r="A6306" s="25" t="s">
        <v>189</v>
      </c>
      <c r="B6306" t="s">
        <v>202</v>
      </c>
      <c r="C6306" t="s">
        <v>1648</v>
      </c>
      <c r="D6306" s="1">
        <v>0.28449999999999998</v>
      </c>
      <c r="E6306" s="1">
        <v>0.1696</v>
      </c>
      <c r="F6306" s="1">
        <v>0.2031</v>
      </c>
      <c r="G6306">
        <v>60</v>
      </c>
      <c r="H6306">
        <v>110</v>
      </c>
      <c r="I6306">
        <v>10430</v>
      </c>
    </row>
    <row r="6307" spans="1:9">
      <c r="A6307" s="25" t="s">
        <v>189</v>
      </c>
      <c r="B6307" t="s">
        <v>202</v>
      </c>
      <c r="C6307" t="s">
        <v>1649</v>
      </c>
      <c r="D6307" s="1">
        <v>0.37169999999999997</v>
      </c>
      <c r="E6307" s="1">
        <v>7.6200000000000004E-2</v>
      </c>
      <c r="F6307" s="1">
        <v>1.4500000000000001E-2</v>
      </c>
      <c r="G6307">
        <v>60</v>
      </c>
      <c r="H6307">
        <v>110</v>
      </c>
      <c r="I6307">
        <v>10430</v>
      </c>
    </row>
    <row r="6308" spans="1:9">
      <c r="A6308" s="25" t="s">
        <v>189</v>
      </c>
      <c r="B6308" t="s">
        <v>202</v>
      </c>
      <c r="C6308" t="s">
        <v>324</v>
      </c>
      <c r="D6308" s="1">
        <v>0.1636</v>
      </c>
      <c r="E6308" s="1">
        <v>0.21360000000000001</v>
      </c>
      <c r="F6308" s="1">
        <v>7.8E-2</v>
      </c>
      <c r="G6308">
        <v>60</v>
      </c>
      <c r="H6308">
        <v>110</v>
      </c>
      <c r="I6308">
        <v>10430</v>
      </c>
    </row>
    <row r="6309" spans="1:9">
      <c r="A6309" s="25" t="s">
        <v>189</v>
      </c>
      <c r="B6309" t="s">
        <v>203</v>
      </c>
      <c r="C6309" t="s">
        <v>1631</v>
      </c>
      <c r="D6309" s="1">
        <v>6.9999999999999999E-4</v>
      </c>
      <c r="E6309" s="1">
        <v>2.5000000000000001E-3</v>
      </c>
      <c r="F6309" s="1">
        <v>3.3999999999999998E-3</v>
      </c>
      <c r="G6309">
        <v>8188</v>
      </c>
      <c r="H6309">
        <v>8038</v>
      </c>
      <c r="I6309">
        <v>10430</v>
      </c>
    </row>
    <row r="6310" spans="1:9">
      <c r="A6310" s="25" t="s">
        <v>189</v>
      </c>
      <c r="B6310" t="s">
        <v>203</v>
      </c>
      <c r="C6310" t="s">
        <v>241</v>
      </c>
      <c r="D6310" s="1">
        <v>1.38E-2</v>
      </c>
      <c r="E6310" s="1">
        <v>3.0300000000000001E-2</v>
      </c>
      <c r="F6310" s="1">
        <v>5.79E-2</v>
      </c>
      <c r="G6310">
        <v>8188</v>
      </c>
      <c r="H6310">
        <v>8038</v>
      </c>
      <c r="I6310">
        <v>10430</v>
      </c>
    </row>
    <row r="6311" spans="1:9">
      <c r="A6311" s="25" t="s">
        <v>189</v>
      </c>
      <c r="B6311" t="s">
        <v>203</v>
      </c>
      <c r="C6311" t="s">
        <v>1632</v>
      </c>
      <c r="D6311" s="1">
        <v>1.49E-2</v>
      </c>
      <c r="E6311" s="1">
        <v>3.3799999999999997E-2</v>
      </c>
      <c r="F6311" s="1">
        <v>3.7999999999999999E-2</v>
      </c>
      <c r="G6311">
        <v>8188</v>
      </c>
      <c r="H6311">
        <v>8038</v>
      </c>
      <c r="I6311">
        <v>10430</v>
      </c>
    </row>
    <row r="6312" spans="1:9">
      <c r="A6312" s="25" t="s">
        <v>189</v>
      </c>
      <c r="B6312" t="s">
        <v>203</v>
      </c>
      <c r="C6312" t="s">
        <v>1633</v>
      </c>
      <c r="D6312" s="1">
        <v>5.3E-3</v>
      </c>
      <c r="E6312" s="1">
        <v>8.6999999999999994E-3</v>
      </c>
      <c r="F6312" s="1">
        <v>1.54E-2</v>
      </c>
      <c r="G6312">
        <v>8188</v>
      </c>
      <c r="H6312">
        <v>8038</v>
      </c>
      <c r="I6312">
        <v>10430</v>
      </c>
    </row>
    <row r="6313" spans="1:9">
      <c r="A6313" s="25" t="s">
        <v>189</v>
      </c>
      <c r="B6313" t="s">
        <v>203</v>
      </c>
      <c r="C6313" t="s">
        <v>1634</v>
      </c>
      <c r="D6313" s="1">
        <v>1.1999999999999999E-3</v>
      </c>
      <c r="E6313" s="1">
        <v>3.2000000000000002E-3</v>
      </c>
      <c r="F6313" s="1">
        <v>6.1999999999999998E-3</v>
      </c>
      <c r="G6313">
        <v>8188</v>
      </c>
      <c r="H6313">
        <v>8038</v>
      </c>
      <c r="I6313">
        <v>10430</v>
      </c>
    </row>
    <row r="6314" spans="1:9">
      <c r="A6314" s="25" t="s">
        <v>189</v>
      </c>
      <c r="B6314" t="s">
        <v>203</v>
      </c>
      <c r="C6314" t="s">
        <v>1635</v>
      </c>
      <c r="D6314" s="1">
        <v>4.6100000000000002E-2</v>
      </c>
      <c r="E6314" s="1">
        <v>0.12330000000000001</v>
      </c>
      <c r="F6314" s="1">
        <v>9.2999999999999999E-2</v>
      </c>
      <c r="G6314">
        <v>8188</v>
      </c>
      <c r="H6314">
        <v>8038</v>
      </c>
      <c r="I6314">
        <v>10430</v>
      </c>
    </row>
    <row r="6315" spans="1:9">
      <c r="A6315" s="25" t="s">
        <v>189</v>
      </c>
      <c r="B6315" t="s">
        <v>203</v>
      </c>
      <c r="C6315" t="s">
        <v>1636</v>
      </c>
      <c r="D6315" s="1">
        <v>1E-4</v>
      </c>
      <c r="E6315" s="1">
        <v>1.9E-3</v>
      </c>
      <c r="F6315" s="1">
        <v>4.7999999999999996E-3</v>
      </c>
      <c r="G6315">
        <v>8188</v>
      </c>
      <c r="H6315">
        <v>8038</v>
      </c>
      <c r="I6315">
        <v>10430</v>
      </c>
    </row>
    <row r="6316" spans="1:9">
      <c r="A6316" s="25" t="s">
        <v>189</v>
      </c>
      <c r="B6316" t="s">
        <v>203</v>
      </c>
      <c r="C6316" t="s">
        <v>1637</v>
      </c>
      <c r="D6316" s="1">
        <v>2.4799999999999999E-2</v>
      </c>
      <c r="E6316" s="1">
        <v>3.4799999999999998E-2</v>
      </c>
      <c r="F6316" s="1">
        <v>3.5299999999999998E-2</v>
      </c>
      <c r="G6316">
        <v>8188</v>
      </c>
      <c r="H6316">
        <v>8038</v>
      </c>
      <c r="I6316">
        <v>10430</v>
      </c>
    </row>
    <row r="6317" spans="1:9">
      <c r="A6317" s="25" t="s">
        <v>189</v>
      </c>
      <c r="B6317" t="s">
        <v>203</v>
      </c>
      <c r="C6317" t="s">
        <v>1638</v>
      </c>
      <c r="D6317" s="1">
        <v>3.0999999999999999E-3</v>
      </c>
      <c r="E6317" s="1">
        <v>6.1000000000000004E-3</v>
      </c>
      <c r="F6317" s="1">
        <v>1.15E-2</v>
      </c>
      <c r="G6317">
        <v>8188</v>
      </c>
      <c r="H6317">
        <v>8038</v>
      </c>
      <c r="I6317">
        <v>10430</v>
      </c>
    </row>
    <row r="6318" spans="1:9">
      <c r="A6318" s="25" t="s">
        <v>189</v>
      </c>
      <c r="B6318" t="s">
        <v>203</v>
      </c>
      <c r="C6318" t="s">
        <v>1639</v>
      </c>
      <c r="D6318" s="1">
        <v>1.9E-3</v>
      </c>
      <c r="E6318" s="1">
        <v>3.2000000000000002E-3</v>
      </c>
      <c r="F6318" s="1">
        <v>3.2000000000000002E-3</v>
      </c>
      <c r="G6318">
        <v>8188</v>
      </c>
      <c r="H6318">
        <v>8038</v>
      </c>
      <c r="I6318">
        <v>10430</v>
      </c>
    </row>
    <row r="6319" spans="1:9">
      <c r="A6319" s="25" t="s">
        <v>189</v>
      </c>
      <c r="B6319" t="s">
        <v>203</v>
      </c>
      <c r="C6319" t="s">
        <v>1640</v>
      </c>
      <c r="D6319" s="1">
        <v>3.8999999999999998E-3</v>
      </c>
      <c r="E6319" s="1">
        <v>1.44E-2</v>
      </c>
      <c r="F6319" s="1">
        <v>1.2999999999999999E-2</v>
      </c>
      <c r="G6319">
        <v>8188</v>
      </c>
      <c r="H6319">
        <v>8038</v>
      </c>
      <c r="I6319">
        <v>10430</v>
      </c>
    </row>
    <row r="6320" spans="1:9">
      <c r="A6320" s="25" t="s">
        <v>189</v>
      </c>
      <c r="B6320" t="s">
        <v>203</v>
      </c>
      <c r="C6320" t="s">
        <v>1641</v>
      </c>
      <c r="D6320" s="1">
        <v>1.23E-2</v>
      </c>
      <c r="E6320" s="1">
        <v>7.0000000000000007E-2</v>
      </c>
      <c r="F6320" s="1">
        <v>7.5300000000000006E-2</v>
      </c>
      <c r="G6320">
        <v>8188</v>
      </c>
      <c r="H6320">
        <v>8038</v>
      </c>
      <c r="I6320">
        <v>10430</v>
      </c>
    </row>
    <row r="6321" spans="1:9">
      <c r="A6321" s="25" t="s">
        <v>189</v>
      </c>
      <c r="B6321" t="s">
        <v>203</v>
      </c>
      <c r="C6321" t="s">
        <v>1651</v>
      </c>
      <c r="D6321" s="1">
        <v>8.0000000000000004E-4</v>
      </c>
      <c r="E6321" s="1">
        <v>4.1000000000000003E-3</v>
      </c>
      <c r="F6321" s="1">
        <v>6.7999999999999996E-3</v>
      </c>
      <c r="G6321">
        <v>8188</v>
      </c>
      <c r="H6321">
        <v>8038</v>
      </c>
      <c r="I6321">
        <v>10430</v>
      </c>
    </row>
    <row r="6322" spans="1:9">
      <c r="A6322" s="25" t="s">
        <v>189</v>
      </c>
      <c r="B6322" t="s">
        <v>203</v>
      </c>
      <c r="C6322" t="s">
        <v>1642</v>
      </c>
      <c r="D6322" s="1">
        <v>7.4999999999999997E-3</v>
      </c>
      <c r="E6322" s="1">
        <v>4.5400000000000003E-2</v>
      </c>
      <c r="F6322" s="1">
        <v>4.0800000000000003E-2</v>
      </c>
      <c r="G6322">
        <v>8188</v>
      </c>
      <c r="H6322">
        <v>8038</v>
      </c>
      <c r="I6322">
        <v>10430</v>
      </c>
    </row>
    <row r="6323" spans="1:9">
      <c r="A6323" s="25" t="s">
        <v>189</v>
      </c>
      <c r="B6323" t="s">
        <v>203</v>
      </c>
      <c r="C6323" t="s">
        <v>1643</v>
      </c>
      <c r="D6323" s="1">
        <v>4.0000000000000001E-3</v>
      </c>
      <c r="E6323" s="1">
        <v>4.8999999999999998E-3</v>
      </c>
      <c r="F6323" s="1">
        <v>0.01</v>
      </c>
      <c r="G6323">
        <v>8188</v>
      </c>
      <c r="H6323">
        <v>8038</v>
      </c>
      <c r="I6323">
        <v>10430</v>
      </c>
    </row>
    <row r="6324" spans="1:9">
      <c r="A6324" s="25" t="s">
        <v>189</v>
      </c>
      <c r="B6324" t="s">
        <v>203</v>
      </c>
      <c r="C6324" t="s">
        <v>1644</v>
      </c>
      <c r="D6324" s="1">
        <v>8.0000000000000004E-4</v>
      </c>
      <c r="E6324" s="1">
        <v>5.1000000000000004E-3</v>
      </c>
      <c r="F6324" s="1">
        <v>1.4200000000000001E-2</v>
      </c>
      <c r="G6324">
        <v>8188</v>
      </c>
      <c r="H6324">
        <v>8038</v>
      </c>
      <c r="I6324">
        <v>10430</v>
      </c>
    </row>
    <row r="6325" spans="1:9">
      <c r="A6325" s="25" t="s">
        <v>189</v>
      </c>
      <c r="B6325" t="s">
        <v>203</v>
      </c>
      <c r="C6325" t="s">
        <v>1645</v>
      </c>
      <c r="D6325" s="1">
        <v>6.9999999999999999E-4</v>
      </c>
      <c r="E6325" s="1">
        <v>1.1999999999999999E-3</v>
      </c>
      <c r="F6325" s="1">
        <v>3.0000000000000001E-3</v>
      </c>
      <c r="G6325">
        <v>8188</v>
      </c>
      <c r="H6325">
        <v>8038</v>
      </c>
      <c r="I6325">
        <v>10430</v>
      </c>
    </row>
    <row r="6326" spans="1:9">
      <c r="A6326" s="25" t="s">
        <v>189</v>
      </c>
      <c r="B6326" t="s">
        <v>203</v>
      </c>
      <c r="C6326" t="s">
        <v>1646</v>
      </c>
      <c r="D6326" s="1">
        <v>1.8E-3</v>
      </c>
      <c r="E6326" s="1">
        <v>1.6199999999999999E-2</v>
      </c>
      <c r="F6326" s="1">
        <v>2.8299999999999999E-2</v>
      </c>
      <c r="G6326">
        <v>8188</v>
      </c>
      <c r="H6326">
        <v>8038</v>
      </c>
      <c r="I6326">
        <v>10430</v>
      </c>
    </row>
    <row r="6327" spans="1:9">
      <c r="A6327" s="25" t="s">
        <v>189</v>
      </c>
      <c r="B6327" t="s">
        <v>203</v>
      </c>
      <c r="C6327" t="s">
        <v>1647</v>
      </c>
      <c r="D6327" s="1">
        <v>6.0000000000000001E-3</v>
      </c>
      <c r="E6327" s="1">
        <v>2.1100000000000001E-2</v>
      </c>
      <c r="F6327" s="1">
        <v>3.4299999999999997E-2</v>
      </c>
      <c r="G6327">
        <v>8188</v>
      </c>
      <c r="H6327">
        <v>8038</v>
      </c>
      <c r="I6327">
        <v>10430</v>
      </c>
    </row>
    <row r="6328" spans="1:9">
      <c r="A6328" s="25" t="s">
        <v>189</v>
      </c>
      <c r="B6328" t="s">
        <v>203</v>
      </c>
      <c r="C6328" t="s">
        <v>1648</v>
      </c>
      <c r="D6328" s="1">
        <v>0.30420000000000003</v>
      </c>
      <c r="E6328" s="1">
        <v>0.1225</v>
      </c>
      <c r="F6328" s="1">
        <v>5.57E-2</v>
      </c>
      <c r="G6328">
        <v>8188</v>
      </c>
      <c r="H6328">
        <v>8038</v>
      </c>
      <c r="I6328">
        <v>10430</v>
      </c>
    </row>
    <row r="6329" spans="1:9">
      <c r="A6329" s="25" t="s">
        <v>189</v>
      </c>
      <c r="B6329" t="s">
        <v>203</v>
      </c>
      <c r="C6329" t="s">
        <v>1649</v>
      </c>
      <c r="D6329" s="1">
        <v>0.17929999999999999</v>
      </c>
      <c r="E6329" s="1">
        <v>6.3899999999999998E-2</v>
      </c>
      <c r="F6329" s="1">
        <v>4.6300000000000001E-2</v>
      </c>
      <c r="G6329">
        <v>8188</v>
      </c>
      <c r="H6329">
        <v>8038</v>
      </c>
      <c r="I6329">
        <v>10430</v>
      </c>
    </row>
    <row r="6330" spans="1:9">
      <c r="A6330" s="25" t="s">
        <v>189</v>
      </c>
      <c r="B6330" t="s">
        <v>203</v>
      </c>
      <c r="C6330" t="s">
        <v>324</v>
      </c>
      <c r="D6330" s="1">
        <v>0.36109999999999998</v>
      </c>
      <c r="E6330" s="1">
        <v>0.37590000000000001</v>
      </c>
      <c r="F6330" s="1">
        <v>0.39190000000000003</v>
      </c>
      <c r="G6330">
        <v>8188</v>
      </c>
      <c r="H6330">
        <v>8038</v>
      </c>
      <c r="I6330">
        <v>10430</v>
      </c>
    </row>
    <row r="6331" spans="1:9">
      <c r="A6331" s="25" t="s">
        <v>189</v>
      </c>
      <c r="B6331" t="s">
        <v>203</v>
      </c>
      <c r="C6331" t="s">
        <v>269</v>
      </c>
      <c r="D6331" s="1">
        <v>2.5999999999999999E-3</v>
      </c>
      <c r="E6331" s="1">
        <v>4.3E-3</v>
      </c>
      <c r="F6331" s="1">
        <v>5.1000000000000004E-3</v>
      </c>
      <c r="G6331">
        <v>8188</v>
      </c>
      <c r="H6331">
        <v>8038</v>
      </c>
      <c r="I6331">
        <v>10430</v>
      </c>
    </row>
    <row r="6332" spans="1:9">
      <c r="A6332" s="25" t="s">
        <v>189</v>
      </c>
      <c r="B6332" t="s">
        <v>203</v>
      </c>
      <c r="C6332" t="s">
        <v>243</v>
      </c>
      <c r="D6332" s="1">
        <v>2.2000000000000001E-3</v>
      </c>
      <c r="E6332" s="1">
        <v>1E-4</v>
      </c>
      <c r="F6332" s="1">
        <v>1.4E-3</v>
      </c>
      <c r="G6332">
        <v>8188</v>
      </c>
      <c r="H6332">
        <v>8038</v>
      </c>
      <c r="I6332">
        <v>10430</v>
      </c>
    </row>
    <row r="6333" spans="1:9">
      <c r="A6333" s="25" t="s">
        <v>189</v>
      </c>
      <c r="B6333" t="s">
        <v>203</v>
      </c>
      <c r="C6333" t="s">
        <v>1650</v>
      </c>
      <c r="D6333" s="1">
        <v>1E-3</v>
      </c>
      <c r="E6333" s="1">
        <v>3.0000000000000001E-3</v>
      </c>
      <c r="F6333" s="1">
        <v>5.1000000000000004E-3</v>
      </c>
      <c r="G6333">
        <v>8188</v>
      </c>
      <c r="H6333">
        <v>8038</v>
      </c>
      <c r="I6333">
        <v>10430</v>
      </c>
    </row>
    <row r="6334" spans="1:9">
      <c r="A6334" s="25" t="s">
        <v>189</v>
      </c>
      <c r="B6334" t="s">
        <v>204</v>
      </c>
      <c r="C6334" t="s">
        <v>1637</v>
      </c>
      <c r="D6334" s="1">
        <v>5.57E-2</v>
      </c>
      <c r="G6334">
        <v>20</v>
      </c>
      <c r="H6334">
        <v>31</v>
      </c>
      <c r="I6334">
        <v>10430</v>
      </c>
    </row>
    <row r="6335" spans="1:9">
      <c r="A6335" s="25" t="s">
        <v>189</v>
      </c>
      <c r="B6335" t="s">
        <v>204</v>
      </c>
      <c r="C6335" t="s">
        <v>1638</v>
      </c>
      <c r="D6335" s="1">
        <v>1.0800000000000001E-2</v>
      </c>
      <c r="G6335">
        <v>20</v>
      </c>
      <c r="H6335">
        <v>31</v>
      </c>
      <c r="I6335">
        <v>10430</v>
      </c>
    </row>
    <row r="6336" spans="1:9">
      <c r="A6336" s="25" t="s">
        <v>189</v>
      </c>
      <c r="B6336" t="s">
        <v>204</v>
      </c>
      <c r="C6336" t="s">
        <v>1641</v>
      </c>
      <c r="D6336" s="1">
        <v>1.0800000000000001E-2</v>
      </c>
      <c r="E6336" s="1">
        <v>0.1429</v>
      </c>
      <c r="F6336" s="1">
        <v>0.49280000000000002</v>
      </c>
      <c r="G6336">
        <v>20</v>
      </c>
      <c r="H6336">
        <v>31</v>
      </c>
      <c r="I6336">
        <v>10430</v>
      </c>
    </row>
    <row r="6337" spans="1:9">
      <c r="A6337" s="25" t="s">
        <v>189</v>
      </c>
      <c r="B6337" t="s">
        <v>204</v>
      </c>
      <c r="C6337" t="s">
        <v>1648</v>
      </c>
      <c r="D6337" s="1">
        <v>5.5100000000000003E-2</v>
      </c>
      <c r="E6337" s="1">
        <v>6.3799999999999996E-2</v>
      </c>
      <c r="G6337">
        <v>20</v>
      </c>
      <c r="H6337">
        <v>31</v>
      </c>
      <c r="I6337">
        <v>10430</v>
      </c>
    </row>
    <row r="6338" spans="1:9">
      <c r="A6338" s="25" t="s">
        <v>189</v>
      </c>
      <c r="B6338" t="s">
        <v>204</v>
      </c>
      <c r="C6338" t="s">
        <v>1649</v>
      </c>
      <c r="D6338" s="1">
        <v>0.20979999999999999</v>
      </c>
      <c r="G6338">
        <v>20</v>
      </c>
      <c r="H6338">
        <v>31</v>
      </c>
      <c r="I6338">
        <v>10430</v>
      </c>
    </row>
    <row r="6339" spans="1:9">
      <c r="A6339" s="25" t="s">
        <v>189</v>
      </c>
      <c r="B6339" t="s">
        <v>204</v>
      </c>
      <c r="C6339" t="s">
        <v>324</v>
      </c>
      <c r="D6339" s="1">
        <v>0.60980000000000001</v>
      </c>
      <c r="E6339" s="1">
        <v>0.34549999999999997</v>
      </c>
      <c r="F6339" s="1">
        <v>0.24490000000000001</v>
      </c>
      <c r="G6339">
        <v>20</v>
      </c>
      <c r="H6339">
        <v>31</v>
      </c>
      <c r="I6339">
        <v>10430</v>
      </c>
    </row>
    <row r="6340" spans="1:9">
      <c r="A6340" s="25" t="s">
        <v>189</v>
      </c>
      <c r="B6340" t="s">
        <v>204</v>
      </c>
      <c r="C6340" t="s">
        <v>243</v>
      </c>
      <c r="D6340" s="1">
        <v>4.8000000000000001E-2</v>
      </c>
      <c r="G6340">
        <v>20</v>
      </c>
      <c r="H6340">
        <v>31</v>
      </c>
      <c r="I6340">
        <v>10430</v>
      </c>
    </row>
    <row r="6341" spans="1:9">
      <c r="A6341" s="25" t="s">
        <v>189</v>
      </c>
      <c r="B6341" t="s">
        <v>205</v>
      </c>
      <c r="C6341" t="s">
        <v>1631</v>
      </c>
      <c r="D6341" s="1">
        <v>4.0000000000000001E-3</v>
      </c>
      <c r="E6341" s="1">
        <v>1.23E-2</v>
      </c>
      <c r="F6341" s="1">
        <v>2.1100000000000001E-2</v>
      </c>
      <c r="G6341">
        <v>1436</v>
      </c>
      <c r="H6341">
        <v>1484</v>
      </c>
      <c r="I6341">
        <v>10430</v>
      </c>
    </row>
    <row r="6342" spans="1:9">
      <c r="A6342" s="25" t="s">
        <v>189</v>
      </c>
      <c r="B6342" t="s">
        <v>205</v>
      </c>
      <c r="C6342" t="s">
        <v>241</v>
      </c>
      <c r="D6342" s="1">
        <v>7.1999999999999998E-3</v>
      </c>
      <c r="E6342" s="1">
        <v>3.32E-2</v>
      </c>
      <c r="F6342" s="1">
        <v>6.6299999999999998E-2</v>
      </c>
      <c r="G6342">
        <v>1436</v>
      </c>
      <c r="H6342">
        <v>1484</v>
      </c>
      <c r="I6342">
        <v>10430</v>
      </c>
    </row>
    <row r="6343" spans="1:9">
      <c r="A6343" s="25" t="s">
        <v>189</v>
      </c>
      <c r="B6343" t="s">
        <v>205</v>
      </c>
      <c r="C6343" t="s">
        <v>1632</v>
      </c>
      <c r="D6343" s="1">
        <v>1.77E-2</v>
      </c>
      <c r="E6343" s="1">
        <v>6.0400000000000002E-2</v>
      </c>
      <c r="F6343" s="1">
        <v>9.6699999999999994E-2</v>
      </c>
      <c r="G6343">
        <v>1436</v>
      </c>
      <c r="H6343">
        <v>1484</v>
      </c>
      <c r="I6343">
        <v>10430</v>
      </c>
    </row>
    <row r="6344" spans="1:9">
      <c r="A6344" s="25" t="s">
        <v>189</v>
      </c>
      <c r="B6344" t="s">
        <v>205</v>
      </c>
      <c r="C6344" t="s">
        <v>1633</v>
      </c>
      <c r="D6344" s="1">
        <v>8.2000000000000007E-3</v>
      </c>
      <c r="E6344" s="1">
        <v>5.5999999999999999E-3</v>
      </c>
      <c r="F6344" s="1">
        <v>1.7000000000000001E-2</v>
      </c>
      <c r="G6344">
        <v>1436</v>
      </c>
      <c r="H6344">
        <v>1484</v>
      </c>
      <c r="I6344">
        <v>10430</v>
      </c>
    </row>
    <row r="6345" spans="1:9">
      <c r="A6345" s="25" t="s">
        <v>189</v>
      </c>
      <c r="B6345" t="s">
        <v>205</v>
      </c>
      <c r="C6345" t="s">
        <v>1634</v>
      </c>
      <c r="D6345" s="1">
        <v>5.9999999999999995E-4</v>
      </c>
      <c r="E6345" s="1">
        <v>6.9999999999999999E-4</v>
      </c>
      <c r="F6345" s="1">
        <v>1.29E-2</v>
      </c>
      <c r="G6345">
        <v>1436</v>
      </c>
      <c r="H6345">
        <v>1484</v>
      </c>
      <c r="I6345">
        <v>10430</v>
      </c>
    </row>
    <row r="6346" spans="1:9">
      <c r="A6346" s="25" t="s">
        <v>189</v>
      </c>
      <c r="B6346" t="s">
        <v>205</v>
      </c>
      <c r="C6346" t="s">
        <v>1635</v>
      </c>
      <c r="D6346" s="1">
        <v>2.7E-2</v>
      </c>
      <c r="E6346" s="1">
        <v>5.8599999999999999E-2</v>
      </c>
      <c r="F6346" s="1">
        <v>5.7299999999999997E-2</v>
      </c>
      <c r="G6346">
        <v>1436</v>
      </c>
      <c r="H6346">
        <v>1484</v>
      </c>
      <c r="I6346">
        <v>10430</v>
      </c>
    </row>
    <row r="6347" spans="1:9">
      <c r="A6347" s="25" t="s">
        <v>189</v>
      </c>
      <c r="B6347" t="s">
        <v>205</v>
      </c>
      <c r="C6347" t="s">
        <v>1636</v>
      </c>
      <c r="D6347" s="1">
        <v>2.9999999999999997E-4</v>
      </c>
      <c r="E6347" s="1">
        <v>2.0000000000000001E-4</v>
      </c>
      <c r="F6347" s="1">
        <v>3.0999999999999999E-3</v>
      </c>
      <c r="G6347">
        <v>1436</v>
      </c>
      <c r="H6347">
        <v>1484</v>
      </c>
      <c r="I6347">
        <v>10430</v>
      </c>
    </row>
    <row r="6348" spans="1:9">
      <c r="A6348" s="25" t="s">
        <v>189</v>
      </c>
      <c r="B6348" t="s">
        <v>205</v>
      </c>
      <c r="C6348" t="s">
        <v>1637</v>
      </c>
      <c r="D6348" s="1">
        <v>3.1300000000000001E-2</v>
      </c>
      <c r="E6348" s="1">
        <v>8.9499999999999996E-2</v>
      </c>
      <c r="F6348" s="1">
        <v>5.5599999999999997E-2</v>
      </c>
      <c r="G6348">
        <v>1436</v>
      </c>
      <c r="H6348">
        <v>1484</v>
      </c>
      <c r="I6348">
        <v>10430</v>
      </c>
    </row>
    <row r="6349" spans="1:9">
      <c r="A6349" s="25" t="s">
        <v>189</v>
      </c>
      <c r="B6349" t="s">
        <v>205</v>
      </c>
      <c r="C6349" t="s">
        <v>1638</v>
      </c>
      <c r="D6349" s="1">
        <v>4.4999999999999997E-3</v>
      </c>
      <c r="E6349" s="1">
        <v>1.8599999999999998E-2</v>
      </c>
      <c r="F6349" s="1">
        <v>1.2699999999999999E-2</v>
      </c>
      <c r="G6349">
        <v>1436</v>
      </c>
      <c r="H6349">
        <v>1484</v>
      </c>
      <c r="I6349">
        <v>10430</v>
      </c>
    </row>
    <row r="6350" spans="1:9">
      <c r="A6350" s="25" t="s">
        <v>189</v>
      </c>
      <c r="B6350" t="s">
        <v>205</v>
      </c>
      <c r="C6350" t="s">
        <v>1639</v>
      </c>
      <c r="D6350" s="1">
        <v>1.9E-3</v>
      </c>
      <c r="E6350" s="1">
        <v>1.0500000000000001E-2</v>
      </c>
      <c r="F6350" s="1">
        <v>9.5999999999999992E-3</v>
      </c>
      <c r="G6350">
        <v>1436</v>
      </c>
      <c r="H6350">
        <v>1484</v>
      </c>
      <c r="I6350">
        <v>10430</v>
      </c>
    </row>
    <row r="6351" spans="1:9">
      <c r="A6351" s="25" t="s">
        <v>189</v>
      </c>
      <c r="B6351" t="s">
        <v>205</v>
      </c>
      <c r="C6351" t="s">
        <v>1640</v>
      </c>
      <c r="D6351" s="1">
        <v>3.8E-3</v>
      </c>
      <c r="E6351" s="1">
        <v>1.44E-2</v>
      </c>
      <c r="F6351" s="1">
        <v>7.3000000000000001E-3</v>
      </c>
      <c r="G6351">
        <v>1436</v>
      </c>
      <c r="H6351">
        <v>1484</v>
      </c>
      <c r="I6351">
        <v>10430</v>
      </c>
    </row>
    <row r="6352" spans="1:9">
      <c r="A6352" s="25" t="s">
        <v>189</v>
      </c>
      <c r="B6352" t="s">
        <v>205</v>
      </c>
      <c r="C6352" t="s">
        <v>1641</v>
      </c>
      <c r="D6352" s="1">
        <v>6.6E-3</v>
      </c>
      <c r="E6352" s="1">
        <v>4.19E-2</v>
      </c>
      <c r="F6352" s="1">
        <v>6.4399999999999999E-2</v>
      </c>
      <c r="G6352">
        <v>1436</v>
      </c>
      <c r="H6352">
        <v>1484</v>
      </c>
      <c r="I6352">
        <v>10430</v>
      </c>
    </row>
    <row r="6353" spans="1:9">
      <c r="A6353" s="25" t="s">
        <v>189</v>
      </c>
      <c r="B6353" t="s">
        <v>205</v>
      </c>
      <c r="C6353" t="s">
        <v>1651</v>
      </c>
      <c r="D6353" s="1">
        <v>2.9999999999999997E-4</v>
      </c>
      <c r="E6353" s="1">
        <v>1E-3</v>
      </c>
      <c r="F6353" s="1">
        <v>4.4999999999999997E-3</v>
      </c>
      <c r="G6353">
        <v>1436</v>
      </c>
      <c r="H6353">
        <v>1484</v>
      </c>
      <c r="I6353">
        <v>10430</v>
      </c>
    </row>
    <row r="6354" spans="1:9">
      <c r="A6354" s="25" t="s">
        <v>189</v>
      </c>
      <c r="B6354" t="s">
        <v>205</v>
      </c>
      <c r="C6354" t="s">
        <v>1642</v>
      </c>
      <c r="D6354" s="1">
        <v>1.5800000000000002E-2</v>
      </c>
      <c r="E6354" s="1">
        <v>5.6300000000000003E-2</v>
      </c>
      <c r="F6354" s="1">
        <v>4.4299999999999999E-2</v>
      </c>
      <c r="G6354">
        <v>1436</v>
      </c>
      <c r="H6354">
        <v>1484</v>
      </c>
      <c r="I6354">
        <v>10430</v>
      </c>
    </row>
    <row r="6355" spans="1:9">
      <c r="A6355" s="25" t="s">
        <v>189</v>
      </c>
      <c r="B6355" t="s">
        <v>205</v>
      </c>
      <c r="C6355" t="s">
        <v>1643</v>
      </c>
      <c r="D6355" s="1">
        <v>0</v>
      </c>
      <c r="E6355" s="1">
        <v>7.3000000000000001E-3</v>
      </c>
      <c r="F6355" s="1">
        <v>5.3E-3</v>
      </c>
      <c r="G6355">
        <v>1436</v>
      </c>
      <c r="H6355">
        <v>1484</v>
      </c>
      <c r="I6355">
        <v>10430</v>
      </c>
    </row>
    <row r="6356" spans="1:9">
      <c r="A6356" s="25" t="s">
        <v>189</v>
      </c>
      <c r="B6356" t="s">
        <v>205</v>
      </c>
      <c r="C6356" t="s">
        <v>1644</v>
      </c>
      <c r="D6356" s="1">
        <v>2.9999999999999997E-4</v>
      </c>
      <c r="E6356" s="1">
        <v>7.1000000000000004E-3</v>
      </c>
      <c r="F6356" s="1">
        <v>6.3E-3</v>
      </c>
      <c r="G6356">
        <v>1436</v>
      </c>
      <c r="H6356">
        <v>1484</v>
      </c>
      <c r="I6356">
        <v>10430</v>
      </c>
    </row>
    <row r="6357" spans="1:9">
      <c r="A6357" s="25" t="s">
        <v>189</v>
      </c>
      <c r="B6357" t="s">
        <v>205</v>
      </c>
      <c r="C6357" t="s">
        <v>1645</v>
      </c>
      <c r="D6357" s="1">
        <v>5.0000000000000001E-4</v>
      </c>
      <c r="E6357" s="1">
        <v>5.0000000000000001E-4</v>
      </c>
      <c r="F6357" s="1">
        <v>7.6E-3</v>
      </c>
      <c r="G6357">
        <v>1436</v>
      </c>
      <c r="H6357">
        <v>1484</v>
      </c>
      <c r="I6357">
        <v>10430</v>
      </c>
    </row>
    <row r="6358" spans="1:9">
      <c r="A6358" s="25" t="s">
        <v>189</v>
      </c>
      <c r="B6358" t="s">
        <v>205</v>
      </c>
      <c r="C6358" t="s">
        <v>1646</v>
      </c>
      <c r="D6358" s="1">
        <v>1.1999999999999999E-3</v>
      </c>
      <c r="E6358" s="1">
        <v>4.1999999999999997E-3</v>
      </c>
      <c r="F6358" s="1">
        <v>1.9400000000000001E-2</v>
      </c>
      <c r="G6358">
        <v>1436</v>
      </c>
      <c r="H6358">
        <v>1484</v>
      </c>
      <c r="I6358">
        <v>10430</v>
      </c>
    </row>
    <row r="6359" spans="1:9">
      <c r="A6359" s="25" t="s">
        <v>189</v>
      </c>
      <c r="B6359" t="s">
        <v>205</v>
      </c>
      <c r="C6359" t="s">
        <v>1647</v>
      </c>
      <c r="D6359" s="1">
        <v>4.4000000000000003E-3</v>
      </c>
      <c r="E6359" s="1">
        <v>1.11E-2</v>
      </c>
      <c r="F6359" s="1">
        <v>1.8800000000000001E-2</v>
      </c>
      <c r="G6359">
        <v>1436</v>
      </c>
      <c r="H6359">
        <v>1484</v>
      </c>
      <c r="I6359">
        <v>10430</v>
      </c>
    </row>
    <row r="6360" spans="1:9">
      <c r="A6360" s="25" t="s">
        <v>189</v>
      </c>
      <c r="B6360" t="s">
        <v>205</v>
      </c>
      <c r="C6360" t="s">
        <v>1648</v>
      </c>
      <c r="D6360" s="1">
        <v>0.16830000000000001</v>
      </c>
      <c r="E6360" s="1">
        <v>0.182</v>
      </c>
      <c r="F6360" s="1">
        <v>2.81E-2</v>
      </c>
      <c r="G6360">
        <v>1436</v>
      </c>
      <c r="H6360">
        <v>1484</v>
      </c>
      <c r="I6360">
        <v>10430</v>
      </c>
    </row>
    <row r="6361" spans="1:9">
      <c r="A6361" s="25" t="s">
        <v>189</v>
      </c>
      <c r="B6361" t="s">
        <v>205</v>
      </c>
      <c r="C6361" t="s">
        <v>1649</v>
      </c>
      <c r="D6361" s="1">
        <v>0.33929999999999999</v>
      </c>
      <c r="E6361" s="1">
        <v>7.2400000000000006E-2</v>
      </c>
      <c r="F6361" s="1">
        <v>1.95E-2</v>
      </c>
      <c r="G6361">
        <v>1436</v>
      </c>
      <c r="H6361">
        <v>1484</v>
      </c>
      <c r="I6361">
        <v>10430</v>
      </c>
    </row>
    <row r="6362" spans="1:9">
      <c r="A6362" s="25" t="s">
        <v>189</v>
      </c>
      <c r="B6362" t="s">
        <v>205</v>
      </c>
      <c r="C6362" t="s">
        <v>324</v>
      </c>
      <c r="D6362" s="1">
        <v>0.35610000000000003</v>
      </c>
      <c r="E6362" s="1">
        <v>0.28849999999999998</v>
      </c>
      <c r="F6362" s="1">
        <v>0.38990000000000002</v>
      </c>
      <c r="G6362">
        <v>1436</v>
      </c>
      <c r="H6362">
        <v>1484</v>
      </c>
      <c r="I6362">
        <v>10430</v>
      </c>
    </row>
    <row r="6363" spans="1:9">
      <c r="A6363" s="25" t="s">
        <v>189</v>
      </c>
      <c r="B6363" t="s">
        <v>205</v>
      </c>
      <c r="C6363" t="s">
        <v>269</v>
      </c>
      <c r="D6363" s="1">
        <v>4.0000000000000002E-4</v>
      </c>
      <c r="E6363" s="1">
        <v>5.7000000000000002E-3</v>
      </c>
      <c r="F6363" s="1">
        <v>1.5699999999999999E-2</v>
      </c>
      <c r="G6363">
        <v>1436</v>
      </c>
      <c r="H6363">
        <v>1484</v>
      </c>
      <c r="I6363">
        <v>10430</v>
      </c>
    </row>
    <row r="6364" spans="1:9">
      <c r="A6364" s="25" t="s">
        <v>189</v>
      </c>
      <c r="B6364" t="s">
        <v>205</v>
      </c>
      <c r="C6364" t="s">
        <v>243</v>
      </c>
      <c r="D6364" s="1">
        <v>1E-4</v>
      </c>
      <c r="F6364" s="1">
        <v>1.2999999999999999E-3</v>
      </c>
      <c r="G6364">
        <v>1436</v>
      </c>
      <c r="H6364">
        <v>1484</v>
      </c>
      <c r="I6364">
        <v>10430</v>
      </c>
    </row>
    <row r="6365" spans="1:9">
      <c r="A6365" s="25" t="s">
        <v>189</v>
      </c>
      <c r="B6365" t="s">
        <v>205</v>
      </c>
      <c r="C6365" t="s">
        <v>1650</v>
      </c>
      <c r="D6365" s="1">
        <v>2.0000000000000001E-4</v>
      </c>
      <c r="E6365" s="1">
        <v>1.78E-2</v>
      </c>
      <c r="F6365" s="1">
        <v>1.52E-2</v>
      </c>
      <c r="G6365">
        <v>1436</v>
      </c>
      <c r="H6365">
        <v>1484</v>
      </c>
      <c r="I6365">
        <v>10430</v>
      </c>
    </row>
    <row r="6366" spans="1:9">
      <c r="A6366" s="25" t="s">
        <v>192</v>
      </c>
      <c r="B6366" t="s">
        <v>192</v>
      </c>
      <c r="C6366" t="s">
        <v>1631</v>
      </c>
      <c r="D6366" s="1">
        <v>1.1000000000000001E-3</v>
      </c>
      <c r="E6366" s="1">
        <v>4.7999999999999996E-3</v>
      </c>
      <c r="F6366" s="1">
        <v>7.4000000000000003E-3</v>
      </c>
      <c r="G6366">
        <v>10430</v>
      </c>
      <c r="H6366">
        <v>10430</v>
      </c>
      <c r="I6366">
        <v>10430</v>
      </c>
    </row>
    <row r="6367" spans="1:9">
      <c r="A6367" s="25" t="s">
        <v>192</v>
      </c>
      <c r="B6367" t="s">
        <v>192</v>
      </c>
      <c r="C6367" t="s">
        <v>241</v>
      </c>
      <c r="D6367" s="1">
        <v>1.21E-2</v>
      </c>
      <c r="E6367" s="1">
        <v>2.9100000000000001E-2</v>
      </c>
      <c r="F6367" s="1">
        <v>5.5599999999999997E-2</v>
      </c>
      <c r="G6367">
        <v>10430</v>
      </c>
      <c r="H6367">
        <v>10430</v>
      </c>
      <c r="I6367">
        <v>10430</v>
      </c>
    </row>
    <row r="6368" spans="1:9">
      <c r="A6368" s="25" t="s">
        <v>192</v>
      </c>
      <c r="B6368" t="s">
        <v>192</v>
      </c>
      <c r="C6368" t="s">
        <v>1632</v>
      </c>
      <c r="D6368" s="1">
        <v>1.4500000000000001E-2</v>
      </c>
      <c r="E6368" s="1">
        <v>3.9699999999999999E-2</v>
      </c>
      <c r="F6368" s="1">
        <v>4.8500000000000001E-2</v>
      </c>
      <c r="G6368">
        <v>10430</v>
      </c>
      <c r="H6368">
        <v>10430</v>
      </c>
      <c r="I6368">
        <v>10430</v>
      </c>
    </row>
    <row r="6369" spans="1:9">
      <c r="A6369" s="25" t="s">
        <v>192</v>
      </c>
      <c r="B6369" t="s">
        <v>192</v>
      </c>
      <c r="C6369" t="s">
        <v>1633</v>
      </c>
      <c r="D6369" s="1">
        <v>1.0699999999999999E-2</v>
      </c>
      <c r="E6369" s="1">
        <v>1.2999999999999999E-2</v>
      </c>
      <c r="F6369" s="1">
        <v>1.7600000000000001E-2</v>
      </c>
      <c r="G6369">
        <v>10430</v>
      </c>
      <c r="H6369">
        <v>10430</v>
      </c>
      <c r="I6369">
        <v>10430</v>
      </c>
    </row>
    <row r="6370" spans="1:9">
      <c r="A6370" s="25" t="s">
        <v>192</v>
      </c>
      <c r="B6370" t="s">
        <v>192</v>
      </c>
      <c r="C6370" t="s">
        <v>1634</v>
      </c>
      <c r="D6370" s="1">
        <v>1E-3</v>
      </c>
      <c r="E6370" s="1">
        <v>2.8999999999999998E-3</v>
      </c>
      <c r="F6370" s="1">
        <v>7.1000000000000004E-3</v>
      </c>
      <c r="G6370">
        <v>10430</v>
      </c>
      <c r="H6370">
        <v>10430</v>
      </c>
      <c r="I6370">
        <v>10430</v>
      </c>
    </row>
    <row r="6371" spans="1:9">
      <c r="A6371" s="25" t="s">
        <v>192</v>
      </c>
      <c r="B6371" t="s">
        <v>192</v>
      </c>
      <c r="C6371" t="s">
        <v>1635</v>
      </c>
      <c r="D6371" s="1">
        <v>4.1200000000000001E-2</v>
      </c>
      <c r="E6371" s="1">
        <v>0.10920000000000001</v>
      </c>
      <c r="F6371" s="1">
        <v>8.8099999999999998E-2</v>
      </c>
      <c r="G6371">
        <v>10430</v>
      </c>
      <c r="H6371">
        <v>10430</v>
      </c>
      <c r="I6371">
        <v>10430</v>
      </c>
    </row>
    <row r="6372" spans="1:9">
      <c r="A6372" s="25" t="s">
        <v>192</v>
      </c>
      <c r="B6372" t="s">
        <v>192</v>
      </c>
      <c r="C6372" t="s">
        <v>1636</v>
      </c>
      <c r="D6372" s="1">
        <v>2.0000000000000001E-4</v>
      </c>
      <c r="E6372" s="1">
        <v>1.8E-3</v>
      </c>
      <c r="F6372" s="1">
        <v>5.1999999999999998E-3</v>
      </c>
      <c r="G6372">
        <v>10430</v>
      </c>
      <c r="H6372">
        <v>10430</v>
      </c>
      <c r="I6372">
        <v>10430</v>
      </c>
    </row>
    <row r="6373" spans="1:9">
      <c r="A6373" s="25" t="s">
        <v>192</v>
      </c>
      <c r="B6373" t="s">
        <v>192</v>
      </c>
      <c r="C6373" t="s">
        <v>1637</v>
      </c>
      <c r="D6373" s="1">
        <v>2.53E-2</v>
      </c>
      <c r="E6373" s="1">
        <v>4.3900000000000002E-2</v>
      </c>
      <c r="F6373" s="1">
        <v>3.6700000000000003E-2</v>
      </c>
      <c r="G6373">
        <v>10430</v>
      </c>
      <c r="H6373">
        <v>10430</v>
      </c>
      <c r="I6373">
        <v>10430</v>
      </c>
    </row>
    <row r="6374" spans="1:9">
      <c r="A6374" s="25" t="s">
        <v>192</v>
      </c>
      <c r="B6374" t="s">
        <v>192</v>
      </c>
      <c r="C6374" t="s">
        <v>1638</v>
      </c>
      <c r="D6374" s="1">
        <v>3.0999999999999999E-3</v>
      </c>
      <c r="E6374" s="1">
        <v>7.3000000000000001E-3</v>
      </c>
      <c r="F6374" s="1">
        <v>1.0500000000000001E-2</v>
      </c>
      <c r="G6374">
        <v>10430</v>
      </c>
      <c r="H6374">
        <v>10430</v>
      </c>
      <c r="I6374">
        <v>10430</v>
      </c>
    </row>
    <row r="6375" spans="1:9">
      <c r="A6375" s="25" t="s">
        <v>192</v>
      </c>
      <c r="B6375" t="s">
        <v>192</v>
      </c>
      <c r="C6375" t="s">
        <v>1639</v>
      </c>
      <c r="D6375" s="1">
        <v>1.9E-3</v>
      </c>
      <c r="E6375" s="1">
        <v>4.3E-3</v>
      </c>
      <c r="F6375" s="1">
        <v>4.0000000000000001E-3</v>
      </c>
      <c r="G6375">
        <v>10430</v>
      </c>
      <c r="H6375">
        <v>10430</v>
      </c>
      <c r="I6375">
        <v>10430</v>
      </c>
    </row>
    <row r="6376" spans="1:9">
      <c r="A6376" s="25" t="s">
        <v>192</v>
      </c>
      <c r="B6376" t="s">
        <v>192</v>
      </c>
      <c r="C6376" t="s">
        <v>1640</v>
      </c>
      <c r="D6376" s="1">
        <v>4.0000000000000001E-3</v>
      </c>
      <c r="E6376" s="1">
        <v>1.4E-2</v>
      </c>
      <c r="F6376" s="1">
        <v>1.38E-2</v>
      </c>
      <c r="G6376">
        <v>10430</v>
      </c>
      <c r="H6376">
        <v>10430</v>
      </c>
      <c r="I6376">
        <v>10430</v>
      </c>
    </row>
    <row r="6377" spans="1:9">
      <c r="A6377" s="25" t="s">
        <v>192</v>
      </c>
      <c r="B6377" t="s">
        <v>192</v>
      </c>
      <c r="C6377" t="s">
        <v>1641</v>
      </c>
      <c r="D6377" s="1">
        <v>1.4500000000000001E-2</v>
      </c>
      <c r="E6377" s="1">
        <v>7.3200000000000001E-2</v>
      </c>
      <c r="F6377" s="1">
        <v>7.7799999999999994E-2</v>
      </c>
      <c r="G6377">
        <v>10430</v>
      </c>
      <c r="H6377">
        <v>10430</v>
      </c>
      <c r="I6377">
        <v>10430</v>
      </c>
    </row>
    <row r="6378" spans="1:9">
      <c r="A6378" s="25" t="s">
        <v>192</v>
      </c>
      <c r="B6378" t="s">
        <v>192</v>
      </c>
      <c r="C6378" t="s">
        <v>1651</v>
      </c>
      <c r="D6378" s="1">
        <v>6.9999999999999999E-4</v>
      </c>
      <c r="E6378" s="1">
        <v>3.8E-3</v>
      </c>
      <c r="F6378" s="1">
        <v>7.6E-3</v>
      </c>
      <c r="G6378">
        <v>10430</v>
      </c>
      <c r="H6378">
        <v>10430</v>
      </c>
      <c r="I6378">
        <v>10430</v>
      </c>
    </row>
    <row r="6379" spans="1:9">
      <c r="A6379" s="25" t="s">
        <v>192</v>
      </c>
      <c r="B6379" t="s">
        <v>192</v>
      </c>
      <c r="C6379" t="s">
        <v>1642</v>
      </c>
      <c r="D6379" s="1">
        <v>9.7000000000000003E-3</v>
      </c>
      <c r="E6379" s="1">
        <v>4.5600000000000002E-2</v>
      </c>
      <c r="F6379" s="1">
        <v>4.5100000000000001E-2</v>
      </c>
      <c r="G6379">
        <v>10430</v>
      </c>
      <c r="H6379">
        <v>10430</v>
      </c>
      <c r="I6379">
        <v>10430</v>
      </c>
    </row>
    <row r="6380" spans="1:9">
      <c r="A6380" s="25" t="s">
        <v>192</v>
      </c>
      <c r="B6380" t="s">
        <v>192</v>
      </c>
      <c r="C6380" t="s">
        <v>1643</v>
      </c>
      <c r="D6380" s="1">
        <v>3.2000000000000002E-3</v>
      </c>
      <c r="E6380" s="1">
        <v>4.8999999999999998E-3</v>
      </c>
      <c r="F6380" s="1">
        <v>8.8000000000000005E-3</v>
      </c>
      <c r="G6380">
        <v>10430</v>
      </c>
      <c r="H6380">
        <v>10430</v>
      </c>
      <c r="I6380">
        <v>10430</v>
      </c>
    </row>
    <row r="6381" spans="1:9">
      <c r="A6381" s="25" t="s">
        <v>192</v>
      </c>
      <c r="B6381" t="s">
        <v>192</v>
      </c>
      <c r="C6381" t="s">
        <v>1644</v>
      </c>
      <c r="D6381" s="1">
        <v>1E-3</v>
      </c>
      <c r="E6381" s="1">
        <v>5.4999999999999997E-3</v>
      </c>
      <c r="F6381" s="1">
        <v>1.2699999999999999E-2</v>
      </c>
      <c r="G6381">
        <v>10430</v>
      </c>
      <c r="H6381">
        <v>10430</v>
      </c>
      <c r="I6381">
        <v>10430</v>
      </c>
    </row>
    <row r="6382" spans="1:9">
      <c r="A6382" s="25" t="s">
        <v>192</v>
      </c>
      <c r="B6382" t="s">
        <v>192</v>
      </c>
      <c r="C6382" t="s">
        <v>1645</v>
      </c>
      <c r="D6382" s="1">
        <v>8.0000000000000004E-4</v>
      </c>
      <c r="E6382" s="1">
        <v>1E-3</v>
      </c>
      <c r="F6382" s="1">
        <v>3.8E-3</v>
      </c>
      <c r="G6382">
        <v>10430</v>
      </c>
      <c r="H6382">
        <v>10430</v>
      </c>
      <c r="I6382">
        <v>10430</v>
      </c>
    </row>
    <row r="6383" spans="1:9">
      <c r="A6383" s="25" t="s">
        <v>192</v>
      </c>
      <c r="B6383" t="s">
        <v>192</v>
      </c>
      <c r="C6383" t="s">
        <v>1646</v>
      </c>
      <c r="D6383" s="1">
        <v>1.6999999999999999E-3</v>
      </c>
      <c r="E6383" s="1">
        <v>1.38E-2</v>
      </c>
      <c r="F6383" s="1">
        <v>2.7699999999999999E-2</v>
      </c>
      <c r="G6383">
        <v>10430</v>
      </c>
      <c r="H6383">
        <v>10430</v>
      </c>
      <c r="I6383">
        <v>10430</v>
      </c>
    </row>
    <row r="6384" spans="1:9">
      <c r="A6384" s="25" t="s">
        <v>192</v>
      </c>
      <c r="B6384" t="s">
        <v>192</v>
      </c>
      <c r="C6384" t="s">
        <v>1647</v>
      </c>
      <c r="D6384" s="1">
        <v>5.4999999999999997E-3</v>
      </c>
      <c r="E6384" s="1">
        <v>1.9199999999999998E-2</v>
      </c>
      <c r="F6384" s="1">
        <v>2.98E-2</v>
      </c>
      <c r="G6384">
        <v>10430</v>
      </c>
      <c r="H6384">
        <v>10430</v>
      </c>
      <c r="I6384">
        <v>10430</v>
      </c>
    </row>
    <row r="6385" spans="1:9">
      <c r="A6385" s="25" t="s">
        <v>192</v>
      </c>
      <c r="B6385" t="s">
        <v>192</v>
      </c>
      <c r="C6385" t="s">
        <v>1648</v>
      </c>
      <c r="D6385" s="1">
        <v>0.28689999999999999</v>
      </c>
      <c r="E6385" s="1">
        <v>0.13789999999999999</v>
      </c>
      <c r="F6385" s="1">
        <v>5.3699999999999998E-2</v>
      </c>
      <c r="G6385">
        <v>10430</v>
      </c>
      <c r="H6385">
        <v>10430</v>
      </c>
      <c r="I6385">
        <v>10430</v>
      </c>
    </row>
    <row r="6386" spans="1:9">
      <c r="A6386" s="25" t="s">
        <v>192</v>
      </c>
      <c r="B6386" t="s">
        <v>192</v>
      </c>
      <c r="C6386" t="s">
        <v>1649</v>
      </c>
      <c r="D6386" s="1">
        <v>0.2114</v>
      </c>
      <c r="E6386" s="1">
        <v>6.6199999999999995E-2</v>
      </c>
      <c r="F6386" s="1">
        <v>4.0399999999999998E-2</v>
      </c>
      <c r="G6386">
        <v>10430</v>
      </c>
      <c r="H6386">
        <v>10430</v>
      </c>
      <c r="I6386">
        <v>10430</v>
      </c>
    </row>
    <row r="6387" spans="1:9">
      <c r="A6387" s="25" t="s">
        <v>192</v>
      </c>
      <c r="B6387" t="s">
        <v>192</v>
      </c>
      <c r="C6387" t="s">
        <v>324</v>
      </c>
      <c r="D6387" s="1">
        <v>0.34429999999999999</v>
      </c>
      <c r="E6387" s="1">
        <v>0.34960000000000002</v>
      </c>
      <c r="F6387" s="1">
        <v>0.38229999999999997</v>
      </c>
      <c r="G6387">
        <v>10430</v>
      </c>
      <c r="H6387">
        <v>10430</v>
      </c>
      <c r="I6387">
        <v>10430</v>
      </c>
    </row>
    <row r="6388" spans="1:9">
      <c r="A6388" s="25" t="s">
        <v>192</v>
      </c>
      <c r="B6388" t="s">
        <v>192</v>
      </c>
      <c r="C6388" t="s">
        <v>269</v>
      </c>
      <c r="D6388" s="1">
        <v>2.0999999999999999E-3</v>
      </c>
      <c r="E6388" s="1">
        <v>4.3E-3</v>
      </c>
      <c r="F6388" s="1">
        <v>6.8999999999999999E-3</v>
      </c>
      <c r="G6388">
        <v>10430</v>
      </c>
      <c r="H6388">
        <v>10430</v>
      </c>
      <c r="I6388">
        <v>10430</v>
      </c>
    </row>
    <row r="6389" spans="1:9">
      <c r="A6389" s="25" t="s">
        <v>192</v>
      </c>
      <c r="B6389" t="s">
        <v>192</v>
      </c>
      <c r="C6389" t="s">
        <v>243</v>
      </c>
      <c r="D6389" s="1">
        <v>2.0999999999999999E-3</v>
      </c>
      <c r="E6389" s="1">
        <v>1E-4</v>
      </c>
      <c r="F6389" s="1">
        <v>1.5E-3</v>
      </c>
      <c r="G6389">
        <v>10430</v>
      </c>
      <c r="H6389">
        <v>10430</v>
      </c>
      <c r="I6389">
        <v>10430</v>
      </c>
    </row>
    <row r="6390" spans="1:9">
      <c r="A6390" s="25" t="s">
        <v>192</v>
      </c>
      <c r="B6390" t="s">
        <v>192</v>
      </c>
      <c r="C6390" t="s">
        <v>1650</v>
      </c>
      <c r="D6390" s="1">
        <v>8.0000000000000004E-4</v>
      </c>
      <c r="E6390" s="1">
        <v>4.8999999999999998E-3</v>
      </c>
      <c r="F6390" s="1">
        <v>7.4999999999999997E-3</v>
      </c>
      <c r="G6390">
        <v>10430</v>
      </c>
      <c r="H6390">
        <v>10430</v>
      </c>
      <c r="I6390">
        <v>10430</v>
      </c>
    </row>
    <row r="6392" spans="1:9" ht="43.5">
      <c r="A6392" s="25" t="s">
        <v>1657</v>
      </c>
    </row>
    <row r="6393" spans="1:9">
      <c r="A6393" s="25" t="s">
        <v>181</v>
      </c>
      <c r="B6393" t="s">
        <v>182</v>
      </c>
      <c r="C6393" t="s">
        <v>1015</v>
      </c>
      <c r="D6393" t="s">
        <v>1628</v>
      </c>
      <c r="E6393" t="s">
        <v>1629</v>
      </c>
      <c r="F6393" t="s">
        <v>1630</v>
      </c>
      <c r="G6393" t="s">
        <v>1026</v>
      </c>
      <c r="H6393" t="s">
        <v>219</v>
      </c>
      <c r="I6393" t="s">
        <v>188</v>
      </c>
    </row>
    <row r="6394" spans="1:9">
      <c r="A6394" s="25" t="s">
        <v>189</v>
      </c>
      <c r="B6394" t="s">
        <v>207</v>
      </c>
      <c r="C6394" t="s">
        <v>1631</v>
      </c>
      <c r="D6394" s="1">
        <v>1E-3</v>
      </c>
      <c r="E6394" s="1">
        <v>5.7999999999999996E-3</v>
      </c>
      <c r="F6394" s="1">
        <v>8.0000000000000002E-3</v>
      </c>
      <c r="G6394">
        <v>7267</v>
      </c>
      <c r="H6394">
        <v>7252</v>
      </c>
      <c r="I6394">
        <v>10430</v>
      </c>
    </row>
    <row r="6395" spans="1:9">
      <c r="A6395" s="25" t="s">
        <v>189</v>
      </c>
      <c r="B6395" t="s">
        <v>207</v>
      </c>
      <c r="C6395" t="s">
        <v>241</v>
      </c>
      <c r="D6395" s="1">
        <v>1.0800000000000001E-2</v>
      </c>
      <c r="E6395" s="1">
        <v>2.7099999999999999E-2</v>
      </c>
      <c r="F6395" s="1">
        <v>5.96E-2</v>
      </c>
      <c r="G6395">
        <v>7267</v>
      </c>
      <c r="H6395">
        <v>7252</v>
      </c>
      <c r="I6395">
        <v>10430</v>
      </c>
    </row>
    <row r="6396" spans="1:9">
      <c r="A6396" s="25" t="s">
        <v>189</v>
      </c>
      <c r="B6396" t="s">
        <v>207</v>
      </c>
      <c r="C6396" t="s">
        <v>1632</v>
      </c>
      <c r="D6396" s="1">
        <v>1.67E-2</v>
      </c>
      <c r="E6396" s="1">
        <v>4.5400000000000003E-2</v>
      </c>
      <c r="F6396" s="1">
        <v>5.3900000000000003E-2</v>
      </c>
      <c r="G6396">
        <v>7267</v>
      </c>
      <c r="H6396">
        <v>7252</v>
      </c>
      <c r="I6396">
        <v>10430</v>
      </c>
    </row>
    <row r="6397" spans="1:9">
      <c r="A6397" s="25" t="s">
        <v>189</v>
      </c>
      <c r="B6397" t="s">
        <v>207</v>
      </c>
      <c r="C6397" t="s">
        <v>1633</v>
      </c>
      <c r="D6397" s="1">
        <v>1.2E-2</v>
      </c>
      <c r="E6397" s="1">
        <v>1.29E-2</v>
      </c>
      <c r="F6397" s="1">
        <v>1.1900000000000001E-2</v>
      </c>
      <c r="G6397">
        <v>7267</v>
      </c>
      <c r="H6397">
        <v>7252</v>
      </c>
      <c r="I6397">
        <v>10430</v>
      </c>
    </row>
    <row r="6398" spans="1:9">
      <c r="A6398" s="25" t="s">
        <v>189</v>
      </c>
      <c r="B6398" t="s">
        <v>207</v>
      </c>
      <c r="C6398" t="s">
        <v>1634</v>
      </c>
      <c r="D6398" s="1">
        <v>1.1999999999999999E-3</v>
      </c>
      <c r="E6398" s="1">
        <v>1.1999999999999999E-3</v>
      </c>
      <c r="F6398" s="1">
        <v>4.8999999999999998E-3</v>
      </c>
      <c r="G6398">
        <v>7267</v>
      </c>
      <c r="H6398">
        <v>7252</v>
      </c>
      <c r="I6398">
        <v>10430</v>
      </c>
    </row>
    <row r="6399" spans="1:9">
      <c r="A6399" s="25" t="s">
        <v>189</v>
      </c>
      <c r="B6399" t="s">
        <v>207</v>
      </c>
      <c r="C6399" t="s">
        <v>1635</v>
      </c>
      <c r="D6399" s="1">
        <v>3.7600000000000001E-2</v>
      </c>
      <c r="E6399" s="1">
        <v>0.1057</v>
      </c>
      <c r="F6399" s="1">
        <v>8.3699999999999997E-2</v>
      </c>
      <c r="G6399">
        <v>7267</v>
      </c>
      <c r="H6399">
        <v>7252</v>
      </c>
      <c r="I6399">
        <v>10430</v>
      </c>
    </row>
    <row r="6400" spans="1:9">
      <c r="A6400" s="25" t="s">
        <v>189</v>
      </c>
      <c r="B6400" t="s">
        <v>207</v>
      </c>
      <c r="C6400" t="s">
        <v>1636</v>
      </c>
      <c r="D6400" s="1">
        <v>0</v>
      </c>
      <c r="E6400" s="1">
        <v>1.5E-3</v>
      </c>
      <c r="F6400" s="1">
        <v>6.3E-3</v>
      </c>
      <c r="G6400">
        <v>7267</v>
      </c>
      <c r="H6400">
        <v>7252</v>
      </c>
      <c r="I6400">
        <v>10430</v>
      </c>
    </row>
    <row r="6401" spans="1:9">
      <c r="A6401" s="25" t="s">
        <v>189</v>
      </c>
      <c r="B6401" t="s">
        <v>207</v>
      </c>
      <c r="C6401" t="s">
        <v>1637</v>
      </c>
      <c r="D6401" s="1">
        <v>2.6499999999999999E-2</v>
      </c>
      <c r="E6401" s="1">
        <v>4.8899999999999999E-2</v>
      </c>
      <c r="F6401" s="1">
        <v>2.98E-2</v>
      </c>
      <c r="G6401">
        <v>7267</v>
      </c>
      <c r="H6401">
        <v>7252</v>
      </c>
      <c r="I6401">
        <v>10430</v>
      </c>
    </row>
    <row r="6402" spans="1:9">
      <c r="A6402" s="25" t="s">
        <v>189</v>
      </c>
      <c r="B6402" t="s">
        <v>207</v>
      </c>
      <c r="C6402" t="s">
        <v>1638</v>
      </c>
      <c r="D6402" s="1">
        <v>3.8E-3</v>
      </c>
      <c r="E6402" s="1">
        <v>7.6E-3</v>
      </c>
      <c r="F6402" s="1">
        <v>1.1299999999999999E-2</v>
      </c>
      <c r="G6402">
        <v>7267</v>
      </c>
      <c r="H6402">
        <v>7252</v>
      </c>
      <c r="I6402">
        <v>10430</v>
      </c>
    </row>
    <row r="6403" spans="1:9">
      <c r="A6403" s="25" t="s">
        <v>189</v>
      </c>
      <c r="B6403" t="s">
        <v>207</v>
      </c>
      <c r="C6403" t="s">
        <v>1639</v>
      </c>
      <c r="D6403" s="1">
        <v>1.2999999999999999E-3</v>
      </c>
      <c r="E6403" s="1">
        <v>5.8999999999999999E-3</v>
      </c>
      <c r="F6403" s="1">
        <v>4.7999999999999996E-3</v>
      </c>
      <c r="G6403">
        <v>7267</v>
      </c>
      <c r="H6403">
        <v>7252</v>
      </c>
      <c r="I6403">
        <v>10430</v>
      </c>
    </row>
    <row r="6404" spans="1:9">
      <c r="A6404" s="25" t="s">
        <v>189</v>
      </c>
      <c r="B6404" t="s">
        <v>207</v>
      </c>
      <c r="C6404" t="s">
        <v>1640</v>
      </c>
      <c r="D6404" s="1">
        <v>3.8999999999999998E-3</v>
      </c>
      <c r="E6404" s="1">
        <v>1.38E-2</v>
      </c>
      <c r="F6404" s="1">
        <v>1.3100000000000001E-2</v>
      </c>
      <c r="G6404">
        <v>7267</v>
      </c>
      <c r="H6404">
        <v>7252</v>
      </c>
      <c r="I6404">
        <v>10430</v>
      </c>
    </row>
    <row r="6405" spans="1:9">
      <c r="A6405" s="25" t="s">
        <v>189</v>
      </c>
      <c r="B6405" t="s">
        <v>207</v>
      </c>
      <c r="C6405" t="s">
        <v>1641</v>
      </c>
      <c r="D6405" s="1">
        <v>1.49E-2</v>
      </c>
      <c r="E6405" s="1">
        <v>6.0499999999999998E-2</v>
      </c>
      <c r="F6405" s="1">
        <v>6.8500000000000005E-2</v>
      </c>
      <c r="G6405">
        <v>7267</v>
      </c>
      <c r="H6405">
        <v>7252</v>
      </c>
      <c r="I6405">
        <v>10430</v>
      </c>
    </row>
    <row r="6406" spans="1:9">
      <c r="A6406" s="25" t="s">
        <v>189</v>
      </c>
      <c r="B6406" t="s">
        <v>207</v>
      </c>
      <c r="C6406" t="s">
        <v>1651</v>
      </c>
      <c r="D6406" s="1">
        <v>5.9999999999999995E-4</v>
      </c>
      <c r="E6406" s="1">
        <v>4.1000000000000003E-3</v>
      </c>
      <c r="F6406" s="1">
        <v>8.5000000000000006E-3</v>
      </c>
      <c r="G6406">
        <v>7267</v>
      </c>
      <c r="H6406">
        <v>7252</v>
      </c>
      <c r="I6406">
        <v>10430</v>
      </c>
    </row>
    <row r="6407" spans="1:9">
      <c r="A6407" s="25" t="s">
        <v>189</v>
      </c>
      <c r="B6407" t="s">
        <v>207</v>
      </c>
      <c r="C6407" t="s">
        <v>1642</v>
      </c>
      <c r="D6407" s="1">
        <v>1.0500000000000001E-2</v>
      </c>
      <c r="E6407" s="1">
        <v>4.7300000000000002E-2</v>
      </c>
      <c r="F6407" s="1">
        <v>4.9000000000000002E-2</v>
      </c>
      <c r="G6407">
        <v>7267</v>
      </c>
      <c r="H6407">
        <v>7252</v>
      </c>
      <c r="I6407">
        <v>10430</v>
      </c>
    </row>
    <row r="6408" spans="1:9">
      <c r="A6408" s="25" t="s">
        <v>189</v>
      </c>
      <c r="B6408" t="s">
        <v>207</v>
      </c>
      <c r="C6408" t="s">
        <v>1643</v>
      </c>
      <c r="D6408" s="1">
        <v>3.0000000000000001E-3</v>
      </c>
      <c r="E6408" s="1">
        <v>6.0000000000000001E-3</v>
      </c>
      <c r="F6408" s="1">
        <v>8.6999999999999994E-3</v>
      </c>
      <c r="G6408">
        <v>7267</v>
      </c>
      <c r="H6408">
        <v>7252</v>
      </c>
      <c r="I6408">
        <v>10430</v>
      </c>
    </row>
    <row r="6409" spans="1:9">
      <c r="A6409" s="25" t="s">
        <v>189</v>
      </c>
      <c r="B6409" t="s">
        <v>207</v>
      </c>
      <c r="C6409" t="s">
        <v>1644</v>
      </c>
      <c r="D6409" s="1">
        <v>8.9999999999999998E-4</v>
      </c>
      <c r="E6409" s="1">
        <v>4.7000000000000002E-3</v>
      </c>
      <c r="F6409" s="1">
        <v>1.1299999999999999E-2</v>
      </c>
      <c r="G6409">
        <v>7267</v>
      </c>
      <c r="H6409">
        <v>7252</v>
      </c>
      <c r="I6409">
        <v>10430</v>
      </c>
    </row>
    <row r="6410" spans="1:9">
      <c r="A6410" s="25" t="s">
        <v>189</v>
      </c>
      <c r="B6410" t="s">
        <v>207</v>
      </c>
      <c r="C6410" t="s">
        <v>1645</v>
      </c>
      <c r="D6410" s="1">
        <v>8.9999999999999998E-4</v>
      </c>
      <c r="E6410" s="1">
        <v>1.1000000000000001E-3</v>
      </c>
      <c r="F6410" s="1">
        <v>4.1999999999999997E-3</v>
      </c>
      <c r="G6410">
        <v>7267</v>
      </c>
      <c r="H6410">
        <v>7252</v>
      </c>
      <c r="I6410">
        <v>10430</v>
      </c>
    </row>
    <row r="6411" spans="1:9">
      <c r="A6411" s="25" t="s">
        <v>189</v>
      </c>
      <c r="B6411" t="s">
        <v>207</v>
      </c>
      <c r="C6411" t="s">
        <v>1646</v>
      </c>
      <c r="D6411" s="1">
        <v>6.9999999999999999E-4</v>
      </c>
      <c r="E6411" s="1">
        <v>1.0200000000000001E-2</v>
      </c>
      <c r="F6411" s="1">
        <v>2.5399999999999999E-2</v>
      </c>
      <c r="G6411">
        <v>7267</v>
      </c>
      <c r="H6411">
        <v>7252</v>
      </c>
      <c r="I6411">
        <v>10430</v>
      </c>
    </row>
    <row r="6412" spans="1:9">
      <c r="A6412" s="25" t="s">
        <v>189</v>
      </c>
      <c r="B6412" t="s">
        <v>207</v>
      </c>
      <c r="C6412" t="s">
        <v>1647</v>
      </c>
      <c r="D6412" s="1">
        <v>5.4000000000000003E-3</v>
      </c>
      <c r="E6412" s="1">
        <v>1.5599999999999999E-2</v>
      </c>
      <c r="F6412" s="1">
        <v>2.7E-2</v>
      </c>
      <c r="G6412">
        <v>7267</v>
      </c>
      <c r="H6412">
        <v>7252</v>
      </c>
      <c r="I6412">
        <v>10430</v>
      </c>
    </row>
    <row r="6413" spans="1:9">
      <c r="A6413" s="25" t="s">
        <v>189</v>
      </c>
      <c r="B6413" t="s">
        <v>207</v>
      </c>
      <c r="C6413" t="s">
        <v>1648</v>
      </c>
      <c r="D6413" s="1">
        <v>0.26450000000000001</v>
      </c>
      <c r="E6413" s="1">
        <v>0.13500000000000001</v>
      </c>
      <c r="F6413" s="1">
        <v>5.9700000000000003E-2</v>
      </c>
      <c r="G6413">
        <v>7267</v>
      </c>
      <c r="H6413">
        <v>7252</v>
      </c>
      <c r="I6413">
        <v>10430</v>
      </c>
    </row>
    <row r="6414" spans="1:9">
      <c r="A6414" s="25" t="s">
        <v>189</v>
      </c>
      <c r="B6414" t="s">
        <v>207</v>
      </c>
      <c r="C6414" t="s">
        <v>1649</v>
      </c>
      <c r="D6414" s="1">
        <v>0.21879999999999999</v>
      </c>
      <c r="E6414" s="1">
        <v>6.6199999999999995E-2</v>
      </c>
      <c r="F6414" s="1">
        <v>4.3200000000000002E-2</v>
      </c>
      <c r="G6414">
        <v>7267</v>
      </c>
      <c r="H6414">
        <v>7252</v>
      </c>
      <c r="I6414">
        <v>10430</v>
      </c>
    </row>
    <row r="6415" spans="1:9">
      <c r="A6415" s="25" t="s">
        <v>189</v>
      </c>
      <c r="B6415" t="s">
        <v>207</v>
      </c>
      <c r="C6415" t="s">
        <v>324</v>
      </c>
      <c r="D6415" s="1">
        <v>0.35870000000000002</v>
      </c>
      <c r="E6415" s="1">
        <v>0.36299999999999999</v>
      </c>
      <c r="F6415" s="1">
        <v>0.39079999999999998</v>
      </c>
      <c r="G6415">
        <v>7267</v>
      </c>
      <c r="H6415">
        <v>7252</v>
      </c>
      <c r="I6415">
        <v>10430</v>
      </c>
    </row>
    <row r="6416" spans="1:9">
      <c r="A6416" s="25" t="s">
        <v>189</v>
      </c>
      <c r="B6416" t="s">
        <v>207</v>
      </c>
      <c r="C6416" t="s">
        <v>269</v>
      </c>
      <c r="D6416" s="1">
        <v>2.3E-3</v>
      </c>
      <c r="E6416" s="1">
        <v>5.1000000000000004E-3</v>
      </c>
      <c r="F6416" s="1">
        <v>8.3000000000000001E-3</v>
      </c>
      <c r="G6416">
        <v>7267</v>
      </c>
      <c r="H6416">
        <v>7252</v>
      </c>
      <c r="I6416">
        <v>10430</v>
      </c>
    </row>
    <row r="6417" spans="1:9">
      <c r="A6417" s="25" t="s">
        <v>189</v>
      </c>
      <c r="B6417" t="s">
        <v>207</v>
      </c>
      <c r="C6417" t="s">
        <v>243</v>
      </c>
      <c r="D6417" s="1">
        <v>2.5000000000000001E-3</v>
      </c>
      <c r="E6417" s="1">
        <v>1E-4</v>
      </c>
      <c r="F6417" s="1">
        <v>1.2999999999999999E-3</v>
      </c>
      <c r="G6417">
        <v>7267</v>
      </c>
      <c r="H6417">
        <v>7252</v>
      </c>
      <c r="I6417">
        <v>10430</v>
      </c>
    </row>
    <row r="6418" spans="1:9">
      <c r="A6418" s="25" t="s">
        <v>189</v>
      </c>
      <c r="B6418" t="s">
        <v>207</v>
      </c>
      <c r="C6418" t="s">
        <v>1650</v>
      </c>
      <c r="D6418" s="1">
        <v>1.1999999999999999E-3</v>
      </c>
      <c r="E6418" s="1">
        <v>5.3E-3</v>
      </c>
      <c r="F6418" s="1">
        <v>6.8999999999999999E-3</v>
      </c>
      <c r="G6418">
        <v>7267</v>
      </c>
      <c r="H6418">
        <v>7252</v>
      </c>
      <c r="I6418">
        <v>10430</v>
      </c>
    </row>
    <row r="6419" spans="1:9">
      <c r="A6419" s="25" t="s">
        <v>189</v>
      </c>
      <c r="B6419" t="s">
        <v>208</v>
      </c>
      <c r="C6419" t="s">
        <v>241</v>
      </c>
      <c r="D6419" s="1">
        <v>1.4E-2</v>
      </c>
      <c r="E6419" s="1">
        <v>3.49E-2</v>
      </c>
      <c r="F6419" s="1">
        <v>4.7899999999999998E-2</v>
      </c>
      <c r="G6419">
        <v>2343</v>
      </c>
      <c r="H6419">
        <v>2244</v>
      </c>
      <c r="I6419">
        <v>10430</v>
      </c>
    </row>
    <row r="6420" spans="1:9">
      <c r="A6420" s="25" t="s">
        <v>189</v>
      </c>
      <c r="B6420" t="s">
        <v>208</v>
      </c>
      <c r="C6420" t="s">
        <v>1632</v>
      </c>
      <c r="D6420" s="1">
        <v>8.2000000000000007E-3</v>
      </c>
      <c r="E6420" s="1">
        <v>2.2800000000000001E-2</v>
      </c>
      <c r="F6420" s="1">
        <v>3.8199999999999998E-2</v>
      </c>
      <c r="G6420">
        <v>2343</v>
      </c>
      <c r="H6420">
        <v>2244</v>
      </c>
      <c r="I6420">
        <v>10430</v>
      </c>
    </row>
    <row r="6421" spans="1:9">
      <c r="A6421" s="25" t="s">
        <v>189</v>
      </c>
      <c r="B6421" t="s">
        <v>208</v>
      </c>
      <c r="C6421" t="s">
        <v>1633</v>
      </c>
      <c r="D6421" s="1">
        <v>8.6E-3</v>
      </c>
      <c r="E6421" s="1">
        <v>1.32E-2</v>
      </c>
      <c r="F6421" s="1">
        <v>3.1099999999999999E-2</v>
      </c>
      <c r="G6421">
        <v>2343</v>
      </c>
      <c r="H6421">
        <v>2244</v>
      </c>
      <c r="I6421">
        <v>10430</v>
      </c>
    </row>
    <row r="6422" spans="1:9">
      <c r="A6422" s="25" t="s">
        <v>189</v>
      </c>
      <c r="B6422" t="s">
        <v>208</v>
      </c>
      <c r="C6422" t="s">
        <v>1634</v>
      </c>
      <c r="D6422" s="1">
        <v>8.0000000000000004E-4</v>
      </c>
      <c r="E6422" s="1">
        <v>5.8999999999999999E-3</v>
      </c>
      <c r="F6422" s="1">
        <v>0.01</v>
      </c>
      <c r="G6422">
        <v>2343</v>
      </c>
      <c r="H6422">
        <v>2244</v>
      </c>
      <c r="I6422">
        <v>10430</v>
      </c>
    </row>
    <row r="6423" spans="1:9">
      <c r="A6423" s="25" t="s">
        <v>189</v>
      </c>
      <c r="B6423" t="s">
        <v>208</v>
      </c>
      <c r="C6423" t="s">
        <v>1635</v>
      </c>
      <c r="D6423" s="1">
        <v>5.2200000000000003E-2</v>
      </c>
      <c r="E6423" s="1">
        <v>0.1235</v>
      </c>
      <c r="F6423" s="1">
        <v>0.1051</v>
      </c>
      <c r="G6423">
        <v>2343</v>
      </c>
      <c r="H6423">
        <v>2244</v>
      </c>
      <c r="I6423">
        <v>10430</v>
      </c>
    </row>
    <row r="6424" spans="1:9">
      <c r="A6424" s="25" t="s">
        <v>189</v>
      </c>
      <c r="B6424" t="s">
        <v>208</v>
      </c>
      <c r="C6424" t="s">
        <v>1636</v>
      </c>
      <c r="D6424" s="1">
        <v>2.0000000000000001E-4</v>
      </c>
      <c r="E6424" s="1">
        <v>2.7000000000000001E-3</v>
      </c>
      <c r="F6424" s="1">
        <v>3.8E-3</v>
      </c>
      <c r="G6424">
        <v>2343</v>
      </c>
      <c r="H6424">
        <v>2244</v>
      </c>
      <c r="I6424">
        <v>10430</v>
      </c>
    </row>
    <row r="6425" spans="1:9">
      <c r="A6425" s="25" t="s">
        <v>189</v>
      </c>
      <c r="B6425" t="s">
        <v>208</v>
      </c>
      <c r="C6425" t="s">
        <v>1637</v>
      </c>
      <c r="D6425" s="1">
        <v>2.53E-2</v>
      </c>
      <c r="E6425" s="1">
        <v>3.1099999999999999E-2</v>
      </c>
      <c r="F6425" s="1">
        <v>5.2600000000000001E-2</v>
      </c>
      <c r="G6425">
        <v>2343</v>
      </c>
      <c r="H6425">
        <v>2244</v>
      </c>
      <c r="I6425">
        <v>10430</v>
      </c>
    </row>
    <row r="6426" spans="1:9">
      <c r="A6426" s="25" t="s">
        <v>189</v>
      </c>
      <c r="B6426" t="s">
        <v>208</v>
      </c>
      <c r="C6426" t="s">
        <v>1638</v>
      </c>
      <c r="D6426" s="1">
        <v>2E-3</v>
      </c>
      <c r="E6426" s="1">
        <v>7.0000000000000001E-3</v>
      </c>
      <c r="F6426" s="1">
        <v>7.7000000000000002E-3</v>
      </c>
      <c r="G6426">
        <v>2343</v>
      </c>
      <c r="H6426">
        <v>2244</v>
      </c>
      <c r="I6426">
        <v>10430</v>
      </c>
    </row>
    <row r="6427" spans="1:9">
      <c r="A6427" s="25" t="s">
        <v>189</v>
      </c>
      <c r="B6427" t="s">
        <v>208</v>
      </c>
      <c r="C6427" t="s">
        <v>1639</v>
      </c>
      <c r="D6427" s="1">
        <v>3.2000000000000002E-3</v>
      </c>
      <c r="E6427" s="1">
        <v>5.9999999999999995E-4</v>
      </c>
      <c r="F6427" s="1">
        <v>3.0000000000000001E-3</v>
      </c>
      <c r="G6427">
        <v>2343</v>
      </c>
      <c r="H6427">
        <v>2244</v>
      </c>
      <c r="I6427">
        <v>10430</v>
      </c>
    </row>
    <row r="6428" spans="1:9">
      <c r="A6428" s="25" t="s">
        <v>189</v>
      </c>
      <c r="B6428" t="s">
        <v>208</v>
      </c>
      <c r="C6428" t="s">
        <v>1640</v>
      </c>
      <c r="D6428" s="1">
        <v>5.1999999999999998E-3</v>
      </c>
      <c r="E6428" s="1">
        <v>1.4500000000000001E-2</v>
      </c>
      <c r="F6428" s="1">
        <v>1.7000000000000001E-2</v>
      </c>
      <c r="G6428">
        <v>2343</v>
      </c>
      <c r="H6428">
        <v>2244</v>
      </c>
      <c r="I6428">
        <v>10430</v>
      </c>
    </row>
    <row r="6429" spans="1:9">
      <c r="A6429" s="25" t="s">
        <v>189</v>
      </c>
      <c r="B6429" t="s">
        <v>208</v>
      </c>
      <c r="C6429" t="s">
        <v>1641</v>
      </c>
      <c r="D6429" s="1">
        <v>1.2800000000000001E-2</v>
      </c>
      <c r="E6429" s="1">
        <v>0.1021</v>
      </c>
      <c r="F6429" s="1">
        <v>9.1200000000000003E-2</v>
      </c>
      <c r="G6429">
        <v>2343</v>
      </c>
      <c r="H6429">
        <v>2244</v>
      </c>
      <c r="I6429">
        <v>10430</v>
      </c>
    </row>
    <row r="6430" spans="1:9">
      <c r="A6430" s="25" t="s">
        <v>189</v>
      </c>
      <c r="B6430" t="s">
        <v>208</v>
      </c>
      <c r="C6430" t="s">
        <v>1651</v>
      </c>
      <c r="D6430" s="1">
        <v>2.0000000000000001E-4</v>
      </c>
      <c r="E6430" s="1">
        <v>1.1000000000000001E-3</v>
      </c>
      <c r="F6430" s="1">
        <v>4.3E-3</v>
      </c>
      <c r="G6430">
        <v>2343</v>
      </c>
      <c r="H6430">
        <v>2244</v>
      </c>
      <c r="I6430">
        <v>10430</v>
      </c>
    </row>
    <row r="6431" spans="1:9">
      <c r="A6431" s="25" t="s">
        <v>189</v>
      </c>
      <c r="B6431" t="s">
        <v>208</v>
      </c>
      <c r="C6431" t="s">
        <v>1642</v>
      </c>
      <c r="D6431" s="1">
        <v>8.8999999999999999E-3</v>
      </c>
      <c r="E6431" s="1">
        <v>3.3000000000000002E-2</v>
      </c>
      <c r="F6431" s="1">
        <v>2.8899999999999999E-2</v>
      </c>
      <c r="G6431">
        <v>2343</v>
      </c>
      <c r="H6431">
        <v>2244</v>
      </c>
      <c r="I6431">
        <v>10430</v>
      </c>
    </row>
    <row r="6432" spans="1:9">
      <c r="A6432" s="25" t="s">
        <v>189</v>
      </c>
      <c r="B6432" t="s">
        <v>208</v>
      </c>
      <c r="C6432" t="s">
        <v>1643</v>
      </c>
      <c r="D6432" s="1">
        <v>3.2000000000000002E-3</v>
      </c>
      <c r="E6432" s="1">
        <v>2.5999999999999999E-3</v>
      </c>
      <c r="F6432" s="1">
        <v>1.1599999999999999E-2</v>
      </c>
      <c r="G6432">
        <v>2343</v>
      </c>
      <c r="H6432">
        <v>2244</v>
      </c>
      <c r="I6432">
        <v>10430</v>
      </c>
    </row>
    <row r="6433" spans="1:9">
      <c r="A6433" s="25" t="s">
        <v>189</v>
      </c>
      <c r="B6433" t="s">
        <v>208</v>
      </c>
      <c r="C6433" t="s">
        <v>1644</v>
      </c>
      <c r="D6433" s="1">
        <v>1.6000000000000001E-3</v>
      </c>
      <c r="E6433" s="1">
        <v>8.5000000000000006E-3</v>
      </c>
      <c r="F6433" s="1">
        <v>1.3599999999999999E-2</v>
      </c>
      <c r="G6433">
        <v>2343</v>
      </c>
      <c r="H6433">
        <v>2244</v>
      </c>
      <c r="I6433">
        <v>10430</v>
      </c>
    </row>
    <row r="6434" spans="1:9">
      <c r="A6434" s="25" t="s">
        <v>189</v>
      </c>
      <c r="B6434" t="s">
        <v>208</v>
      </c>
      <c r="C6434" t="s">
        <v>1645</v>
      </c>
      <c r="D6434" s="1">
        <v>1E-4</v>
      </c>
      <c r="E6434" s="1">
        <v>8.9999999999999998E-4</v>
      </c>
      <c r="F6434" s="1">
        <v>2.3999999999999998E-3</v>
      </c>
      <c r="G6434">
        <v>2343</v>
      </c>
      <c r="H6434">
        <v>2244</v>
      </c>
      <c r="I6434">
        <v>10430</v>
      </c>
    </row>
    <row r="6435" spans="1:9">
      <c r="A6435" s="25" t="s">
        <v>189</v>
      </c>
      <c r="B6435" t="s">
        <v>208</v>
      </c>
      <c r="C6435" t="s">
        <v>1646</v>
      </c>
      <c r="D6435" s="1">
        <v>3.8E-3</v>
      </c>
      <c r="E6435" s="1">
        <v>2.5000000000000001E-2</v>
      </c>
      <c r="F6435" s="1">
        <v>3.5999999999999997E-2</v>
      </c>
      <c r="G6435">
        <v>2343</v>
      </c>
      <c r="H6435">
        <v>2244</v>
      </c>
      <c r="I6435">
        <v>10430</v>
      </c>
    </row>
    <row r="6436" spans="1:9">
      <c r="A6436" s="25" t="s">
        <v>189</v>
      </c>
      <c r="B6436" t="s">
        <v>208</v>
      </c>
      <c r="C6436" t="s">
        <v>1647</v>
      </c>
      <c r="D6436" s="1">
        <v>6.1999999999999998E-3</v>
      </c>
      <c r="E6436" s="1">
        <v>2.8799999999999999E-2</v>
      </c>
      <c r="F6436" s="1">
        <v>3.9800000000000002E-2</v>
      </c>
      <c r="G6436">
        <v>2343</v>
      </c>
      <c r="H6436">
        <v>2244</v>
      </c>
      <c r="I6436">
        <v>10430</v>
      </c>
    </row>
    <row r="6437" spans="1:9">
      <c r="A6437" s="25" t="s">
        <v>189</v>
      </c>
      <c r="B6437" t="s">
        <v>208</v>
      </c>
      <c r="C6437" t="s">
        <v>1648</v>
      </c>
      <c r="D6437" s="1">
        <v>0.35699999999999998</v>
      </c>
      <c r="E6437" s="1">
        <v>0.1444</v>
      </c>
      <c r="F6437" s="1">
        <v>4.41E-2</v>
      </c>
      <c r="G6437">
        <v>2343</v>
      </c>
      <c r="H6437">
        <v>2244</v>
      </c>
      <c r="I6437">
        <v>10430</v>
      </c>
    </row>
    <row r="6438" spans="1:9">
      <c r="A6438" s="25" t="s">
        <v>189</v>
      </c>
      <c r="B6438" t="s">
        <v>208</v>
      </c>
      <c r="C6438" t="s">
        <v>1649</v>
      </c>
      <c r="D6438" s="1">
        <v>0.18759999999999999</v>
      </c>
      <c r="E6438" s="1">
        <v>7.1099999999999997E-2</v>
      </c>
      <c r="F6438" s="1">
        <v>3.27E-2</v>
      </c>
      <c r="G6438">
        <v>2343</v>
      </c>
      <c r="H6438">
        <v>2244</v>
      </c>
      <c r="I6438">
        <v>10430</v>
      </c>
    </row>
    <row r="6439" spans="1:9">
      <c r="A6439" s="25" t="s">
        <v>189</v>
      </c>
      <c r="B6439" t="s">
        <v>208</v>
      </c>
      <c r="C6439" t="s">
        <v>324</v>
      </c>
      <c r="D6439" s="1">
        <v>0.29580000000000001</v>
      </c>
      <c r="E6439" s="1">
        <v>0.31940000000000002</v>
      </c>
      <c r="F6439" s="1">
        <v>0.36080000000000001</v>
      </c>
      <c r="G6439">
        <v>2343</v>
      </c>
      <c r="H6439">
        <v>2244</v>
      </c>
      <c r="I6439">
        <v>10430</v>
      </c>
    </row>
    <row r="6440" spans="1:9">
      <c r="A6440" s="25" t="s">
        <v>189</v>
      </c>
      <c r="B6440" t="s">
        <v>208</v>
      </c>
      <c r="C6440" t="s">
        <v>269</v>
      </c>
      <c r="D6440" s="1">
        <v>1.2999999999999999E-3</v>
      </c>
      <c r="E6440" s="1">
        <v>2.3E-3</v>
      </c>
      <c r="F6440" s="1">
        <v>5.0000000000000001E-3</v>
      </c>
      <c r="G6440">
        <v>2343</v>
      </c>
      <c r="H6440">
        <v>2244</v>
      </c>
      <c r="I6440">
        <v>10430</v>
      </c>
    </row>
    <row r="6441" spans="1:9">
      <c r="A6441" s="25" t="s">
        <v>189</v>
      </c>
      <c r="B6441" t="s">
        <v>208</v>
      </c>
      <c r="C6441" t="s">
        <v>243</v>
      </c>
      <c r="D6441" s="1">
        <v>1.6000000000000001E-3</v>
      </c>
      <c r="F6441" s="1">
        <v>2.5000000000000001E-3</v>
      </c>
      <c r="G6441">
        <v>2343</v>
      </c>
      <c r="H6441">
        <v>2244</v>
      </c>
      <c r="I6441">
        <v>10430</v>
      </c>
    </row>
    <row r="6442" spans="1:9">
      <c r="A6442" s="25" t="s">
        <v>189</v>
      </c>
      <c r="B6442" t="s">
        <v>208</v>
      </c>
      <c r="C6442" t="s">
        <v>1650</v>
      </c>
      <c r="D6442" s="1">
        <v>2.0000000000000001E-4</v>
      </c>
      <c r="E6442" s="1">
        <v>4.4999999999999997E-3</v>
      </c>
      <c r="F6442" s="1">
        <v>1.0800000000000001E-2</v>
      </c>
      <c r="G6442">
        <v>2343</v>
      </c>
      <c r="H6442">
        <v>2244</v>
      </c>
      <c r="I6442">
        <v>10430</v>
      </c>
    </row>
    <row r="6443" spans="1:9">
      <c r="A6443" s="25" t="s">
        <v>189</v>
      </c>
      <c r="B6443" t="s">
        <v>209</v>
      </c>
      <c r="C6443" t="s">
        <v>1631</v>
      </c>
      <c r="D6443" s="1">
        <v>6.0000000000000001E-3</v>
      </c>
      <c r="E6443" s="1">
        <v>1.1599999999999999E-2</v>
      </c>
      <c r="F6443" s="1">
        <v>2.5600000000000001E-2</v>
      </c>
      <c r="G6443">
        <v>818</v>
      </c>
      <c r="H6443">
        <v>934</v>
      </c>
      <c r="I6443">
        <v>10430</v>
      </c>
    </row>
    <row r="6444" spans="1:9">
      <c r="A6444" s="25" t="s">
        <v>189</v>
      </c>
      <c r="B6444" t="s">
        <v>209</v>
      </c>
      <c r="C6444" t="s">
        <v>241</v>
      </c>
      <c r="D6444" s="1">
        <v>1.7899999999999999E-2</v>
      </c>
      <c r="E6444" s="1">
        <v>2.8299999999999999E-2</v>
      </c>
      <c r="F6444" s="1">
        <v>4.6100000000000002E-2</v>
      </c>
      <c r="G6444">
        <v>818</v>
      </c>
      <c r="H6444">
        <v>934</v>
      </c>
      <c r="I6444">
        <v>10430</v>
      </c>
    </row>
    <row r="6445" spans="1:9">
      <c r="A6445" s="25" t="s">
        <v>189</v>
      </c>
      <c r="B6445" t="s">
        <v>209</v>
      </c>
      <c r="C6445" t="s">
        <v>1632</v>
      </c>
      <c r="D6445" s="1">
        <v>1.26E-2</v>
      </c>
      <c r="E6445" s="1">
        <v>4.2599999999999999E-2</v>
      </c>
      <c r="F6445" s="1">
        <v>3.61E-2</v>
      </c>
      <c r="G6445">
        <v>818</v>
      </c>
      <c r="H6445">
        <v>934</v>
      </c>
      <c r="I6445">
        <v>10430</v>
      </c>
    </row>
    <row r="6446" spans="1:9">
      <c r="A6446" s="25" t="s">
        <v>189</v>
      </c>
      <c r="B6446" t="s">
        <v>209</v>
      </c>
      <c r="C6446" t="s">
        <v>1633</v>
      </c>
      <c r="D6446" s="1">
        <v>4.5999999999999999E-3</v>
      </c>
      <c r="E6446" s="1">
        <v>1.38E-2</v>
      </c>
      <c r="F6446" s="1">
        <v>2.29E-2</v>
      </c>
      <c r="G6446">
        <v>818</v>
      </c>
      <c r="H6446">
        <v>934</v>
      </c>
      <c r="I6446">
        <v>10430</v>
      </c>
    </row>
    <row r="6447" spans="1:9">
      <c r="A6447" s="25" t="s">
        <v>189</v>
      </c>
      <c r="B6447" t="s">
        <v>209</v>
      </c>
      <c r="C6447" t="s">
        <v>1635</v>
      </c>
      <c r="D6447" s="1">
        <v>4.2099999999999999E-2</v>
      </c>
      <c r="E6447" s="1">
        <v>9.6000000000000002E-2</v>
      </c>
      <c r="F6447" s="1">
        <v>7.1300000000000002E-2</v>
      </c>
      <c r="G6447">
        <v>818</v>
      </c>
      <c r="H6447">
        <v>934</v>
      </c>
      <c r="I6447">
        <v>10430</v>
      </c>
    </row>
    <row r="6448" spans="1:9">
      <c r="A6448" s="25" t="s">
        <v>189</v>
      </c>
      <c r="B6448" t="s">
        <v>209</v>
      </c>
      <c r="C6448" t="s">
        <v>1636</v>
      </c>
      <c r="D6448" s="1">
        <v>8.0000000000000004E-4</v>
      </c>
      <c r="E6448" s="1">
        <v>1.1000000000000001E-3</v>
      </c>
      <c r="F6448" s="1">
        <v>6.9999999999999999E-4</v>
      </c>
      <c r="G6448">
        <v>818</v>
      </c>
      <c r="H6448">
        <v>934</v>
      </c>
      <c r="I6448">
        <v>10430</v>
      </c>
    </row>
    <row r="6449" spans="1:9">
      <c r="A6449" s="25" t="s">
        <v>189</v>
      </c>
      <c r="B6449" t="s">
        <v>209</v>
      </c>
      <c r="C6449" t="s">
        <v>1637</v>
      </c>
      <c r="D6449" s="1">
        <v>1.5299999999999999E-2</v>
      </c>
      <c r="E6449" s="1">
        <v>3.9399999999999998E-2</v>
      </c>
      <c r="F6449" s="1">
        <v>4.4699999999999997E-2</v>
      </c>
      <c r="G6449">
        <v>818</v>
      </c>
      <c r="H6449">
        <v>934</v>
      </c>
      <c r="I6449">
        <v>10430</v>
      </c>
    </row>
    <row r="6450" spans="1:9">
      <c r="A6450" s="25" t="s">
        <v>189</v>
      </c>
      <c r="B6450" t="s">
        <v>209</v>
      </c>
      <c r="C6450" t="s">
        <v>1638</v>
      </c>
      <c r="D6450" s="1">
        <v>8.0000000000000004E-4</v>
      </c>
      <c r="E6450" s="1">
        <v>5.7000000000000002E-3</v>
      </c>
      <c r="F6450" s="1">
        <v>1.29E-2</v>
      </c>
      <c r="G6450">
        <v>818</v>
      </c>
      <c r="H6450">
        <v>934</v>
      </c>
      <c r="I6450">
        <v>10430</v>
      </c>
    </row>
    <row r="6451" spans="1:9">
      <c r="A6451" s="25" t="s">
        <v>189</v>
      </c>
      <c r="B6451" t="s">
        <v>209</v>
      </c>
      <c r="C6451" t="s">
        <v>1639</v>
      </c>
      <c r="D6451" s="1">
        <v>3.8E-3</v>
      </c>
      <c r="E6451" s="1">
        <v>1.6000000000000001E-3</v>
      </c>
      <c r="F6451" s="1">
        <v>8.9999999999999998E-4</v>
      </c>
      <c r="G6451">
        <v>818</v>
      </c>
      <c r="H6451">
        <v>934</v>
      </c>
      <c r="I6451">
        <v>10430</v>
      </c>
    </row>
    <row r="6452" spans="1:9">
      <c r="A6452" s="25" t="s">
        <v>189</v>
      </c>
      <c r="B6452" t="s">
        <v>209</v>
      </c>
      <c r="C6452" t="s">
        <v>1640</v>
      </c>
      <c r="D6452" s="1">
        <v>1E-3</v>
      </c>
      <c r="E6452" s="1">
        <v>1.37E-2</v>
      </c>
      <c r="F6452" s="1">
        <v>0.01</v>
      </c>
      <c r="G6452">
        <v>818</v>
      </c>
      <c r="H6452">
        <v>934</v>
      </c>
      <c r="I6452">
        <v>10430</v>
      </c>
    </row>
    <row r="6453" spans="1:9">
      <c r="A6453" s="25" t="s">
        <v>189</v>
      </c>
      <c r="B6453" t="s">
        <v>209</v>
      </c>
      <c r="C6453" t="s">
        <v>1641</v>
      </c>
      <c r="D6453" s="1">
        <v>1.5800000000000002E-2</v>
      </c>
      <c r="E6453" s="1">
        <v>9.5500000000000002E-2</v>
      </c>
      <c r="F6453" s="1">
        <v>0.113</v>
      </c>
      <c r="G6453">
        <v>818</v>
      </c>
      <c r="H6453">
        <v>934</v>
      </c>
      <c r="I6453">
        <v>10430</v>
      </c>
    </row>
    <row r="6454" spans="1:9">
      <c r="A6454" s="25" t="s">
        <v>189</v>
      </c>
      <c r="B6454" t="s">
        <v>209</v>
      </c>
      <c r="C6454" t="s">
        <v>1651</v>
      </c>
      <c r="D6454" s="1">
        <v>3.0000000000000001E-3</v>
      </c>
      <c r="E6454" s="1">
        <v>8.6999999999999994E-3</v>
      </c>
      <c r="F6454" s="1">
        <v>1.03E-2</v>
      </c>
      <c r="G6454">
        <v>818</v>
      </c>
      <c r="H6454">
        <v>934</v>
      </c>
      <c r="I6454">
        <v>10430</v>
      </c>
    </row>
    <row r="6455" spans="1:9">
      <c r="A6455" s="25" t="s">
        <v>189</v>
      </c>
      <c r="B6455" t="s">
        <v>209</v>
      </c>
      <c r="C6455" t="s">
        <v>1642</v>
      </c>
      <c r="D6455" s="1">
        <v>4.1999999999999997E-3</v>
      </c>
      <c r="E6455" s="1">
        <v>6.88E-2</v>
      </c>
      <c r="F6455" s="1">
        <v>6.2399999999999997E-2</v>
      </c>
      <c r="G6455">
        <v>818</v>
      </c>
      <c r="H6455">
        <v>934</v>
      </c>
      <c r="I6455">
        <v>10430</v>
      </c>
    </row>
    <row r="6456" spans="1:9">
      <c r="A6456" s="25" t="s">
        <v>189</v>
      </c>
      <c r="B6456" t="s">
        <v>209</v>
      </c>
      <c r="C6456" t="s">
        <v>1643</v>
      </c>
      <c r="D6456" s="1">
        <v>4.7000000000000002E-3</v>
      </c>
      <c r="E6456" s="1">
        <v>3.0000000000000001E-3</v>
      </c>
      <c r="F6456" s="1">
        <v>5.9999999999999995E-4</v>
      </c>
      <c r="G6456">
        <v>818</v>
      </c>
      <c r="H6456">
        <v>934</v>
      </c>
      <c r="I6456">
        <v>10430</v>
      </c>
    </row>
    <row r="6457" spans="1:9">
      <c r="A6457" s="25" t="s">
        <v>189</v>
      </c>
      <c r="B6457" t="s">
        <v>209</v>
      </c>
      <c r="C6457" t="s">
        <v>1644</v>
      </c>
      <c r="D6457" s="1">
        <v>5.9999999999999995E-4</v>
      </c>
      <c r="E6457" s="1">
        <v>3.3999999999999998E-3</v>
      </c>
      <c r="F6457" s="1">
        <v>2.1299999999999999E-2</v>
      </c>
      <c r="G6457">
        <v>818</v>
      </c>
      <c r="H6457">
        <v>934</v>
      </c>
      <c r="I6457">
        <v>10430</v>
      </c>
    </row>
    <row r="6458" spans="1:9">
      <c r="A6458" s="25" t="s">
        <v>189</v>
      </c>
      <c r="B6458" t="s">
        <v>209</v>
      </c>
      <c r="C6458" t="s">
        <v>1645</v>
      </c>
      <c r="D6458" s="1">
        <v>1.9E-3</v>
      </c>
      <c r="F6458" s="1">
        <v>4.8999999999999998E-3</v>
      </c>
      <c r="G6458">
        <v>818</v>
      </c>
      <c r="H6458">
        <v>934</v>
      </c>
      <c r="I6458">
        <v>10430</v>
      </c>
    </row>
    <row r="6459" spans="1:9">
      <c r="A6459" s="25" t="s">
        <v>189</v>
      </c>
      <c r="B6459" t="s">
        <v>209</v>
      </c>
      <c r="C6459" t="s">
        <v>1646</v>
      </c>
      <c r="D6459" s="1">
        <v>4.3E-3</v>
      </c>
      <c r="E6459" s="1">
        <v>1.1299999999999999E-2</v>
      </c>
      <c r="F6459" s="1">
        <v>2.0500000000000001E-2</v>
      </c>
      <c r="G6459">
        <v>818</v>
      </c>
      <c r="H6459">
        <v>934</v>
      </c>
      <c r="I6459">
        <v>10430</v>
      </c>
    </row>
    <row r="6460" spans="1:9">
      <c r="A6460" s="25" t="s">
        <v>189</v>
      </c>
      <c r="B6460" t="s">
        <v>209</v>
      </c>
      <c r="C6460" t="s">
        <v>1647</v>
      </c>
      <c r="D6460" s="1">
        <v>4.5999999999999999E-3</v>
      </c>
      <c r="E6460" s="1">
        <v>2.07E-2</v>
      </c>
      <c r="F6460" s="1">
        <v>2.23E-2</v>
      </c>
      <c r="G6460">
        <v>818</v>
      </c>
      <c r="H6460">
        <v>934</v>
      </c>
      <c r="I6460">
        <v>10430</v>
      </c>
    </row>
    <row r="6461" spans="1:9">
      <c r="A6461" s="25" t="s">
        <v>189</v>
      </c>
      <c r="B6461" t="s">
        <v>209</v>
      </c>
      <c r="C6461" t="s">
        <v>1648</v>
      </c>
      <c r="D6461" s="1">
        <v>0.28499999999999998</v>
      </c>
      <c r="E6461" s="1">
        <v>0.14299999999999999</v>
      </c>
      <c r="F6461" s="1">
        <v>3.32E-2</v>
      </c>
      <c r="G6461">
        <v>818</v>
      </c>
      <c r="H6461">
        <v>934</v>
      </c>
      <c r="I6461">
        <v>10430</v>
      </c>
    </row>
    <row r="6462" spans="1:9">
      <c r="A6462" s="25" t="s">
        <v>189</v>
      </c>
      <c r="B6462" t="s">
        <v>209</v>
      </c>
      <c r="C6462" t="s">
        <v>1649</v>
      </c>
      <c r="D6462" s="1">
        <v>0.21340000000000001</v>
      </c>
      <c r="E6462" s="1">
        <v>5.1499999999999997E-2</v>
      </c>
      <c r="F6462" s="1">
        <v>4.07E-2</v>
      </c>
      <c r="G6462">
        <v>818</v>
      </c>
      <c r="H6462">
        <v>934</v>
      </c>
      <c r="I6462">
        <v>10430</v>
      </c>
    </row>
    <row r="6463" spans="1:9">
      <c r="A6463" s="25" t="s">
        <v>189</v>
      </c>
      <c r="B6463" t="s">
        <v>209</v>
      </c>
      <c r="C6463" t="s">
        <v>324</v>
      </c>
      <c r="D6463" s="1">
        <v>0.35460000000000003</v>
      </c>
      <c r="E6463" s="1">
        <v>0.32569999999999999</v>
      </c>
      <c r="F6463" s="1">
        <v>0.37859999999999999</v>
      </c>
      <c r="G6463">
        <v>818</v>
      </c>
      <c r="H6463">
        <v>934</v>
      </c>
      <c r="I6463">
        <v>10430</v>
      </c>
    </row>
    <row r="6464" spans="1:9">
      <c r="A6464" s="25" t="s">
        <v>189</v>
      </c>
      <c r="B6464" t="s">
        <v>209</v>
      </c>
      <c r="C6464" t="s">
        <v>269</v>
      </c>
      <c r="D6464" s="1">
        <v>2.8E-3</v>
      </c>
      <c r="E6464" s="1">
        <v>3.0999999999999999E-3</v>
      </c>
      <c r="F6464" s="1">
        <v>1.9E-3</v>
      </c>
      <c r="G6464">
        <v>818</v>
      </c>
      <c r="H6464">
        <v>934</v>
      </c>
      <c r="I6464">
        <v>10430</v>
      </c>
    </row>
    <row r="6465" spans="1:9">
      <c r="A6465" s="25" t="s">
        <v>192</v>
      </c>
      <c r="B6465" t="s">
        <v>192</v>
      </c>
      <c r="C6465" t="s">
        <v>1631</v>
      </c>
      <c r="D6465" s="1">
        <v>1.1000000000000001E-3</v>
      </c>
      <c r="E6465" s="1">
        <v>4.7999999999999996E-3</v>
      </c>
      <c r="F6465" s="1">
        <v>7.4000000000000003E-3</v>
      </c>
      <c r="G6465">
        <v>10430</v>
      </c>
      <c r="H6465">
        <v>10430</v>
      </c>
      <c r="I6465">
        <v>10430</v>
      </c>
    </row>
    <row r="6466" spans="1:9">
      <c r="A6466" s="25" t="s">
        <v>192</v>
      </c>
      <c r="B6466" t="s">
        <v>192</v>
      </c>
      <c r="C6466" t="s">
        <v>241</v>
      </c>
      <c r="D6466" s="1">
        <v>1.21E-2</v>
      </c>
      <c r="E6466" s="1">
        <v>2.9100000000000001E-2</v>
      </c>
      <c r="F6466" s="1">
        <v>5.5599999999999997E-2</v>
      </c>
      <c r="G6466">
        <v>10430</v>
      </c>
      <c r="H6466">
        <v>10430</v>
      </c>
      <c r="I6466">
        <v>10430</v>
      </c>
    </row>
    <row r="6467" spans="1:9">
      <c r="A6467" s="25" t="s">
        <v>192</v>
      </c>
      <c r="B6467" t="s">
        <v>192</v>
      </c>
      <c r="C6467" t="s">
        <v>1632</v>
      </c>
      <c r="D6467" s="1">
        <v>1.4500000000000001E-2</v>
      </c>
      <c r="E6467" s="1">
        <v>3.9699999999999999E-2</v>
      </c>
      <c r="F6467" s="1">
        <v>4.8500000000000001E-2</v>
      </c>
      <c r="G6467">
        <v>10430</v>
      </c>
      <c r="H6467">
        <v>10430</v>
      </c>
      <c r="I6467">
        <v>10430</v>
      </c>
    </row>
    <row r="6468" spans="1:9">
      <c r="A6468" s="25" t="s">
        <v>192</v>
      </c>
      <c r="B6468" t="s">
        <v>192</v>
      </c>
      <c r="C6468" t="s">
        <v>1633</v>
      </c>
      <c r="D6468" s="1">
        <v>1.0699999999999999E-2</v>
      </c>
      <c r="E6468" s="1">
        <v>1.2999999999999999E-2</v>
      </c>
      <c r="F6468" s="1">
        <v>1.7600000000000001E-2</v>
      </c>
      <c r="G6468">
        <v>10430</v>
      </c>
      <c r="H6468">
        <v>10430</v>
      </c>
      <c r="I6468">
        <v>10430</v>
      </c>
    </row>
    <row r="6469" spans="1:9">
      <c r="A6469" s="25" t="s">
        <v>192</v>
      </c>
      <c r="B6469" t="s">
        <v>192</v>
      </c>
      <c r="C6469" t="s">
        <v>1634</v>
      </c>
      <c r="D6469" s="1">
        <v>1E-3</v>
      </c>
      <c r="E6469" s="1">
        <v>2.8999999999999998E-3</v>
      </c>
      <c r="F6469" s="1">
        <v>7.1000000000000004E-3</v>
      </c>
      <c r="G6469">
        <v>10430</v>
      </c>
      <c r="H6469">
        <v>10430</v>
      </c>
      <c r="I6469">
        <v>10430</v>
      </c>
    </row>
    <row r="6470" spans="1:9">
      <c r="A6470" s="25" t="s">
        <v>192</v>
      </c>
      <c r="B6470" t="s">
        <v>192</v>
      </c>
      <c r="C6470" t="s">
        <v>1635</v>
      </c>
      <c r="D6470" s="1">
        <v>4.1200000000000001E-2</v>
      </c>
      <c r="E6470" s="1">
        <v>0.10920000000000001</v>
      </c>
      <c r="F6470" s="1">
        <v>8.8099999999999998E-2</v>
      </c>
      <c r="G6470">
        <v>10430</v>
      </c>
      <c r="H6470">
        <v>10430</v>
      </c>
      <c r="I6470">
        <v>10430</v>
      </c>
    </row>
    <row r="6471" spans="1:9">
      <c r="A6471" s="25" t="s">
        <v>192</v>
      </c>
      <c r="B6471" t="s">
        <v>192</v>
      </c>
      <c r="C6471" t="s">
        <v>1636</v>
      </c>
      <c r="D6471" s="1">
        <v>2.0000000000000001E-4</v>
      </c>
      <c r="E6471" s="1">
        <v>1.8E-3</v>
      </c>
      <c r="F6471" s="1">
        <v>5.1999999999999998E-3</v>
      </c>
      <c r="G6471">
        <v>10430</v>
      </c>
      <c r="H6471">
        <v>10430</v>
      </c>
      <c r="I6471">
        <v>10430</v>
      </c>
    </row>
    <row r="6472" spans="1:9">
      <c r="A6472" s="25" t="s">
        <v>192</v>
      </c>
      <c r="B6472" t="s">
        <v>192</v>
      </c>
      <c r="C6472" t="s">
        <v>1637</v>
      </c>
      <c r="D6472" s="1">
        <v>2.53E-2</v>
      </c>
      <c r="E6472" s="1">
        <v>4.3900000000000002E-2</v>
      </c>
      <c r="F6472" s="1">
        <v>3.6700000000000003E-2</v>
      </c>
      <c r="G6472">
        <v>10430</v>
      </c>
      <c r="H6472">
        <v>10430</v>
      </c>
      <c r="I6472">
        <v>10430</v>
      </c>
    </row>
    <row r="6473" spans="1:9">
      <c r="A6473" s="25" t="s">
        <v>192</v>
      </c>
      <c r="B6473" t="s">
        <v>192</v>
      </c>
      <c r="C6473" t="s">
        <v>1638</v>
      </c>
      <c r="D6473" s="1">
        <v>3.0999999999999999E-3</v>
      </c>
      <c r="E6473" s="1">
        <v>7.3000000000000001E-3</v>
      </c>
      <c r="F6473" s="1">
        <v>1.0500000000000001E-2</v>
      </c>
      <c r="G6473">
        <v>10430</v>
      </c>
      <c r="H6473">
        <v>10430</v>
      </c>
      <c r="I6473">
        <v>10430</v>
      </c>
    </row>
    <row r="6474" spans="1:9">
      <c r="A6474" s="25" t="s">
        <v>192</v>
      </c>
      <c r="B6474" t="s">
        <v>192</v>
      </c>
      <c r="C6474" t="s">
        <v>1639</v>
      </c>
      <c r="D6474" s="1">
        <v>1.9E-3</v>
      </c>
      <c r="E6474" s="1">
        <v>4.3E-3</v>
      </c>
      <c r="F6474" s="1">
        <v>4.0000000000000001E-3</v>
      </c>
      <c r="G6474">
        <v>10430</v>
      </c>
      <c r="H6474">
        <v>10430</v>
      </c>
      <c r="I6474">
        <v>10430</v>
      </c>
    </row>
    <row r="6475" spans="1:9">
      <c r="A6475" s="25" t="s">
        <v>192</v>
      </c>
      <c r="B6475" t="s">
        <v>192</v>
      </c>
      <c r="C6475" t="s">
        <v>1640</v>
      </c>
      <c r="D6475" s="1">
        <v>4.0000000000000001E-3</v>
      </c>
      <c r="E6475" s="1">
        <v>1.4E-2</v>
      </c>
      <c r="F6475" s="1">
        <v>1.38E-2</v>
      </c>
      <c r="G6475">
        <v>10430</v>
      </c>
      <c r="H6475">
        <v>10430</v>
      </c>
      <c r="I6475">
        <v>10430</v>
      </c>
    </row>
    <row r="6476" spans="1:9">
      <c r="A6476" s="25" t="s">
        <v>192</v>
      </c>
      <c r="B6476" t="s">
        <v>192</v>
      </c>
      <c r="C6476" t="s">
        <v>1641</v>
      </c>
      <c r="D6476" s="1">
        <v>1.4500000000000001E-2</v>
      </c>
      <c r="E6476" s="1">
        <v>7.3200000000000001E-2</v>
      </c>
      <c r="F6476" s="1">
        <v>7.7799999999999994E-2</v>
      </c>
      <c r="G6476">
        <v>10430</v>
      </c>
      <c r="H6476">
        <v>10430</v>
      </c>
      <c r="I6476">
        <v>10430</v>
      </c>
    </row>
    <row r="6477" spans="1:9">
      <c r="A6477" s="25" t="s">
        <v>192</v>
      </c>
      <c r="B6477" t="s">
        <v>192</v>
      </c>
      <c r="C6477" t="s">
        <v>1651</v>
      </c>
      <c r="D6477" s="1">
        <v>6.9999999999999999E-4</v>
      </c>
      <c r="E6477" s="1">
        <v>3.8E-3</v>
      </c>
      <c r="F6477" s="1">
        <v>7.6E-3</v>
      </c>
      <c r="G6477">
        <v>10430</v>
      </c>
      <c r="H6477">
        <v>10430</v>
      </c>
      <c r="I6477">
        <v>10430</v>
      </c>
    </row>
    <row r="6478" spans="1:9">
      <c r="A6478" s="25" t="s">
        <v>192</v>
      </c>
      <c r="B6478" t="s">
        <v>192</v>
      </c>
      <c r="C6478" t="s">
        <v>1642</v>
      </c>
      <c r="D6478" s="1">
        <v>9.7000000000000003E-3</v>
      </c>
      <c r="E6478" s="1">
        <v>4.5600000000000002E-2</v>
      </c>
      <c r="F6478" s="1">
        <v>4.5100000000000001E-2</v>
      </c>
      <c r="G6478">
        <v>10430</v>
      </c>
      <c r="H6478">
        <v>10430</v>
      </c>
      <c r="I6478">
        <v>10430</v>
      </c>
    </row>
    <row r="6479" spans="1:9">
      <c r="A6479" s="25" t="s">
        <v>192</v>
      </c>
      <c r="B6479" t="s">
        <v>192</v>
      </c>
      <c r="C6479" t="s">
        <v>1643</v>
      </c>
      <c r="D6479" s="1">
        <v>3.2000000000000002E-3</v>
      </c>
      <c r="E6479" s="1">
        <v>4.8999999999999998E-3</v>
      </c>
      <c r="F6479" s="1">
        <v>8.8000000000000005E-3</v>
      </c>
      <c r="G6479">
        <v>10430</v>
      </c>
      <c r="H6479">
        <v>10430</v>
      </c>
      <c r="I6479">
        <v>10430</v>
      </c>
    </row>
    <row r="6480" spans="1:9">
      <c r="A6480" s="25" t="s">
        <v>192</v>
      </c>
      <c r="B6480" t="s">
        <v>192</v>
      </c>
      <c r="C6480" t="s">
        <v>1644</v>
      </c>
      <c r="D6480" s="1">
        <v>1E-3</v>
      </c>
      <c r="E6480" s="1">
        <v>5.4999999999999997E-3</v>
      </c>
      <c r="F6480" s="1">
        <v>1.2699999999999999E-2</v>
      </c>
      <c r="G6480">
        <v>10430</v>
      </c>
      <c r="H6480">
        <v>10430</v>
      </c>
      <c r="I6480">
        <v>10430</v>
      </c>
    </row>
    <row r="6481" spans="1:9">
      <c r="A6481" s="25" t="s">
        <v>192</v>
      </c>
      <c r="B6481" t="s">
        <v>192</v>
      </c>
      <c r="C6481" t="s">
        <v>1645</v>
      </c>
      <c r="D6481" s="1">
        <v>8.0000000000000004E-4</v>
      </c>
      <c r="E6481" s="1">
        <v>1E-3</v>
      </c>
      <c r="F6481" s="1">
        <v>3.8E-3</v>
      </c>
      <c r="G6481">
        <v>10430</v>
      </c>
      <c r="H6481">
        <v>10430</v>
      </c>
      <c r="I6481">
        <v>10430</v>
      </c>
    </row>
    <row r="6482" spans="1:9">
      <c r="A6482" s="25" t="s">
        <v>192</v>
      </c>
      <c r="B6482" t="s">
        <v>192</v>
      </c>
      <c r="C6482" t="s">
        <v>1646</v>
      </c>
      <c r="D6482" s="1">
        <v>1.6999999999999999E-3</v>
      </c>
      <c r="E6482" s="1">
        <v>1.38E-2</v>
      </c>
      <c r="F6482" s="1">
        <v>2.7699999999999999E-2</v>
      </c>
      <c r="G6482">
        <v>10430</v>
      </c>
      <c r="H6482">
        <v>10430</v>
      </c>
      <c r="I6482">
        <v>10430</v>
      </c>
    </row>
    <row r="6483" spans="1:9">
      <c r="A6483" s="25" t="s">
        <v>192</v>
      </c>
      <c r="B6483" t="s">
        <v>192</v>
      </c>
      <c r="C6483" t="s">
        <v>1647</v>
      </c>
      <c r="D6483" s="1">
        <v>5.4999999999999997E-3</v>
      </c>
      <c r="E6483" s="1">
        <v>1.9199999999999998E-2</v>
      </c>
      <c r="F6483" s="1">
        <v>2.98E-2</v>
      </c>
      <c r="G6483">
        <v>10430</v>
      </c>
      <c r="H6483">
        <v>10430</v>
      </c>
      <c r="I6483">
        <v>10430</v>
      </c>
    </row>
    <row r="6484" spans="1:9">
      <c r="A6484" s="25" t="s">
        <v>192</v>
      </c>
      <c r="B6484" t="s">
        <v>192</v>
      </c>
      <c r="C6484" t="s">
        <v>1648</v>
      </c>
      <c r="D6484" s="1">
        <v>0.28689999999999999</v>
      </c>
      <c r="E6484" s="1">
        <v>0.13789999999999999</v>
      </c>
      <c r="F6484" s="1">
        <v>5.3699999999999998E-2</v>
      </c>
      <c r="G6484">
        <v>10430</v>
      </c>
      <c r="H6484">
        <v>10430</v>
      </c>
      <c r="I6484">
        <v>10430</v>
      </c>
    </row>
    <row r="6485" spans="1:9">
      <c r="A6485" s="25" t="s">
        <v>192</v>
      </c>
      <c r="B6485" t="s">
        <v>192</v>
      </c>
      <c r="C6485" t="s">
        <v>1649</v>
      </c>
      <c r="D6485" s="1">
        <v>0.2114</v>
      </c>
      <c r="E6485" s="1">
        <v>6.6199999999999995E-2</v>
      </c>
      <c r="F6485" s="1">
        <v>4.0399999999999998E-2</v>
      </c>
      <c r="G6485">
        <v>10430</v>
      </c>
      <c r="H6485">
        <v>10430</v>
      </c>
      <c r="I6485">
        <v>10430</v>
      </c>
    </row>
    <row r="6486" spans="1:9">
      <c r="A6486" s="25" t="s">
        <v>192</v>
      </c>
      <c r="B6486" t="s">
        <v>192</v>
      </c>
      <c r="C6486" t="s">
        <v>324</v>
      </c>
      <c r="D6486" s="1">
        <v>0.34429999999999999</v>
      </c>
      <c r="E6486" s="1">
        <v>0.34960000000000002</v>
      </c>
      <c r="F6486" s="1">
        <v>0.38229999999999997</v>
      </c>
      <c r="G6486">
        <v>10430</v>
      </c>
      <c r="H6486">
        <v>10430</v>
      </c>
      <c r="I6486">
        <v>10430</v>
      </c>
    </row>
    <row r="6487" spans="1:9">
      <c r="A6487" s="25" t="s">
        <v>192</v>
      </c>
      <c r="B6487" t="s">
        <v>192</v>
      </c>
      <c r="C6487" t="s">
        <v>269</v>
      </c>
      <c r="D6487" s="1">
        <v>2.0999999999999999E-3</v>
      </c>
      <c r="E6487" s="1">
        <v>4.3E-3</v>
      </c>
      <c r="F6487" s="1">
        <v>6.8999999999999999E-3</v>
      </c>
      <c r="G6487">
        <v>10430</v>
      </c>
      <c r="H6487">
        <v>10430</v>
      </c>
      <c r="I6487">
        <v>10430</v>
      </c>
    </row>
    <row r="6488" spans="1:9">
      <c r="A6488" s="25" t="s">
        <v>192</v>
      </c>
      <c r="B6488" t="s">
        <v>192</v>
      </c>
      <c r="C6488" t="s">
        <v>243</v>
      </c>
      <c r="D6488" s="1">
        <v>2.0999999999999999E-3</v>
      </c>
      <c r="E6488" s="1">
        <v>1E-4</v>
      </c>
      <c r="F6488" s="1">
        <v>1.5E-3</v>
      </c>
      <c r="G6488">
        <v>10430</v>
      </c>
      <c r="H6488">
        <v>10430</v>
      </c>
      <c r="I6488">
        <v>10430</v>
      </c>
    </row>
    <row r="6489" spans="1:9">
      <c r="A6489" s="25" t="s">
        <v>192</v>
      </c>
      <c r="B6489" t="s">
        <v>192</v>
      </c>
      <c r="C6489" t="s">
        <v>1650</v>
      </c>
      <c r="D6489" s="1">
        <v>8.0000000000000004E-4</v>
      </c>
      <c r="E6489" s="1">
        <v>4.8999999999999998E-3</v>
      </c>
      <c r="F6489" s="1">
        <v>7.4999999999999997E-3</v>
      </c>
      <c r="G6489">
        <v>10430</v>
      </c>
      <c r="H6489">
        <v>10430</v>
      </c>
      <c r="I6489">
        <v>10430</v>
      </c>
    </row>
    <row r="6491" spans="1:9" ht="57.95">
      <c r="A6491" s="25" t="s">
        <v>1658</v>
      </c>
    </row>
    <row r="6492" spans="1:9">
      <c r="A6492" s="25" t="s">
        <v>181</v>
      </c>
      <c r="B6492" t="s">
        <v>182</v>
      </c>
      <c r="C6492" t="s">
        <v>1015</v>
      </c>
      <c r="D6492" t="s">
        <v>1628</v>
      </c>
      <c r="E6492" t="s">
        <v>1629</v>
      </c>
      <c r="F6492" t="s">
        <v>1630</v>
      </c>
      <c r="G6492" t="s">
        <v>1026</v>
      </c>
      <c r="H6492" t="s">
        <v>219</v>
      </c>
      <c r="I6492" t="s">
        <v>188</v>
      </c>
    </row>
    <row r="6493" spans="1:9">
      <c r="A6493" s="25" t="s">
        <v>189</v>
      </c>
      <c r="B6493" t="s">
        <v>211</v>
      </c>
      <c r="C6493" t="s">
        <v>1631</v>
      </c>
      <c r="D6493" s="1">
        <v>1.6000000000000001E-3</v>
      </c>
      <c r="E6493" s="1">
        <v>8.6E-3</v>
      </c>
      <c r="F6493" s="1">
        <v>1.15E-2</v>
      </c>
      <c r="G6493">
        <v>4904</v>
      </c>
      <c r="H6493">
        <v>4970</v>
      </c>
      <c r="I6493">
        <v>10430</v>
      </c>
    </row>
    <row r="6494" spans="1:9">
      <c r="A6494" s="25" t="s">
        <v>189</v>
      </c>
      <c r="B6494" t="s">
        <v>211</v>
      </c>
      <c r="C6494" t="s">
        <v>241</v>
      </c>
      <c r="D6494" s="1">
        <v>1.41E-2</v>
      </c>
      <c r="E6494" s="1">
        <v>3.0700000000000002E-2</v>
      </c>
      <c r="F6494" s="1">
        <v>6.0400000000000002E-2</v>
      </c>
      <c r="G6494">
        <v>4904</v>
      </c>
      <c r="H6494">
        <v>4970</v>
      </c>
      <c r="I6494">
        <v>10430</v>
      </c>
    </row>
    <row r="6495" spans="1:9">
      <c r="A6495" s="25" t="s">
        <v>189</v>
      </c>
      <c r="B6495" t="s">
        <v>211</v>
      </c>
      <c r="C6495" t="s">
        <v>1632</v>
      </c>
      <c r="D6495" s="1">
        <v>1.49E-2</v>
      </c>
      <c r="E6495" s="1">
        <v>4.8599999999999997E-2</v>
      </c>
      <c r="F6495" s="1">
        <v>5.45E-2</v>
      </c>
      <c r="G6495">
        <v>4904</v>
      </c>
      <c r="H6495">
        <v>4970</v>
      </c>
      <c r="I6495">
        <v>10430</v>
      </c>
    </row>
    <row r="6496" spans="1:9">
      <c r="A6496" s="25" t="s">
        <v>189</v>
      </c>
      <c r="B6496" t="s">
        <v>211</v>
      </c>
      <c r="C6496" t="s">
        <v>1633</v>
      </c>
      <c r="D6496" s="1">
        <v>6.1999999999999998E-3</v>
      </c>
      <c r="E6496" s="1">
        <v>8.9999999999999993E-3</v>
      </c>
      <c r="F6496" s="1">
        <v>1.15E-2</v>
      </c>
      <c r="G6496">
        <v>4904</v>
      </c>
      <c r="H6496">
        <v>4970</v>
      </c>
      <c r="I6496">
        <v>10430</v>
      </c>
    </row>
    <row r="6497" spans="1:9">
      <c r="A6497" s="25" t="s">
        <v>189</v>
      </c>
      <c r="B6497" t="s">
        <v>211</v>
      </c>
      <c r="C6497" t="s">
        <v>1634</v>
      </c>
      <c r="D6497" s="1">
        <v>1.4E-3</v>
      </c>
      <c r="E6497" s="1">
        <v>2.2000000000000001E-3</v>
      </c>
      <c r="F6497" s="1">
        <v>6.8999999999999999E-3</v>
      </c>
      <c r="G6497">
        <v>4904</v>
      </c>
      <c r="H6497">
        <v>4970</v>
      </c>
      <c r="I6497">
        <v>10430</v>
      </c>
    </row>
    <row r="6498" spans="1:9">
      <c r="A6498" s="25" t="s">
        <v>189</v>
      </c>
      <c r="B6498" t="s">
        <v>211</v>
      </c>
      <c r="C6498" t="s">
        <v>1635</v>
      </c>
      <c r="D6498" s="1">
        <v>4.07E-2</v>
      </c>
      <c r="E6498" s="1">
        <v>0.10390000000000001</v>
      </c>
      <c r="F6498" s="1">
        <v>8.3199999999999996E-2</v>
      </c>
      <c r="G6498">
        <v>4904</v>
      </c>
      <c r="H6498">
        <v>4970</v>
      </c>
      <c r="I6498">
        <v>10430</v>
      </c>
    </row>
    <row r="6499" spans="1:9">
      <c r="A6499" s="25" t="s">
        <v>189</v>
      </c>
      <c r="B6499" t="s">
        <v>211</v>
      </c>
      <c r="C6499" t="s">
        <v>1636</v>
      </c>
      <c r="D6499" s="1">
        <v>1E-4</v>
      </c>
      <c r="E6499" s="1">
        <v>1.4E-3</v>
      </c>
      <c r="F6499" s="1">
        <v>3.3999999999999998E-3</v>
      </c>
      <c r="G6499">
        <v>4904</v>
      </c>
      <c r="H6499">
        <v>4970</v>
      </c>
      <c r="I6499">
        <v>10430</v>
      </c>
    </row>
    <row r="6500" spans="1:9">
      <c r="A6500" s="25" t="s">
        <v>189</v>
      </c>
      <c r="B6500" t="s">
        <v>211</v>
      </c>
      <c r="C6500" t="s">
        <v>1637</v>
      </c>
      <c r="D6500" s="1">
        <v>2.7699999999999999E-2</v>
      </c>
      <c r="E6500" s="1">
        <v>5.4699999999999999E-2</v>
      </c>
      <c r="F6500" s="1">
        <v>3.1199999999999999E-2</v>
      </c>
      <c r="G6500">
        <v>4904</v>
      </c>
      <c r="H6500">
        <v>4970</v>
      </c>
      <c r="I6500">
        <v>10430</v>
      </c>
    </row>
    <row r="6501" spans="1:9">
      <c r="A6501" s="25" t="s">
        <v>189</v>
      </c>
      <c r="B6501" t="s">
        <v>211</v>
      </c>
      <c r="C6501" t="s">
        <v>1638</v>
      </c>
      <c r="D6501" s="1">
        <v>4.5999999999999999E-3</v>
      </c>
      <c r="E6501" s="1">
        <v>8.6999999999999994E-3</v>
      </c>
      <c r="F6501" s="1">
        <v>1.32E-2</v>
      </c>
      <c r="G6501">
        <v>4904</v>
      </c>
      <c r="H6501">
        <v>4970</v>
      </c>
      <c r="I6501">
        <v>10430</v>
      </c>
    </row>
    <row r="6502" spans="1:9">
      <c r="A6502" s="25" t="s">
        <v>189</v>
      </c>
      <c r="B6502" t="s">
        <v>211</v>
      </c>
      <c r="C6502" t="s">
        <v>1639</v>
      </c>
      <c r="D6502" s="1">
        <v>1.4E-3</v>
      </c>
      <c r="E6502" s="1">
        <v>5.3E-3</v>
      </c>
      <c r="F6502" s="1">
        <v>5.4000000000000003E-3</v>
      </c>
      <c r="G6502">
        <v>4904</v>
      </c>
      <c r="H6502">
        <v>4970</v>
      </c>
      <c r="I6502">
        <v>10430</v>
      </c>
    </row>
    <row r="6503" spans="1:9">
      <c r="A6503" s="25" t="s">
        <v>189</v>
      </c>
      <c r="B6503" t="s">
        <v>211</v>
      </c>
      <c r="C6503" t="s">
        <v>1640</v>
      </c>
      <c r="D6503" s="1">
        <v>4.3E-3</v>
      </c>
      <c r="E6503" s="1">
        <v>1.4E-2</v>
      </c>
      <c r="F6503" s="1">
        <v>1.32E-2</v>
      </c>
      <c r="G6503">
        <v>4904</v>
      </c>
      <c r="H6503">
        <v>4970</v>
      </c>
      <c r="I6503">
        <v>10430</v>
      </c>
    </row>
    <row r="6504" spans="1:9">
      <c r="A6504" s="25" t="s">
        <v>189</v>
      </c>
      <c r="B6504" t="s">
        <v>211</v>
      </c>
      <c r="C6504" t="s">
        <v>1641</v>
      </c>
      <c r="D6504" s="1">
        <v>1.6500000000000001E-2</v>
      </c>
      <c r="E6504" s="1">
        <v>6.2100000000000002E-2</v>
      </c>
      <c r="F6504" s="1">
        <v>6.2700000000000006E-2</v>
      </c>
      <c r="G6504">
        <v>4904</v>
      </c>
      <c r="H6504">
        <v>4970</v>
      </c>
      <c r="I6504">
        <v>10430</v>
      </c>
    </row>
    <row r="6505" spans="1:9">
      <c r="A6505" s="25" t="s">
        <v>189</v>
      </c>
      <c r="B6505" t="s">
        <v>211</v>
      </c>
      <c r="C6505" t="s">
        <v>1651</v>
      </c>
      <c r="D6505" s="1">
        <v>1.1000000000000001E-3</v>
      </c>
      <c r="E6505" s="1">
        <v>4.1999999999999997E-3</v>
      </c>
      <c r="F6505" s="1">
        <v>7.1999999999999998E-3</v>
      </c>
      <c r="G6505">
        <v>4904</v>
      </c>
      <c r="H6505">
        <v>4970</v>
      </c>
      <c r="I6505">
        <v>10430</v>
      </c>
    </row>
    <row r="6506" spans="1:9">
      <c r="A6506" s="25" t="s">
        <v>189</v>
      </c>
      <c r="B6506" t="s">
        <v>211</v>
      </c>
      <c r="C6506" t="s">
        <v>1642</v>
      </c>
      <c r="D6506" s="1">
        <v>1.04E-2</v>
      </c>
      <c r="E6506" s="1">
        <v>4.2200000000000001E-2</v>
      </c>
      <c r="F6506" s="1">
        <v>5.1999999999999998E-2</v>
      </c>
      <c r="G6506">
        <v>4904</v>
      </c>
      <c r="H6506">
        <v>4970</v>
      </c>
      <c r="I6506">
        <v>10430</v>
      </c>
    </row>
    <row r="6507" spans="1:9">
      <c r="A6507" s="25" t="s">
        <v>189</v>
      </c>
      <c r="B6507" t="s">
        <v>211</v>
      </c>
      <c r="C6507" t="s">
        <v>1643</v>
      </c>
      <c r="D6507" s="1">
        <v>3.2000000000000002E-3</v>
      </c>
      <c r="E6507" s="1">
        <v>7.4999999999999997E-3</v>
      </c>
      <c r="F6507" s="1">
        <v>8.9999999999999993E-3</v>
      </c>
      <c r="G6507">
        <v>4904</v>
      </c>
      <c r="H6507">
        <v>4970</v>
      </c>
      <c r="I6507">
        <v>10430</v>
      </c>
    </row>
    <row r="6508" spans="1:9">
      <c r="A6508" s="25" t="s">
        <v>189</v>
      </c>
      <c r="B6508" t="s">
        <v>211</v>
      </c>
      <c r="C6508" t="s">
        <v>1644</v>
      </c>
      <c r="D6508" s="1">
        <v>1E-3</v>
      </c>
      <c r="E6508" s="1">
        <v>4.4999999999999997E-3</v>
      </c>
      <c r="F6508" s="1">
        <v>7.7999999999999996E-3</v>
      </c>
      <c r="G6508">
        <v>4904</v>
      </c>
      <c r="H6508">
        <v>4970</v>
      </c>
      <c r="I6508">
        <v>10430</v>
      </c>
    </row>
    <row r="6509" spans="1:9">
      <c r="A6509" s="25" t="s">
        <v>189</v>
      </c>
      <c r="B6509" t="s">
        <v>211</v>
      </c>
      <c r="C6509" t="s">
        <v>1645</v>
      </c>
      <c r="D6509" s="1">
        <v>1.1999999999999999E-3</v>
      </c>
      <c r="E6509" s="1">
        <v>1.6000000000000001E-3</v>
      </c>
      <c r="F6509" s="1">
        <v>4.1999999999999997E-3</v>
      </c>
      <c r="G6509">
        <v>4904</v>
      </c>
      <c r="H6509">
        <v>4970</v>
      </c>
      <c r="I6509">
        <v>10430</v>
      </c>
    </row>
    <row r="6510" spans="1:9">
      <c r="A6510" s="25" t="s">
        <v>189</v>
      </c>
      <c r="B6510" t="s">
        <v>211</v>
      </c>
      <c r="C6510" t="s">
        <v>1646</v>
      </c>
      <c r="D6510" s="1">
        <v>5.0000000000000001E-4</v>
      </c>
      <c r="E6510" s="1">
        <v>9.4000000000000004E-3</v>
      </c>
      <c r="F6510" s="1">
        <v>2.12E-2</v>
      </c>
      <c r="G6510">
        <v>4904</v>
      </c>
      <c r="H6510">
        <v>4970</v>
      </c>
      <c r="I6510">
        <v>10430</v>
      </c>
    </row>
    <row r="6511" spans="1:9">
      <c r="A6511" s="25" t="s">
        <v>189</v>
      </c>
      <c r="B6511" t="s">
        <v>211</v>
      </c>
      <c r="C6511" t="s">
        <v>1647</v>
      </c>
      <c r="D6511" s="1">
        <v>4.4000000000000003E-3</v>
      </c>
      <c r="E6511" s="1">
        <v>1.5800000000000002E-2</v>
      </c>
      <c r="F6511" s="1">
        <v>2.7099999999999999E-2</v>
      </c>
      <c r="G6511">
        <v>4904</v>
      </c>
      <c r="H6511">
        <v>4970</v>
      </c>
      <c r="I6511">
        <v>10430</v>
      </c>
    </row>
    <row r="6512" spans="1:9">
      <c r="A6512" s="25" t="s">
        <v>189</v>
      </c>
      <c r="B6512" t="s">
        <v>211</v>
      </c>
      <c r="C6512" t="s">
        <v>1648</v>
      </c>
      <c r="D6512" s="1">
        <v>0.23719999999999999</v>
      </c>
      <c r="E6512" s="1">
        <v>0.128</v>
      </c>
      <c r="F6512" s="1">
        <v>6.1899999999999997E-2</v>
      </c>
      <c r="G6512">
        <v>4904</v>
      </c>
      <c r="H6512">
        <v>4970</v>
      </c>
      <c r="I6512">
        <v>10430</v>
      </c>
    </row>
    <row r="6513" spans="1:9">
      <c r="A6513" s="25" t="s">
        <v>189</v>
      </c>
      <c r="B6513" t="s">
        <v>211</v>
      </c>
      <c r="C6513" t="s">
        <v>1649</v>
      </c>
      <c r="D6513" s="1">
        <v>0.21490000000000001</v>
      </c>
      <c r="E6513" s="1">
        <v>6.3399999999999998E-2</v>
      </c>
      <c r="F6513" s="1">
        <v>4.2099999999999999E-2</v>
      </c>
      <c r="G6513">
        <v>4904</v>
      </c>
      <c r="H6513">
        <v>4970</v>
      </c>
      <c r="I6513">
        <v>10430</v>
      </c>
    </row>
    <row r="6514" spans="1:9">
      <c r="A6514" s="25" t="s">
        <v>189</v>
      </c>
      <c r="B6514" t="s">
        <v>211</v>
      </c>
      <c r="C6514" t="s">
        <v>324</v>
      </c>
      <c r="D6514" s="1">
        <v>0.38740000000000002</v>
      </c>
      <c r="E6514" s="1">
        <v>0.36380000000000001</v>
      </c>
      <c r="F6514" s="1">
        <v>0.39500000000000002</v>
      </c>
      <c r="G6514">
        <v>4904</v>
      </c>
      <c r="H6514">
        <v>4970</v>
      </c>
      <c r="I6514">
        <v>10430</v>
      </c>
    </row>
    <row r="6515" spans="1:9">
      <c r="A6515" s="25" t="s">
        <v>189</v>
      </c>
      <c r="B6515" t="s">
        <v>211</v>
      </c>
      <c r="C6515" t="s">
        <v>269</v>
      </c>
      <c r="D6515" s="1">
        <v>1.9E-3</v>
      </c>
      <c r="E6515" s="1">
        <v>4.7000000000000002E-3</v>
      </c>
      <c r="F6515" s="1">
        <v>3.5000000000000001E-3</v>
      </c>
      <c r="G6515">
        <v>4904</v>
      </c>
      <c r="H6515">
        <v>4970</v>
      </c>
      <c r="I6515">
        <v>10430</v>
      </c>
    </row>
    <row r="6516" spans="1:9">
      <c r="A6516" s="25" t="s">
        <v>189</v>
      </c>
      <c r="B6516" t="s">
        <v>211</v>
      </c>
      <c r="C6516" t="s">
        <v>243</v>
      </c>
      <c r="D6516" s="1">
        <v>2.7000000000000001E-3</v>
      </c>
      <c r="E6516" s="1">
        <v>2.0000000000000001E-4</v>
      </c>
      <c r="F6516" s="1">
        <v>2E-3</v>
      </c>
      <c r="G6516">
        <v>4904</v>
      </c>
      <c r="H6516">
        <v>4970</v>
      </c>
      <c r="I6516">
        <v>10430</v>
      </c>
    </row>
    <row r="6517" spans="1:9">
      <c r="A6517" s="25" t="s">
        <v>189</v>
      </c>
      <c r="B6517" t="s">
        <v>211</v>
      </c>
      <c r="C6517" t="s">
        <v>1650</v>
      </c>
      <c r="D6517" s="1">
        <v>8.0000000000000004E-4</v>
      </c>
      <c r="E6517" s="1">
        <v>5.4999999999999997E-3</v>
      </c>
      <c r="F6517" s="1">
        <v>0.01</v>
      </c>
      <c r="G6517">
        <v>4904</v>
      </c>
      <c r="H6517">
        <v>4970</v>
      </c>
      <c r="I6517">
        <v>10430</v>
      </c>
    </row>
    <row r="6518" spans="1:9">
      <c r="A6518" s="25" t="s">
        <v>189</v>
      </c>
      <c r="B6518" t="s">
        <v>212</v>
      </c>
      <c r="C6518" t="s">
        <v>1631</v>
      </c>
      <c r="D6518" s="1">
        <v>1E-3</v>
      </c>
      <c r="E6518" s="1">
        <v>2.5000000000000001E-3</v>
      </c>
      <c r="F6518" s="1">
        <v>4.5999999999999999E-3</v>
      </c>
      <c r="G6518">
        <v>3242</v>
      </c>
      <c r="H6518">
        <v>3375</v>
      </c>
      <c r="I6518">
        <v>10430</v>
      </c>
    </row>
    <row r="6519" spans="1:9">
      <c r="A6519" s="25" t="s">
        <v>189</v>
      </c>
      <c r="B6519" t="s">
        <v>212</v>
      </c>
      <c r="C6519" t="s">
        <v>241</v>
      </c>
      <c r="D6519" s="1">
        <v>1.34E-2</v>
      </c>
      <c r="E6519" s="1">
        <v>2.5999999999999999E-2</v>
      </c>
      <c r="F6519" s="1">
        <v>4.9000000000000002E-2</v>
      </c>
      <c r="G6519">
        <v>3242</v>
      </c>
      <c r="H6519">
        <v>3375</v>
      </c>
      <c r="I6519">
        <v>10430</v>
      </c>
    </row>
    <row r="6520" spans="1:9">
      <c r="A6520" s="25" t="s">
        <v>189</v>
      </c>
      <c r="B6520" t="s">
        <v>212</v>
      </c>
      <c r="C6520" t="s">
        <v>1632</v>
      </c>
      <c r="D6520" s="1">
        <v>1.77E-2</v>
      </c>
      <c r="E6520" s="1">
        <v>3.5000000000000003E-2</v>
      </c>
      <c r="F6520" s="1">
        <v>4.7699999999999999E-2</v>
      </c>
      <c r="G6520">
        <v>3242</v>
      </c>
      <c r="H6520">
        <v>3375</v>
      </c>
      <c r="I6520">
        <v>10430</v>
      </c>
    </row>
    <row r="6521" spans="1:9">
      <c r="A6521" s="25" t="s">
        <v>189</v>
      </c>
      <c r="B6521" t="s">
        <v>212</v>
      </c>
      <c r="C6521" t="s">
        <v>1633</v>
      </c>
      <c r="D6521" s="1">
        <v>1.2800000000000001E-2</v>
      </c>
      <c r="E6521" s="1">
        <v>1.4800000000000001E-2</v>
      </c>
      <c r="F6521" s="1">
        <v>2.0799999999999999E-2</v>
      </c>
      <c r="G6521">
        <v>3242</v>
      </c>
      <c r="H6521">
        <v>3375</v>
      </c>
      <c r="I6521">
        <v>10430</v>
      </c>
    </row>
    <row r="6522" spans="1:9">
      <c r="A6522" s="25" t="s">
        <v>189</v>
      </c>
      <c r="B6522" t="s">
        <v>212</v>
      </c>
      <c r="C6522" t="s">
        <v>1634</v>
      </c>
      <c r="D6522" s="1">
        <v>1.1000000000000001E-3</v>
      </c>
      <c r="E6522" s="1">
        <v>4.1000000000000003E-3</v>
      </c>
      <c r="F6522" s="1">
        <v>4.5999999999999999E-3</v>
      </c>
      <c r="G6522">
        <v>3242</v>
      </c>
      <c r="H6522">
        <v>3375</v>
      </c>
      <c r="I6522">
        <v>10430</v>
      </c>
    </row>
    <row r="6523" spans="1:9">
      <c r="A6523" s="25" t="s">
        <v>189</v>
      </c>
      <c r="B6523" t="s">
        <v>212</v>
      </c>
      <c r="C6523" t="s">
        <v>1635</v>
      </c>
      <c r="D6523" s="1">
        <v>4.3499999999999997E-2</v>
      </c>
      <c r="E6523" s="1">
        <v>0.12759999999999999</v>
      </c>
      <c r="F6523" s="1">
        <v>9.2200000000000004E-2</v>
      </c>
      <c r="G6523">
        <v>3242</v>
      </c>
      <c r="H6523">
        <v>3375</v>
      </c>
      <c r="I6523">
        <v>10430</v>
      </c>
    </row>
    <row r="6524" spans="1:9">
      <c r="A6524" s="25" t="s">
        <v>189</v>
      </c>
      <c r="B6524" t="s">
        <v>212</v>
      </c>
      <c r="C6524" t="s">
        <v>1636</v>
      </c>
      <c r="D6524" s="1">
        <v>2.9999999999999997E-4</v>
      </c>
      <c r="E6524" s="1">
        <v>2.3999999999999998E-3</v>
      </c>
      <c r="F6524" s="1">
        <v>4.8999999999999998E-3</v>
      </c>
      <c r="G6524">
        <v>3242</v>
      </c>
      <c r="H6524">
        <v>3375</v>
      </c>
      <c r="I6524">
        <v>10430</v>
      </c>
    </row>
    <row r="6525" spans="1:9">
      <c r="A6525" s="25" t="s">
        <v>189</v>
      </c>
      <c r="B6525" t="s">
        <v>212</v>
      </c>
      <c r="C6525" t="s">
        <v>1637</v>
      </c>
      <c r="D6525" s="1">
        <v>2.1399999999999999E-2</v>
      </c>
      <c r="E6525" s="1">
        <v>3.0200000000000001E-2</v>
      </c>
      <c r="F6525" s="1">
        <v>3.3099999999999997E-2</v>
      </c>
      <c r="G6525">
        <v>3242</v>
      </c>
      <c r="H6525">
        <v>3375</v>
      </c>
      <c r="I6525">
        <v>10430</v>
      </c>
    </row>
    <row r="6526" spans="1:9">
      <c r="A6526" s="25" t="s">
        <v>189</v>
      </c>
      <c r="B6526" t="s">
        <v>212</v>
      </c>
      <c r="C6526" t="s">
        <v>1638</v>
      </c>
      <c r="D6526" s="1">
        <v>2.5000000000000001E-3</v>
      </c>
      <c r="E6526" s="1">
        <v>6.3E-3</v>
      </c>
      <c r="F6526" s="1">
        <v>9.1999999999999998E-3</v>
      </c>
      <c r="G6526">
        <v>3242</v>
      </c>
      <c r="H6526">
        <v>3375</v>
      </c>
      <c r="I6526">
        <v>10430</v>
      </c>
    </row>
    <row r="6527" spans="1:9">
      <c r="A6527" s="25" t="s">
        <v>189</v>
      </c>
      <c r="B6527" t="s">
        <v>212</v>
      </c>
      <c r="C6527" t="s">
        <v>1639</v>
      </c>
      <c r="D6527" s="1">
        <v>3.3E-3</v>
      </c>
      <c r="E6527" s="1">
        <v>4.7000000000000002E-3</v>
      </c>
      <c r="F6527" s="1">
        <v>3.8E-3</v>
      </c>
      <c r="G6527">
        <v>3242</v>
      </c>
      <c r="H6527">
        <v>3375</v>
      </c>
      <c r="I6527">
        <v>10430</v>
      </c>
    </row>
    <row r="6528" spans="1:9">
      <c r="A6528" s="25" t="s">
        <v>189</v>
      </c>
      <c r="B6528" t="s">
        <v>212</v>
      </c>
      <c r="C6528" t="s">
        <v>1640</v>
      </c>
      <c r="D6528" s="1">
        <v>3.7000000000000002E-3</v>
      </c>
      <c r="E6528" s="1">
        <v>1.6199999999999999E-2</v>
      </c>
      <c r="F6528" s="1">
        <v>1.7500000000000002E-2</v>
      </c>
      <c r="G6528">
        <v>3242</v>
      </c>
      <c r="H6528">
        <v>3375</v>
      </c>
      <c r="I6528">
        <v>10430</v>
      </c>
    </row>
    <row r="6529" spans="1:9">
      <c r="A6529" s="25" t="s">
        <v>189</v>
      </c>
      <c r="B6529" t="s">
        <v>212</v>
      </c>
      <c r="C6529" t="s">
        <v>1641</v>
      </c>
      <c r="D6529" s="1">
        <v>1.6E-2</v>
      </c>
      <c r="E6529" s="1">
        <v>9.1200000000000003E-2</v>
      </c>
      <c r="F6529" s="1">
        <v>0.1051</v>
      </c>
      <c r="G6529">
        <v>3242</v>
      </c>
      <c r="H6529">
        <v>3375</v>
      </c>
      <c r="I6529">
        <v>10430</v>
      </c>
    </row>
    <row r="6530" spans="1:9">
      <c r="A6530" s="25" t="s">
        <v>189</v>
      </c>
      <c r="B6530" t="s">
        <v>212</v>
      </c>
      <c r="C6530" t="s">
        <v>1651</v>
      </c>
      <c r="D6530" s="1">
        <v>6.9999999999999999E-4</v>
      </c>
      <c r="E6530" s="1">
        <v>4.7000000000000002E-3</v>
      </c>
      <c r="F6530" s="1">
        <v>9.4999999999999998E-3</v>
      </c>
      <c r="G6530">
        <v>3242</v>
      </c>
      <c r="H6530">
        <v>3375</v>
      </c>
      <c r="I6530">
        <v>10430</v>
      </c>
    </row>
    <row r="6531" spans="1:9">
      <c r="A6531" s="25" t="s">
        <v>189</v>
      </c>
      <c r="B6531" t="s">
        <v>212</v>
      </c>
      <c r="C6531" t="s">
        <v>1642</v>
      </c>
      <c r="D6531" s="1">
        <v>7.7000000000000002E-3</v>
      </c>
      <c r="E6531" s="1">
        <v>3.5099999999999999E-2</v>
      </c>
      <c r="F6531" s="1">
        <v>4.1200000000000001E-2</v>
      </c>
      <c r="G6531">
        <v>3242</v>
      </c>
      <c r="H6531">
        <v>3375</v>
      </c>
      <c r="I6531">
        <v>10430</v>
      </c>
    </row>
    <row r="6532" spans="1:9">
      <c r="A6532" s="25" t="s">
        <v>189</v>
      </c>
      <c r="B6532" t="s">
        <v>212</v>
      </c>
      <c r="C6532" t="s">
        <v>1643</v>
      </c>
      <c r="D6532" s="1">
        <v>3.3999999999999998E-3</v>
      </c>
      <c r="E6532" s="1">
        <v>3.0999999999999999E-3</v>
      </c>
      <c r="F6532" s="1">
        <v>6.1999999999999998E-3</v>
      </c>
      <c r="G6532">
        <v>3242</v>
      </c>
      <c r="H6532">
        <v>3375</v>
      </c>
      <c r="I6532">
        <v>10430</v>
      </c>
    </row>
    <row r="6533" spans="1:9">
      <c r="A6533" s="25" t="s">
        <v>189</v>
      </c>
      <c r="B6533" t="s">
        <v>212</v>
      </c>
      <c r="C6533" t="s">
        <v>1644</v>
      </c>
      <c r="D6533" s="1">
        <v>1.6000000000000001E-3</v>
      </c>
      <c r="E6533" s="1">
        <v>4.1999999999999997E-3</v>
      </c>
      <c r="F6533" s="1">
        <v>2.0199999999999999E-2</v>
      </c>
      <c r="G6533">
        <v>3242</v>
      </c>
      <c r="H6533">
        <v>3375</v>
      </c>
      <c r="I6533">
        <v>10430</v>
      </c>
    </row>
    <row r="6534" spans="1:9">
      <c r="A6534" s="25" t="s">
        <v>189</v>
      </c>
      <c r="B6534" t="s">
        <v>212</v>
      </c>
      <c r="C6534" t="s">
        <v>1645</v>
      </c>
      <c r="D6534" s="1">
        <v>8.0000000000000004E-4</v>
      </c>
      <c r="F6534" s="1">
        <v>1.2999999999999999E-3</v>
      </c>
      <c r="G6534">
        <v>3242</v>
      </c>
      <c r="H6534">
        <v>3375</v>
      </c>
      <c r="I6534">
        <v>10430</v>
      </c>
    </row>
    <row r="6535" spans="1:9">
      <c r="A6535" s="25" t="s">
        <v>189</v>
      </c>
      <c r="B6535" t="s">
        <v>212</v>
      </c>
      <c r="C6535" t="s">
        <v>1646</v>
      </c>
      <c r="D6535" s="1">
        <v>3.2000000000000002E-3</v>
      </c>
      <c r="E6535" s="1">
        <v>1.9900000000000001E-2</v>
      </c>
      <c r="F6535" s="1">
        <v>3.8600000000000002E-2</v>
      </c>
      <c r="G6535">
        <v>3242</v>
      </c>
      <c r="H6535">
        <v>3375</v>
      </c>
      <c r="I6535">
        <v>10430</v>
      </c>
    </row>
    <row r="6536" spans="1:9">
      <c r="A6536" s="25" t="s">
        <v>189</v>
      </c>
      <c r="B6536" t="s">
        <v>212</v>
      </c>
      <c r="C6536" t="s">
        <v>1647</v>
      </c>
      <c r="D6536" s="1">
        <v>6.4999999999999997E-3</v>
      </c>
      <c r="E6536" s="1">
        <v>2.1000000000000001E-2</v>
      </c>
      <c r="F6536" s="1">
        <v>3.5499999999999997E-2</v>
      </c>
      <c r="G6536">
        <v>3242</v>
      </c>
      <c r="H6536">
        <v>3375</v>
      </c>
      <c r="I6536">
        <v>10430</v>
      </c>
    </row>
    <row r="6537" spans="1:9">
      <c r="A6537" s="25" t="s">
        <v>189</v>
      </c>
      <c r="B6537" t="s">
        <v>212</v>
      </c>
      <c r="C6537" t="s">
        <v>1648</v>
      </c>
      <c r="D6537" s="1">
        <v>0.37569999999999998</v>
      </c>
      <c r="E6537" s="1">
        <v>0.1573</v>
      </c>
      <c r="F6537" s="1">
        <v>5.0900000000000001E-2</v>
      </c>
      <c r="G6537">
        <v>3242</v>
      </c>
      <c r="H6537">
        <v>3375</v>
      </c>
      <c r="I6537">
        <v>10430</v>
      </c>
    </row>
    <row r="6538" spans="1:9">
      <c r="A6538" s="25" t="s">
        <v>189</v>
      </c>
      <c r="B6538" t="s">
        <v>212</v>
      </c>
      <c r="C6538" t="s">
        <v>1649</v>
      </c>
      <c r="D6538" s="1">
        <v>0.2019</v>
      </c>
      <c r="E6538" s="1">
        <v>7.3400000000000007E-2</v>
      </c>
      <c r="F6538" s="1">
        <v>4.2200000000000001E-2</v>
      </c>
      <c r="G6538">
        <v>3242</v>
      </c>
      <c r="H6538">
        <v>3375</v>
      </c>
      <c r="I6538">
        <v>10430</v>
      </c>
    </row>
    <row r="6539" spans="1:9">
      <c r="A6539" s="25" t="s">
        <v>189</v>
      </c>
      <c r="B6539" t="s">
        <v>212</v>
      </c>
      <c r="C6539" t="s">
        <v>324</v>
      </c>
      <c r="D6539" s="1">
        <v>0.25919999999999999</v>
      </c>
      <c r="E6539" s="1">
        <v>0.31130000000000002</v>
      </c>
      <c r="F6539" s="1">
        <v>0.35049999999999998</v>
      </c>
      <c r="G6539">
        <v>3242</v>
      </c>
      <c r="H6539">
        <v>3375</v>
      </c>
      <c r="I6539">
        <v>10430</v>
      </c>
    </row>
    <row r="6540" spans="1:9">
      <c r="A6540" s="25" t="s">
        <v>189</v>
      </c>
      <c r="B6540" t="s">
        <v>212</v>
      </c>
      <c r="C6540" t="s">
        <v>269</v>
      </c>
      <c r="D6540" s="1">
        <v>1.1000000000000001E-3</v>
      </c>
      <c r="E6540" s="1">
        <v>3.2000000000000002E-3</v>
      </c>
      <c r="F6540" s="1">
        <v>5.0000000000000001E-3</v>
      </c>
      <c r="G6540">
        <v>3242</v>
      </c>
      <c r="H6540">
        <v>3375</v>
      </c>
      <c r="I6540">
        <v>10430</v>
      </c>
    </row>
    <row r="6541" spans="1:9">
      <c r="A6541" s="25" t="s">
        <v>189</v>
      </c>
      <c r="B6541" t="s">
        <v>212</v>
      </c>
      <c r="C6541" t="s">
        <v>243</v>
      </c>
      <c r="D6541" s="1">
        <v>1E-3</v>
      </c>
      <c r="E6541" s="1">
        <v>0</v>
      </c>
      <c r="F6541" s="1">
        <v>4.0000000000000002E-4</v>
      </c>
      <c r="G6541">
        <v>3242</v>
      </c>
      <c r="H6541">
        <v>3375</v>
      </c>
      <c r="I6541">
        <v>10430</v>
      </c>
    </row>
    <row r="6542" spans="1:9">
      <c r="A6542" s="25" t="s">
        <v>189</v>
      </c>
      <c r="B6542" t="s">
        <v>212</v>
      </c>
      <c r="C6542" t="s">
        <v>1650</v>
      </c>
      <c r="D6542" s="1">
        <v>6.9999999999999999E-4</v>
      </c>
      <c r="E6542" s="1">
        <v>5.5999999999999999E-3</v>
      </c>
      <c r="F6542" s="1">
        <v>6.1000000000000004E-3</v>
      </c>
      <c r="G6542">
        <v>3242</v>
      </c>
      <c r="H6542">
        <v>3375</v>
      </c>
      <c r="I6542">
        <v>10430</v>
      </c>
    </row>
    <row r="6543" spans="1:9">
      <c r="A6543" s="25" t="s">
        <v>189</v>
      </c>
      <c r="B6543" t="s">
        <v>213</v>
      </c>
      <c r="C6543" t="s">
        <v>1631</v>
      </c>
      <c r="D6543" s="1">
        <v>2.9999999999999997E-4</v>
      </c>
      <c r="E6543" s="1">
        <v>8.0000000000000004E-4</v>
      </c>
      <c r="F6543" s="1">
        <v>3.8E-3</v>
      </c>
      <c r="G6543">
        <v>2282</v>
      </c>
      <c r="H6543">
        <v>2085</v>
      </c>
      <c r="I6543">
        <v>10430</v>
      </c>
    </row>
    <row r="6544" spans="1:9">
      <c r="A6544" s="25" t="s">
        <v>189</v>
      </c>
      <c r="B6544" t="s">
        <v>213</v>
      </c>
      <c r="C6544" t="s">
        <v>241</v>
      </c>
      <c r="D6544" s="1">
        <v>6.0000000000000001E-3</v>
      </c>
      <c r="E6544" s="1">
        <v>3.0700000000000002E-2</v>
      </c>
      <c r="F6544" s="1">
        <v>5.7799999999999997E-2</v>
      </c>
      <c r="G6544">
        <v>2282</v>
      </c>
      <c r="H6544">
        <v>2085</v>
      </c>
      <c r="I6544">
        <v>10430</v>
      </c>
    </row>
    <row r="6545" spans="1:9">
      <c r="A6545" s="25" t="s">
        <v>189</v>
      </c>
      <c r="B6545" t="s">
        <v>213</v>
      </c>
      <c r="C6545" t="s">
        <v>1632</v>
      </c>
      <c r="D6545" s="1">
        <v>9.1000000000000004E-3</v>
      </c>
      <c r="E6545" s="1">
        <v>2.93E-2</v>
      </c>
      <c r="F6545" s="1">
        <v>3.73E-2</v>
      </c>
      <c r="G6545">
        <v>2282</v>
      </c>
      <c r="H6545">
        <v>2085</v>
      </c>
      <c r="I6545">
        <v>10430</v>
      </c>
    </row>
    <row r="6546" spans="1:9">
      <c r="A6546" s="25" t="s">
        <v>189</v>
      </c>
      <c r="B6546" t="s">
        <v>213</v>
      </c>
      <c r="C6546" t="s">
        <v>1633</v>
      </c>
      <c r="D6546" s="1">
        <v>1.7299999999999999E-2</v>
      </c>
      <c r="E6546" s="1">
        <v>1.84E-2</v>
      </c>
      <c r="F6546" s="1">
        <v>2.46E-2</v>
      </c>
      <c r="G6546">
        <v>2282</v>
      </c>
      <c r="H6546">
        <v>2085</v>
      </c>
      <c r="I6546">
        <v>10430</v>
      </c>
    </row>
    <row r="6547" spans="1:9">
      <c r="A6547" s="25" t="s">
        <v>189</v>
      </c>
      <c r="B6547" t="s">
        <v>213</v>
      </c>
      <c r="C6547" t="s">
        <v>1634</v>
      </c>
      <c r="D6547" s="1">
        <v>2.0000000000000001E-4</v>
      </c>
      <c r="E6547" s="1">
        <v>2.3E-3</v>
      </c>
      <c r="F6547" s="1">
        <v>1.2E-2</v>
      </c>
      <c r="G6547">
        <v>2282</v>
      </c>
      <c r="H6547">
        <v>2085</v>
      </c>
      <c r="I6547">
        <v>10430</v>
      </c>
    </row>
    <row r="6548" spans="1:9">
      <c r="A6548" s="25" t="s">
        <v>189</v>
      </c>
      <c r="B6548" t="s">
        <v>213</v>
      </c>
      <c r="C6548" t="s">
        <v>1635</v>
      </c>
      <c r="D6548" s="1">
        <v>3.9E-2</v>
      </c>
      <c r="E6548" s="1">
        <v>8.9599999999999999E-2</v>
      </c>
      <c r="F6548" s="1">
        <v>9.0800000000000006E-2</v>
      </c>
      <c r="G6548">
        <v>2282</v>
      </c>
      <c r="H6548">
        <v>2085</v>
      </c>
      <c r="I6548">
        <v>10430</v>
      </c>
    </row>
    <row r="6549" spans="1:9">
      <c r="A6549" s="25" t="s">
        <v>189</v>
      </c>
      <c r="B6549" t="s">
        <v>213</v>
      </c>
      <c r="C6549" t="s">
        <v>1636</v>
      </c>
      <c r="D6549" s="1">
        <v>1E-4</v>
      </c>
      <c r="E6549" s="1">
        <v>1.6000000000000001E-3</v>
      </c>
      <c r="F6549" s="1">
        <v>9.7000000000000003E-3</v>
      </c>
      <c r="G6549">
        <v>2282</v>
      </c>
      <c r="H6549">
        <v>2085</v>
      </c>
      <c r="I6549">
        <v>10430</v>
      </c>
    </row>
    <row r="6550" spans="1:9">
      <c r="A6550" s="25" t="s">
        <v>189</v>
      </c>
      <c r="B6550" t="s">
        <v>213</v>
      </c>
      <c r="C6550" t="s">
        <v>1637</v>
      </c>
      <c r="D6550" s="1">
        <v>2.5899999999999999E-2</v>
      </c>
      <c r="E6550" s="1">
        <v>4.4299999999999999E-2</v>
      </c>
      <c r="F6550" s="1">
        <v>5.5199999999999999E-2</v>
      </c>
      <c r="G6550">
        <v>2282</v>
      </c>
      <c r="H6550">
        <v>2085</v>
      </c>
      <c r="I6550">
        <v>10430</v>
      </c>
    </row>
    <row r="6551" spans="1:9">
      <c r="A6551" s="25" t="s">
        <v>189</v>
      </c>
      <c r="B6551" t="s">
        <v>213</v>
      </c>
      <c r="C6551" t="s">
        <v>1638</v>
      </c>
      <c r="D6551" s="1">
        <v>1E-3</v>
      </c>
      <c r="E6551" s="1">
        <v>6.1999999999999998E-3</v>
      </c>
      <c r="F6551" s="1">
        <v>7.1000000000000004E-3</v>
      </c>
      <c r="G6551">
        <v>2282</v>
      </c>
      <c r="H6551">
        <v>2085</v>
      </c>
      <c r="I6551">
        <v>10430</v>
      </c>
    </row>
    <row r="6552" spans="1:9">
      <c r="A6552" s="25" t="s">
        <v>189</v>
      </c>
      <c r="B6552" t="s">
        <v>213</v>
      </c>
      <c r="C6552" t="s">
        <v>1639</v>
      </c>
      <c r="D6552" s="1">
        <v>1.2999999999999999E-3</v>
      </c>
      <c r="E6552" s="1">
        <v>1.6999999999999999E-3</v>
      </c>
      <c r="F6552" s="1">
        <v>1.6000000000000001E-3</v>
      </c>
      <c r="G6552">
        <v>2282</v>
      </c>
      <c r="H6552">
        <v>2085</v>
      </c>
      <c r="I6552">
        <v>10430</v>
      </c>
    </row>
    <row r="6553" spans="1:9">
      <c r="A6553" s="25" t="s">
        <v>189</v>
      </c>
      <c r="B6553" t="s">
        <v>213</v>
      </c>
      <c r="C6553" t="s">
        <v>1640</v>
      </c>
      <c r="D6553" s="1">
        <v>3.5000000000000001E-3</v>
      </c>
      <c r="E6553" s="1">
        <v>1.0200000000000001E-2</v>
      </c>
      <c r="F6553" s="1">
        <v>8.3000000000000001E-3</v>
      </c>
      <c r="G6553">
        <v>2282</v>
      </c>
      <c r="H6553">
        <v>2085</v>
      </c>
      <c r="I6553">
        <v>10430</v>
      </c>
    </row>
    <row r="6554" spans="1:9">
      <c r="A6554" s="25" t="s">
        <v>189</v>
      </c>
      <c r="B6554" t="s">
        <v>213</v>
      </c>
      <c r="C6554" t="s">
        <v>1641</v>
      </c>
      <c r="D6554" s="1">
        <v>8.2000000000000007E-3</v>
      </c>
      <c r="E6554" s="1">
        <v>6.6100000000000006E-2</v>
      </c>
      <c r="F6554" s="1">
        <v>5.8299999999999998E-2</v>
      </c>
      <c r="G6554">
        <v>2282</v>
      </c>
      <c r="H6554">
        <v>2085</v>
      </c>
      <c r="I6554">
        <v>10430</v>
      </c>
    </row>
    <row r="6555" spans="1:9">
      <c r="A6555" s="25" t="s">
        <v>189</v>
      </c>
      <c r="B6555" t="s">
        <v>213</v>
      </c>
      <c r="C6555" t="s">
        <v>1642</v>
      </c>
      <c r="D6555" s="1">
        <v>1.0999999999999999E-2</v>
      </c>
      <c r="E6555" s="1">
        <v>6.9699999999999998E-2</v>
      </c>
      <c r="F6555" s="1">
        <v>3.7600000000000001E-2</v>
      </c>
      <c r="G6555">
        <v>2282</v>
      </c>
      <c r="H6555">
        <v>2085</v>
      </c>
      <c r="I6555">
        <v>10430</v>
      </c>
    </row>
    <row r="6556" spans="1:9">
      <c r="A6556" s="25" t="s">
        <v>189</v>
      </c>
      <c r="B6556" t="s">
        <v>213</v>
      </c>
      <c r="C6556" t="s">
        <v>1643</v>
      </c>
      <c r="D6556" s="1">
        <v>2.8E-3</v>
      </c>
      <c r="E6556" s="1">
        <v>2.5000000000000001E-3</v>
      </c>
      <c r="F6556" s="1">
        <v>1.34E-2</v>
      </c>
      <c r="G6556">
        <v>2282</v>
      </c>
      <c r="H6556">
        <v>2085</v>
      </c>
      <c r="I6556">
        <v>10430</v>
      </c>
    </row>
    <row r="6557" spans="1:9">
      <c r="A6557" s="25" t="s">
        <v>189</v>
      </c>
      <c r="B6557" t="s">
        <v>213</v>
      </c>
      <c r="C6557" t="s">
        <v>1644</v>
      </c>
      <c r="D6557" s="1">
        <v>2.0000000000000001E-4</v>
      </c>
      <c r="E6557" s="1">
        <v>9.7999999999999997E-3</v>
      </c>
      <c r="F6557" s="1">
        <v>8.8999999999999999E-3</v>
      </c>
      <c r="G6557">
        <v>2282</v>
      </c>
      <c r="H6557">
        <v>2085</v>
      </c>
      <c r="I6557">
        <v>10430</v>
      </c>
    </row>
    <row r="6558" spans="1:9">
      <c r="A6558" s="25" t="s">
        <v>189</v>
      </c>
      <c r="B6558" t="s">
        <v>213</v>
      </c>
      <c r="C6558" t="s">
        <v>1645</v>
      </c>
      <c r="D6558" s="1">
        <v>1E-4</v>
      </c>
      <c r="E6558" s="1">
        <v>1.2999999999999999E-3</v>
      </c>
      <c r="F6558" s="1">
        <v>7.7999999999999996E-3</v>
      </c>
      <c r="G6558">
        <v>2282</v>
      </c>
      <c r="H6558">
        <v>2085</v>
      </c>
      <c r="I6558">
        <v>10430</v>
      </c>
    </row>
    <row r="6559" spans="1:9">
      <c r="A6559" s="25" t="s">
        <v>189</v>
      </c>
      <c r="B6559" t="s">
        <v>213</v>
      </c>
      <c r="C6559" t="s">
        <v>1646</v>
      </c>
      <c r="D6559" s="1">
        <v>2.0999999999999999E-3</v>
      </c>
      <c r="E6559" s="1">
        <v>1.29E-2</v>
      </c>
      <c r="F6559" s="1">
        <v>2.0799999999999999E-2</v>
      </c>
      <c r="G6559">
        <v>2282</v>
      </c>
      <c r="H6559">
        <v>2085</v>
      </c>
      <c r="I6559">
        <v>10430</v>
      </c>
    </row>
    <row r="6560" spans="1:9">
      <c r="A6560" s="25" t="s">
        <v>189</v>
      </c>
      <c r="B6560" t="s">
        <v>213</v>
      </c>
      <c r="C6560" t="s">
        <v>1647</v>
      </c>
      <c r="D6560" s="1">
        <v>6.6E-3</v>
      </c>
      <c r="E6560" s="1">
        <v>2.3099999999999999E-2</v>
      </c>
      <c r="F6560" s="1">
        <v>2.5000000000000001E-2</v>
      </c>
      <c r="G6560">
        <v>2282</v>
      </c>
      <c r="H6560">
        <v>2085</v>
      </c>
      <c r="I6560">
        <v>10430</v>
      </c>
    </row>
    <row r="6561" spans="1:9">
      <c r="A6561" s="25" t="s">
        <v>189</v>
      </c>
      <c r="B6561" t="s">
        <v>213</v>
      </c>
      <c r="C6561" t="s">
        <v>1648</v>
      </c>
      <c r="D6561" s="1">
        <v>0.26750000000000002</v>
      </c>
      <c r="E6561" s="1">
        <v>0.126</v>
      </c>
      <c r="F6561" s="1">
        <v>4.1399999999999999E-2</v>
      </c>
      <c r="G6561">
        <v>2282</v>
      </c>
      <c r="H6561">
        <v>2085</v>
      </c>
      <c r="I6561">
        <v>10430</v>
      </c>
    </row>
    <row r="6562" spans="1:9">
      <c r="A6562" s="25" t="s">
        <v>189</v>
      </c>
      <c r="B6562" t="s">
        <v>213</v>
      </c>
      <c r="C6562" t="s">
        <v>1649</v>
      </c>
      <c r="D6562" s="1">
        <v>0.2172</v>
      </c>
      <c r="E6562" s="1">
        <v>6.0199999999999997E-2</v>
      </c>
      <c r="F6562" s="1">
        <v>3.32E-2</v>
      </c>
      <c r="G6562">
        <v>2282</v>
      </c>
      <c r="H6562">
        <v>2085</v>
      </c>
      <c r="I6562">
        <v>10430</v>
      </c>
    </row>
    <row r="6563" spans="1:9">
      <c r="A6563" s="25" t="s">
        <v>189</v>
      </c>
      <c r="B6563" t="s">
        <v>213</v>
      </c>
      <c r="C6563" t="s">
        <v>324</v>
      </c>
      <c r="D6563" s="1">
        <v>0.3725</v>
      </c>
      <c r="E6563" s="1">
        <v>0.3841</v>
      </c>
      <c r="F6563" s="1">
        <v>0.41520000000000001</v>
      </c>
      <c r="G6563">
        <v>2282</v>
      </c>
      <c r="H6563">
        <v>2085</v>
      </c>
      <c r="I6563">
        <v>10430</v>
      </c>
    </row>
    <row r="6564" spans="1:9">
      <c r="A6564" s="25" t="s">
        <v>189</v>
      </c>
      <c r="B6564" t="s">
        <v>213</v>
      </c>
      <c r="C6564" t="s">
        <v>269</v>
      </c>
      <c r="D6564" s="1">
        <v>4.1000000000000003E-3</v>
      </c>
      <c r="E6564" s="1">
        <v>5.3E-3</v>
      </c>
      <c r="F6564" s="1">
        <v>1.7999999999999999E-2</v>
      </c>
      <c r="G6564">
        <v>2282</v>
      </c>
      <c r="H6564">
        <v>2085</v>
      </c>
      <c r="I6564">
        <v>10430</v>
      </c>
    </row>
    <row r="6565" spans="1:9">
      <c r="A6565" s="25" t="s">
        <v>189</v>
      </c>
      <c r="B6565" t="s">
        <v>213</v>
      </c>
      <c r="C6565" t="s">
        <v>243</v>
      </c>
      <c r="D6565" s="1">
        <v>2.5000000000000001E-3</v>
      </c>
      <c r="F6565" s="1">
        <v>2.7000000000000001E-3</v>
      </c>
      <c r="G6565">
        <v>2282</v>
      </c>
      <c r="H6565">
        <v>2085</v>
      </c>
      <c r="I6565">
        <v>10430</v>
      </c>
    </row>
    <row r="6566" spans="1:9">
      <c r="A6566" s="25" t="s">
        <v>189</v>
      </c>
      <c r="B6566" t="s">
        <v>213</v>
      </c>
      <c r="C6566" t="s">
        <v>1650</v>
      </c>
      <c r="D6566" s="1">
        <v>1.1999999999999999E-3</v>
      </c>
      <c r="E6566" s="1">
        <v>2.7000000000000001E-3</v>
      </c>
      <c r="F6566" s="1">
        <v>4.7999999999999996E-3</v>
      </c>
      <c r="G6566">
        <v>2282</v>
      </c>
      <c r="H6566">
        <v>2085</v>
      </c>
      <c r="I6566">
        <v>10430</v>
      </c>
    </row>
    <row r="6567" spans="1:9">
      <c r="A6567" s="25" t="s">
        <v>192</v>
      </c>
      <c r="B6567" t="s">
        <v>192</v>
      </c>
      <c r="C6567" t="s">
        <v>1631</v>
      </c>
      <c r="D6567" s="1">
        <v>1.1000000000000001E-3</v>
      </c>
      <c r="E6567" s="1">
        <v>4.7999999999999996E-3</v>
      </c>
      <c r="F6567" s="1">
        <v>7.4000000000000003E-3</v>
      </c>
      <c r="G6567">
        <v>10430</v>
      </c>
      <c r="H6567">
        <v>10430</v>
      </c>
      <c r="I6567">
        <v>10430</v>
      </c>
    </row>
    <row r="6568" spans="1:9">
      <c r="A6568" s="25" t="s">
        <v>192</v>
      </c>
      <c r="B6568" t="s">
        <v>192</v>
      </c>
      <c r="C6568" t="s">
        <v>241</v>
      </c>
      <c r="D6568" s="1">
        <v>1.21E-2</v>
      </c>
      <c r="E6568" s="1">
        <v>2.9100000000000001E-2</v>
      </c>
      <c r="F6568" s="1">
        <v>5.5599999999999997E-2</v>
      </c>
      <c r="G6568">
        <v>10430</v>
      </c>
      <c r="H6568">
        <v>10430</v>
      </c>
      <c r="I6568">
        <v>10430</v>
      </c>
    </row>
    <row r="6569" spans="1:9">
      <c r="A6569" s="25" t="s">
        <v>192</v>
      </c>
      <c r="B6569" t="s">
        <v>192</v>
      </c>
      <c r="C6569" t="s">
        <v>1632</v>
      </c>
      <c r="D6569" s="1">
        <v>1.4500000000000001E-2</v>
      </c>
      <c r="E6569" s="1">
        <v>3.9699999999999999E-2</v>
      </c>
      <c r="F6569" s="1">
        <v>4.8500000000000001E-2</v>
      </c>
      <c r="G6569">
        <v>10430</v>
      </c>
      <c r="H6569">
        <v>10430</v>
      </c>
      <c r="I6569">
        <v>10430</v>
      </c>
    </row>
    <row r="6570" spans="1:9">
      <c r="A6570" s="25" t="s">
        <v>192</v>
      </c>
      <c r="B6570" t="s">
        <v>192</v>
      </c>
      <c r="C6570" t="s">
        <v>1633</v>
      </c>
      <c r="D6570" s="1">
        <v>1.0699999999999999E-2</v>
      </c>
      <c r="E6570" s="1">
        <v>1.2999999999999999E-2</v>
      </c>
      <c r="F6570" s="1">
        <v>1.7600000000000001E-2</v>
      </c>
      <c r="G6570">
        <v>10430</v>
      </c>
      <c r="H6570">
        <v>10430</v>
      </c>
      <c r="I6570">
        <v>10430</v>
      </c>
    </row>
    <row r="6571" spans="1:9">
      <c r="A6571" s="25" t="s">
        <v>192</v>
      </c>
      <c r="B6571" t="s">
        <v>192</v>
      </c>
      <c r="C6571" t="s">
        <v>1634</v>
      </c>
      <c r="D6571" s="1">
        <v>1E-3</v>
      </c>
      <c r="E6571" s="1">
        <v>2.8999999999999998E-3</v>
      </c>
      <c r="F6571" s="1">
        <v>7.1000000000000004E-3</v>
      </c>
      <c r="G6571">
        <v>10430</v>
      </c>
      <c r="H6571">
        <v>10430</v>
      </c>
      <c r="I6571">
        <v>10430</v>
      </c>
    </row>
    <row r="6572" spans="1:9">
      <c r="A6572" s="25" t="s">
        <v>192</v>
      </c>
      <c r="B6572" t="s">
        <v>192</v>
      </c>
      <c r="C6572" t="s">
        <v>1635</v>
      </c>
      <c r="D6572" s="1">
        <v>4.1200000000000001E-2</v>
      </c>
      <c r="E6572" s="1">
        <v>0.10920000000000001</v>
      </c>
      <c r="F6572" s="1">
        <v>8.8099999999999998E-2</v>
      </c>
      <c r="G6572">
        <v>10430</v>
      </c>
      <c r="H6572">
        <v>10430</v>
      </c>
      <c r="I6572">
        <v>10430</v>
      </c>
    </row>
    <row r="6573" spans="1:9">
      <c r="A6573" s="25" t="s">
        <v>192</v>
      </c>
      <c r="B6573" t="s">
        <v>192</v>
      </c>
      <c r="C6573" t="s">
        <v>1636</v>
      </c>
      <c r="D6573" s="1">
        <v>2.0000000000000001E-4</v>
      </c>
      <c r="E6573" s="1">
        <v>1.8E-3</v>
      </c>
      <c r="F6573" s="1">
        <v>5.1999999999999998E-3</v>
      </c>
      <c r="G6573">
        <v>10430</v>
      </c>
      <c r="H6573">
        <v>10430</v>
      </c>
      <c r="I6573">
        <v>10430</v>
      </c>
    </row>
    <row r="6574" spans="1:9">
      <c r="A6574" s="25" t="s">
        <v>192</v>
      </c>
      <c r="B6574" t="s">
        <v>192</v>
      </c>
      <c r="C6574" t="s">
        <v>1637</v>
      </c>
      <c r="D6574" s="1">
        <v>2.53E-2</v>
      </c>
      <c r="E6574" s="1">
        <v>4.3900000000000002E-2</v>
      </c>
      <c r="F6574" s="1">
        <v>3.6700000000000003E-2</v>
      </c>
      <c r="G6574">
        <v>10430</v>
      </c>
      <c r="H6574">
        <v>10430</v>
      </c>
      <c r="I6574">
        <v>10430</v>
      </c>
    </row>
    <row r="6575" spans="1:9">
      <c r="A6575" s="25" t="s">
        <v>192</v>
      </c>
      <c r="B6575" t="s">
        <v>192</v>
      </c>
      <c r="C6575" t="s">
        <v>1638</v>
      </c>
      <c r="D6575" s="1">
        <v>3.0999999999999999E-3</v>
      </c>
      <c r="E6575" s="1">
        <v>7.3000000000000001E-3</v>
      </c>
      <c r="F6575" s="1">
        <v>1.0500000000000001E-2</v>
      </c>
      <c r="G6575">
        <v>10430</v>
      </c>
      <c r="H6575">
        <v>10430</v>
      </c>
      <c r="I6575">
        <v>10430</v>
      </c>
    </row>
    <row r="6576" spans="1:9">
      <c r="A6576" s="25" t="s">
        <v>192</v>
      </c>
      <c r="B6576" t="s">
        <v>192</v>
      </c>
      <c r="C6576" t="s">
        <v>1639</v>
      </c>
      <c r="D6576" s="1">
        <v>1.9E-3</v>
      </c>
      <c r="E6576" s="1">
        <v>4.3E-3</v>
      </c>
      <c r="F6576" s="1">
        <v>4.0000000000000001E-3</v>
      </c>
      <c r="G6576">
        <v>10430</v>
      </c>
      <c r="H6576">
        <v>10430</v>
      </c>
      <c r="I6576">
        <v>10430</v>
      </c>
    </row>
    <row r="6577" spans="1:9">
      <c r="A6577" s="25" t="s">
        <v>192</v>
      </c>
      <c r="B6577" t="s">
        <v>192</v>
      </c>
      <c r="C6577" t="s">
        <v>1640</v>
      </c>
      <c r="D6577" s="1">
        <v>4.0000000000000001E-3</v>
      </c>
      <c r="E6577" s="1">
        <v>1.4E-2</v>
      </c>
      <c r="F6577" s="1">
        <v>1.38E-2</v>
      </c>
      <c r="G6577">
        <v>10430</v>
      </c>
      <c r="H6577">
        <v>10430</v>
      </c>
      <c r="I6577">
        <v>10430</v>
      </c>
    </row>
    <row r="6578" spans="1:9">
      <c r="A6578" s="25" t="s">
        <v>192</v>
      </c>
      <c r="B6578" t="s">
        <v>192</v>
      </c>
      <c r="C6578" t="s">
        <v>1641</v>
      </c>
      <c r="D6578" s="1">
        <v>1.4500000000000001E-2</v>
      </c>
      <c r="E6578" s="1">
        <v>7.3200000000000001E-2</v>
      </c>
      <c r="F6578" s="1">
        <v>7.7799999999999994E-2</v>
      </c>
      <c r="G6578">
        <v>10430</v>
      </c>
      <c r="H6578">
        <v>10430</v>
      </c>
      <c r="I6578">
        <v>10430</v>
      </c>
    </row>
    <row r="6579" spans="1:9">
      <c r="A6579" s="25" t="s">
        <v>192</v>
      </c>
      <c r="B6579" t="s">
        <v>192</v>
      </c>
      <c r="C6579" t="s">
        <v>1651</v>
      </c>
      <c r="D6579" s="1">
        <v>6.9999999999999999E-4</v>
      </c>
      <c r="E6579" s="1">
        <v>3.8E-3</v>
      </c>
      <c r="F6579" s="1">
        <v>7.6E-3</v>
      </c>
      <c r="G6579">
        <v>10430</v>
      </c>
      <c r="H6579">
        <v>10430</v>
      </c>
      <c r="I6579">
        <v>10430</v>
      </c>
    </row>
    <row r="6580" spans="1:9">
      <c r="A6580" s="25" t="s">
        <v>192</v>
      </c>
      <c r="B6580" t="s">
        <v>192</v>
      </c>
      <c r="C6580" t="s">
        <v>1642</v>
      </c>
      <c r="D6580" s="1">
        <v>9.7000000000000003E-3</v>
      </c>
      <c r="E6580" s="1">
        <v>4.5600000000000002E-2</v>
      </c>
      <c r="F6580" s="1">
        <v>4.5100000000000001E-2</v>
      </c>
      <c r="G6580">
        <v>10430</v>
      </c>
      <c r="H6580">
        <v>10430</v>
      </c>
      <c r="I6580">
        <v>10430</v>
      </c>
    </row>
    <row r="6581" spans="1:9">
      <c r="A6581" s="25" t="s">
        <v>192</v>
      </c>
      <c r="B6581" t="s">
        <v>192</v>
      </c>
      <c r="C6581" t="s">
        <v>1643</v>
      </c>
      <c r="D6581" s="1">
        <v>3.2000000000000002E-3</v>
      </c>
      <c r="E6581" s="1">
        <v>4.8999999999999998E-3</v>
      </c>
      <c r="F6581" s="1">
        <v>8.8000000000000005E-3</v>
      </c>
      <c r="G6581">
        <v>10430</v>
      </c>
      <c r="H6581">
        <v>10430</v>
      </c>
      <c r="I6581">
        <v>10430</v>
      </c>
    </row>
    <row r="6582" spans="1:9">
      <c r="A6582" s="25" t="s">
        <v>192</v>
      </c>
      <c r="B6582" t="s">
        <v>192</v>
      </c>
      <c r="C6582" t="s">
        <v>1644</v>
      </c>
      <c r="D6582" s="1">
        <v>1E-3</v>
      </c>
      <c r="E6582" s="1">
        <v>5.4999999999999997E-3</v>
      </c>
      <c r="F6582" s="1">
        <v>1.2699999999999999E-2</v>
      </c>
      <c r="G6582">
        <v>10430</v>
      </c>
      <c r="H6582">
        <v>10430</v>
      </c>
      <c r="I6582">
        <v>10430</v>
      </c>
    </row>
    <row r="6583" spans="1:9">
      <c r="A6583" s="25" t="s">
        <v>192</v>
      </c>
      <c r="B6583" t="s">
        <v>192</v>
      </c>
      <c r="C6583" t="s">
        <v>1645</v>
      </c>
      <c r="D6583" s="1">
        <v>8.0000000000000004E-4</v>
      </c>
      <c r="E6583" s="1">
        <v>1E-3</v>
      </c>
      <c r="F6583" s="1">
        <v>3.8E-3</v>
      </c>
      <c r="G6583">
        <v>10430</v>
      </c>
      <c r="H6583">
        <v>10430</v>
      </c>
      <c r="I6583">
        <v>10430</v>
      </c>
    </row>
    <row r="6584" spans="1:9">
      <c r="A6584" s="25" t="s">
        <v>192</v>
      </c>
      <c r="B6584" t="s">
        <v>192</v>
      </c>
      <c r="C6584" t="s">
        <v>1646</v>
      </c>
      <c r="D6584" s="1">
        <v>1.6999999999999999E-3</v>
      </c>
      <c r="E6584" s="1">
        <v>1.38E-2</v>
      </c>
      <c r="F6584" s="1">
        <v>2.7699999999999999E-2</v>
      </c>
      <c r="G6584">
        <v>10430</v>
      </c>
      <c r="H6584">
        <v>10430</v>
      </c>
      <c r="I6584">
        <v>10430</v>
      </c>
    </row>
    <row r="6585" spans="1:9">
      <c r="A6585" s="25" t="s">
        <v>192</v>
      </c>
      <c r="B6585" t="s">
        <v>192</v>
      </c>
      <c r="C6585" t="s">
        <v>1647</v>
      </c>
      <c r="D6585" s="1">
        <v>5.4999999999999997E-3</v>
      </c>
      <c r="E6585" s="1">
        <v>1.9199999999999998E-2</v>
      </c>
      <c r="F6585" s="1">
        <v>2.98E-2</v>
      </c>
      <c r="G6585">
        <v>10430</v>
      </c>
      <c r="H6585">
        <v>10430</v>
      </c>
      <c r="I6585">
        <v>10430</v>
      </c>
    </row>
    <row r="6586" spans="1:9">
      <c r="A6586" s="25" t="s">
        <v>192</v>
      </c>
      <c r="B6586" t="s">
        <v>192</v>
      </c>
      <c r="C6586" t="s">
        <v>1648</v>
      </c>
      <c r="D6586" s="1">
        <v>0.28689999999999999</v>
      </c>
      <c r="E6586" s="1">
        <v>0.13789999999999999</v>
      </c>
      <c r="F6586" s="1">
        <v>5.3699999999999998E-2</v>
      </c>
      <c r="G6586">
        <v>10430</v>
      </c>
      <c r="H6586">
        <v>10430</v>
      </c>
      <c r="I6586">
        <v>10430</v>
      </c>
    </row>
    <row r="6587" spans="1:9">
      <c r="A6587" s="25" t="s">
        <v>192</v>
      </c>
      <c r="B6587" t="s">
        <v>192</v>
      </c>
      <c r="C6587" t="s">
        <v>1649</v>
      </c>
      <c r="D6587" s="1">
        <v>0.2114</v>
      </c>
      <c r="E6587" s="1">
        <v>6.6199999999999995E-2</v>
      </c>
      <c r="F6587" s="1">
        <v>4.0399999999999998E-2</v>
      </c>
      <c r="G6587">
        <v>10430</v>
      </c>
      <c r="H6587">
        <v>10430</v>
      </c>
      <c r="I6587">
        <v>10430</v>
      </c>
    </row>
    <row r="6588" spans="1:9">
      <c r="A6588" s="25" t="s">
        <v>192</v>
      </c>
      <c r="B6588" t="s">
        <v>192</v>
      </c>
      <c r="C6588" t="s">
        <v>324</v>
      </c>
      <c r="D6588" s="1">
        <v>0.34429999999999999</v>
      </c>
      <c r="E6588" s="1">
        <v>0.34960000000000002</v>
      </c>
      <c r="F6588" s="1">
        <v>0.38229999999999997</v>
      </c>
      <c r="G6588">
        <v>10430</v>
      </c>
      <c r="H6588">
        <v>10430</v>
      </c>
      <c r="I6588">
        <v>10430</v>
      </c>
    </row>
    <row r="6589" spans="1:9">
      <c r="A6589" s="25" t="s">
        <v>192</v>
      </c>
      <c r="B6589" t="s">
        <v>192</v>
      </c>
      <c r="C6589" t="s">
        <v>269</v>
      </c>
      <c r="D6589" s="1">
        <v>2.0999999999999999E-3</v>
      </c>
      <c r="E6589" s="1">
        <v>4.3E-3</v>
      </c>
      <c r="F6589" s="1">
        <v>6.8999999999999999E-3</v>
      </c>
      <c r="G6589">
        <v>10430</v>
      </c>
      <c r="H6589">
        <v>10430</v>
      </c>
      <c r="I6589">
        <v>10430</v>
      </c>
    </row>
    <row r="6590" spans="1:9">
      <c r="A6590" s="25" t="s">
        <v>192</v>
      </c>
      <c r="B6590" t="s">
        <v>192</v>
      </c>
      <c r="C6590" t="s">
        <v>243</v>
      </c>
      <c r="D6590" s="1">
        <v>2.0999999999999999E-3</v>
      </c>
      <c r="E6590" s="1">
        <v>1E-4</v>
      </c>
      <c r="F6590" s="1">
        <v>1.5E-3</v>
      </c>
      <c r="G6590">
        <v>10430</v>
      </c>
      <c r="H6590">
        <v>10430</v>
      </c>
      <c r="I6590">
        <v>10430</v>
      </c>
    </row>
    <row r="6591" spans="1:9">
      <c r="A6591" s="25" t="s">
        <v>192</v>
      </c>
      <c r="B6591" t="s">
        <v>192</v>
      </c>
      <c r="C6591" t="s">
        <v>1650</v>
      </c>
      <c r="D6591" s="1">
        <v>8.0000000000000004E-4</v>
      </c>
      <c r="E6591" s="1">
        <v>4.8999999999999998E-3</v>
      </c>
      <c r="F6591" s="1">
        <v>7.4999999999999997E-3</v>
      </c>
      <c r="G6591">
        <v>10430</v>
      </c>
      <c r="H6591">
        <v>10430</v>
      </c>
      <c r="I6591">
        <v>10430</v>
      </c>
    </row>
    <row r="6593" spans="1:30" ht="43.5">
      <c r="A6593" s="25" t="s">
        <v>1659</v>
      </c>
    </row>
    <row r="6594" spans="1:30">
      <c r="A6594" s="25" t="s">
        <v>182</v>
      </c>
      <c r="B6594" t="s">
        <v>219</v>
      </c>
      <c r="C6594" t="s">
        <v>181</v>
      </c>
      <c r="D6594" t="s">
        <v>188</v>
      </c>
      <c r="E6594" t="s">
        <v>1660</v>
      </c>
      <c r="F6594" t="s">
        <v>1661</v>
      </c>
      <c r="G6594" t="s">
        <v>1662</v>
      </c>
      <c r="H6594" t="s">
        <v>1663</v>
      </c>
      <c r="I6594" t="s">
        <v>1664</v>
      </c>
      <c r="J6594" t="s">
        <v>1665</v>
      </c>
      <c r="K6594" t="s">
        <v>1666</v>
      </c>
      <c r="L6594" t="s">
        <v>1667</v>
      </c>
      <c r="M6594" t="s">
        <v>1668</v>
      </c>
      <c r="N6594" t="s">
        <v>1669</v>
      </c>
      <c r="O6594" t="s">
        <v>1670</v>
      </c>
      <c r="P6594" t="s">
        <v>1671</v>
      </c>
      <c r="Q6594" t="s">
        <v>1672</v>
      </c>
      <c r="R6594" t="s">
        <v>324</v>
      </c>
      <c r="S6594" t="s">
        <v>1673</v>
      </c>
      <c r="T6594" t="s">
        <v>1674</v>
      </c>
      <c r="U6594" t="s">
        <v>269</v>
      </c>
      <c r="V6594" t="s">
        <v>1675</v>
      </c>
      <c r="W6594" t="s">
        <v>1676</v>
      </c>
      <c r="X6594" t="s">
        <v>1677</v>
      </c>
      <c r="Y6594" t="s">
        <v>1678</v>
      </c>
      <c r="Z6594" t="s">
        <v>1679</v>
      </c>
      <c r="AA6594" t="s">
        <v>1680</v>
      </c>
      <c r="AB6594" t="s">
        <v>1681</v>
      </c>
      <c r="AC6594" t="s">
        <v>1682</v>
      </c>
      <c r="AD6594" t="s">
        <v>1683</v>
      </c>
    </row>
    <row r="6595" spans="1:30">
      <c r="A6595" s="25" t="s">
        <v>215</v>
      </c>
      <c r="B6595">
        <v>2144</v>
      </c>
      <c r="C6595" t="s">
        <v>189</v>
      </c>
      <c r="D6595">
        <v>7159</v>
      </c>
      <c r="E6595" s="1">
        <v>4.2900000000000001E-2</v>
      </c>
      <c r="F6595" s="1">
        <v>6.7000000000000004E-2</v>
      </c>
      <c r="G6595" s="1">
        <v>0.4874</v>
      </c>
      <c r="H6595" s="1">
        <v>7.1999999999999998E-3</v>
      </c>
      <c r="I6595" s="1">
        <v>2.4799999999999999E-2</v>
      </c>
      <c r="J6595" s="1">
        <v>1.46E-2</v>
      </c>
      <c r="K6595" s="1">
        <v>1.01E-2</v>
      </c>
      <c r="L6595" s="1">
        <v>9.4999999999999998E-3</v>
      </c>
      <c r="M6595" s="1">
        <v>0.22420000000000001</v>
      </c>
      <c r="N6595" s="1">
        <v>0.2782</v>
      </c>
      <c r="O6595" s="1">
        <v>2.1899999999999999E-2</v>
      </c>
      <c r="P6595" s="1">
        <v>8.77E-2</v>
      </c>
      <c r="Q6595" s="1">
        <v>1.32E-2</v>
      </c>
      <c r="R6595" s="1">
        <v>0.27900000000000003</v>
      </c>
      <c r="S6595" s="1">
        <v>7.4000000000000003E-3</v>
      </c>
      <c r="T6595" s="1">
        <v>9.7000000000000003E-3</v>
      </c>
      <c r="U6595" s="1">
        <v>3.0999999999999999E-3</v>
      </c>
      <c r="V6595" s="1">
        <v>4.65E-2</v>
      </c>
      <c r="W6595" s="1">
        <v>5.5500000000000001E-2</v>
      </c>
      <c r="X6595" s="1">
        <v>3.1300000000000001E-2</v>
      </c>
      <c r="Y6595" s="1">
        <v>9.5999999999999992E-3</v>
      </c>
      <c r="Z6595" s="1">
        <v>3.7999999999999999E-2</v>
      </c>
      <c r="AA6595" s="1">
        <v>2.6100000000000002E-2</v>
      </c>
      <c r="AB6595" s="1">
        <v>6.1999999999999998E-3</v>
      </c>
      <c r="AC6595" s="1">
        <v>3.2500000000000001E-2</v>
      </c>
      <c r="AD6595" s="1">
        <v>5.4999999999999997E-3</v>
      </c>
    </row>
    <row r="6596" spans="1:30">
      <c r="A6596" s="25" t="s">
        <v>216</v>
      </c>
      <c r="B6596">
        <v>1</v>
      </c>
      <c r="C6596" t="s">
        <v>189</v>
      </c>
      <c r="D6596">
        <v>7159</v>
      </c>
      <c r="I6596" s="1">
        <v>1</v>
      </c>
    </row>
    <row r="6597" spans="1:30">
      <c r="A6597" s="25" t="s">
        <v>217</v>
      </c>
      <c r="B6597">
        <v>5014</v>
      </c>
      <c r="C6597" t="s">
        <v>189</v>
      </c>
      <c r="D6597">
        <v>7159</v>
      </c>
      <c r="E6597" s="1">
        <v>2.4199999999999999E-2</v>
      </c>
      <c r="F6597" s="1">
        <v>6.5500000000000003E-2</v>
      </c>
      <c r="G6597" s="1">
        <v>0.56979999999999997</v>
      </c>
      <c r="H6597" s="1">
        <v>1.0200000000000001E-2</v>
      </c>
      <c r="I6597" s="1">
        <v>6.9099999999999995E-2</v>
      </c>
      <c r="J6597" s="1">
        <v>2.5700000000000001E-2</v>
      </c>
      <c r="K6597" s="1">
        <v>2.4199999999999999E-2</v>
      </c>
      <c r="L6597" s="1">
        <v>4.6899999999999997E-2</v>
      </c>
      <c r="M6597" s="1">
        <v>0.32850000000000001</v>
      </c>
      <c r="N6597" s="1">
        <v>0.36820000000000003</v>
      </c>
      <c r="O6597" s="1">
        <v>2.2100000000000002E-2</v>
      </c>
      <c r="P6597" s="1">
        <v>8.7499999999999994E-2</v>
      </c>
      <c r="Q6597" s="1">
        <v>1.34E-2</v>
      </c>
      <c r="R6597" s="1">
        <v>0.17710000000000001</v>
      </c>
      <c r="S6597" s="1">
        <v>2.3400000000000001E-2</v>
      </c>
      <c r="T6597" s="1">
        <v>3.0000000000000001E-3</v>
      </c>
      <c r="U6597" s="1">
        <v>5.8999999999999999E-3</v>
      </c>
      <c r="V6597" s="1">
        <v>7.3499999999999996E-2</v>
      </c>
      <c r="W6597" s="1">
        <v>0.1105</v>
      </c>
      <c r="X6597" s="1">
        <v>5.1400000000000001E-2</v>
      </c>
      <c r="Y6597" s="1">
        <v>1.14E-2</v>
      </c>
      <c r="Z6597" s="1">
        <v>4.4499999999999998E-2</v>
      </c>
      <c r="AA6597" s="1">
        <v>3.04E-2</v>
      </c>
      <c r="AB6597" s="1">
        <v>9.4999999999999998E-3</v>
      </c>
      <c r="AC6597" s="1">
        <v>2.8400000000000002E-2</v>
      </c>
      <c r="AD6597" s="1">
        <v>9.1999999999999998E-3</v>
      </c>
    </row>
    <row r="6598" spans="1:30">
      <c r="A6598" s="25" t="s">
        <v>192</v>
      </c>
      <c r="B6598">
        <v>7159</v>
      </c>
      <c r="C6598" t="s">
        <v>192</v>
      </c>
      <c r="D6598">
        <v>7159</v>
      </c>
      <c r="E6598" s="1">
        <v>3.0300000000000001E-2</v>
      </c>
      <c r="F6598" s="1">
        <v>6.6000000000000003E-2</v>
      </c>
      <c r="G6598" s="1">
        <v>0.54290000000000005</v>
      </c>
      <c r="H6598" s="1">
        <v>9.1999999999999998E-3</v>
      </c>
      <c r="I6598" s="1">
        <v>5.4699999999999999E-2</v>
      </c>
      <c r="J6598" s="1">
        <v>2.2100000000000002E-2</v>
      </c>
      <c r="K6598" s="1">
        <v>1.9599999999999999E-2</v>
      </c>
      <c r="L6598" s="1">
        <v>3.4700000000000002E-2</v>
      </c>
      <c r="M6598" s="1">
        <v>0.29449999999999998</v>
      </c>
      <c r="N6598" s="1">
        <v>0.33889999999999998</v>
      </c>
      <c r="O6598" s="1">
        <v>2.1999999999999999E-2</v>
      </c>
      <c r="P6598" s="1">
        <v>8.7599999999999997E-2</v>
      </c>
      <c r="Q6598" s="1">
        <v>1.3299999999999999E-2</v>
      </c>
      <c r="R6598" s="1">
        <v>0.21029999999999999</v>
      </c>
      <c r="S6598" s="1">
        <v>1.8200000000000001E-2</v>
      </c>
      <c r="T6598" s="1">
        <v>5.1999999999999998E-3</v>
      </c>
      <c r="U6598" s="1">
        <v>5.0000000000000001E-3</v>
      </c>
      <c r="V6598" s="1">
        <v>6.4699999999999994E-2</v>
      </c>
      <c r="W6598" s="1">
        <v>9.2600000000000002E-2</v>
      </c>
      <c r="X6598" s="1">
        <v>4.48E-2</v>
      </c>
      <c r="Y6598" s="1">
        <v>1.09E-2</v>
      </c>
      <c r="Z6598" s="1">
        <v>4.24E-2</v>
      </c>
      <c r="AA6598" s="1">
        <v>2.9000000000000001E-2</v>
      </c>
      <c r="AB6598" s="1">
        <v>8.3999999999999995E-3</v>
      </c>
      <c r="AC6598" s="1">
        <v>2.9700000000000001E-2</v>
      </c>
      <c r="AD6598" s="1">
        <v>8.0000000000000002E-3</v>
      </c>
    </row>
    <row r="6600" spans="1:30" ht="43.5">
      <c r="A6600" s="25" t="s">
        <v>1684</v>
      </c>
    </row>
    <row r="6601" spans="1:30">
      <c r="A6601" s="25" t="s">
        <v>182</v>
      </c>
      <c r="B6601" t="s">
        <v>219</v>
      </c>
      <c r="C6601" t="s">
        <v>181</v>
      </c>
      <c r="D6601" t="s">
        <v>188</v>
      </c>
      <c r="E6601" t="s">
        <v>1660</v>
      </c>
      <c r="F6601" t="s">
        <v>1661</v>
      </c>
      <c r="G6601" t="s">
        <v>1662</v>
      </c>
      <c r="H6601" t="s">
        <v>1663</v>
      </c>
      <c r="I6601" t="s">
        <v>1664</v>
      </c>
      <c r="J6601" t="s">
        <v>1665</v>
      </c>
      <c r="K6601" t="s">
        <v>1666</v>
      </c>
      <c r="L6601" t="s">
        <v>1667</v>
      </c>
      <c r="M6601" t="s">
        <v>1668</v>
      </c>
      <c r="N6601" t="s">
        <v>1669</v>
      </c>
      <c r="O6601" t="s">
        <v>1670</v>
      </c>
      <c r="P6601" t="s">
        <v>1671</v>
      </c>
      <c r="Q6601" t="s">
        <v>1672</v>
      </c>
      <c r="R6601" t="s">
        <v>324</v>
      </c>
      <c r="S6601" t="s">
        <v>1673</v>
      </c>
      <c r="T6601" t="s">
        <v>1674</v>
      </c>
      <c r="U6601" t="s">
        <v>269</v>
      </c>
      <c r="V6601" t="s">
        <v>1675</v>
      </c>
      <c r="W6601" t="s">
        <v>1676</v>
      </c>
      <c r="X6601" t="s">
        <v>1677</v>
      </c>
      <c r="Y6601" t="s">
        <v>1678</v>
      </c>
      <c r="Z6601" t="s">
        <v>1679</v>
      </c>
      <c r="AA6601" t="s">
        <v>1680</v>
      </c>
      <c r="AB6601" t="s">
        <v>1681</v>
      </c>
      <c r="AC6601" t="s">
        <v>1682</v>
      </c>
      <c r="AD6601" t="s">
        <v>1683</v>
      </c>
    </row>
    <row r="6602" spans="1:30">
      <c r="A6602" s="25" t="s">
        <v>223</v>
      </c>
      <c r="B6602">
        <v>522</v>
      </c>
      <c r="C6602" t="s">
        <v>189</v>
      </c>
      <c r="D6602">
        <v>7159</v>
      </c>
      <c r="E6602" s="1">
        <v>3.3099999999999997E-2</v>
      </c>
      <c r="F6602" s="1">
        <v>1.5800000000000002E-2</v>
      </c>
      <c r="G6602" s="1">
        <v>0.41670000000000001</v>
      </c>
      <c r="H6602" s="1">
        <v>2.3E-3</v>
      </c>
      <c r="I6602" s="1">
        <v>3.7400000000000003E-2</v>
      </c>
      <c r="J6602" s="1">
        <v>2.9600000000000001E-2</v>
      </c>
      <c r="K6602" s="1">
        <v>2.3300000000000001E-2</v>
      </c>
      <c r="L6602" s="1">
        <v>3.6999999999999998E-2</v>
      </c>
      <c r="M6602" s="1">
        <v>0.1452</v>
      </c>
      <c r="N6602" s="1">
        <v>0.12909999999999999</v>
      </c>
      <c r="O6602" s="1">
        <v>9.7000000000000003E-3</v>
      </c>
      <c r="P6602" s="1">
        <v>0.1013</v>
      </c>
      <c r="Q6602" s="1">
        <v>2.5499999999999998E-2</v>
      </c>
      <c r="R6602" s="1">
        <v>0.36099999999999999</v>
      </c>
      <c r="S6602" s="1">
        <v>6.6600000000000006E-2</v>
      </c>
      <c r="T6602" s="1">
        <v>0.01</v>
      </c>
      <c r="U6602" s="1">
        <v>2.8E-3</v>
      </c>
      <c r="V6602" s="1">
        <v>5.04E-2</v>
      </c>
      <c r="W6602" s="1">
        <v>6.3799999999999996E-2</v>
      </c>
      <c r="X6602" s="1">
        <v>7.3300000000000004E-2</v>
      </c>
      <c r="Y6602" s="1">
        <v>3.7000000000000002E-3</v>
      </c>
      <c r="Z6602" s="1">
        <v>5.1200000000000002E-2</v>
      </c>
      <c r="AA6602" s="1">
        <v>1.44E-2</v>
      </c>
      <c r="AB6602" s="1">
        <v>6.1000000000000004E-3</v>
      </c>
      <c r="AC6602" s="1">
        <v>1.5900000000000001E-2</v>
      </c>
      <c r="AD6602" s="1">
        <v>2.5000000000000001E-3</v>
      </c>
    </row>
    <row r="6603" spans="1:30">
      <c r="A6603" s="25" t="s">
        <v>224</v>
      </c>
      <c r="B6603">
        <v>1908</v>
      </c>
      <c r="C6603" t="s">
        <v>189</v>
      </c>
      <c r="D6603">
        <v>7159</v>
      </c>
      <c r="E6603" s="1">
        <v>4.2900000000000001E-2</v>
      </c>
      <c r="F6603" s="1">
        <v>4.6600000000000003E-2</v>
      </c>
      <c r="G6603" s="1">
        <v>0.50760000000000005</v>
      </c>
      <c r="H6603" s="1">
        <v>7.1999999999999998E-3</v>
      </c>
      <c r="I6603" s="1">
        <v>6.8000000000000005E-2</v>
      </c>
      <c r="J6603" s="1">
        <v>1.8100000000000002E-2</v>
      </c>
      <c r="K6603" s="1">
        <v>5.6000000000000001E-2</v>
      </c>
      <c r="L6603" s="1">
        <v>5.7000000000000002E-2</v>
      </c>
      <c r="M6603" s="1">
        <v>0.25619999999999998</v>
      </c>
      <c r="N6603" s="1">
        <v>0.1988</v>
      </c>
      <c r="O6603" s="1">
        <v>4.2000000000000003E-2</v>
      </c>
      <c r="P6603" s="1">
        <v>0.1062</v>
      </c>
      <c r="Q6603" s="1">
        <v>1.6899999999999998E-2</v>
      </c>
      <c r="R6603" s="1">
        <v>0.26790000000000003</v>
      </c>
      <c r="S6603" s="1">
        <v>1.6299999999999999E-2</v>
      </c>
      <c r="T6603" s="1">
        <v>7.4000000000000003E-3</v>
      </c>
      <c r="U6603" s="1">
        <v>3.0000000000000001E-3</v>
      </c>
      <c r="V6603" s="1">
        <v>6.9900000000000004E-2</v>
      </c>
      <c r="W6603" s="1">
        <v>0.104</v>
      </c>
      <c r="X6603" s="1">
        <v>6.25E-2</v>
      </c>
      <c r="Y6603" s="1">
        <v>6.4000000000000003E-3</v>
      </c>
      <c r="Z6603" s="1">
        <v>4.8500000000000001E-2</v>
      </c>
      <c r="AA6603" s="1">
        <v>3.6600000000000001E-2</v>
      </c>
      <c r="AB6603" s="1">
        <v>1.6E-2</v>
      </c>
      <c r="AC6603" s="1">
        <v>2.8799999999999999E-2</v>
      </c>
      <c r="AD6603" s="1">
        <v>1.09E-2</v>
      </c>
    </row>
    <row r="6604" spans="1:30">
      <c r="A6604" s="25" t="s">
        <v>225</v>
      </c>
      <c r="B6604">
        <v>1924</v>
      </c>
      <c r="C6604" t="s">
        <v>189</v>
      </c>
      <c r="D6604">
        <v>7159</v>
      </c>
      <c r="E6604" s="1">
        <v>3.1300000000000001E-2</v>
      </c>
      <c r="F6604" s="1">
        <v>7.4800000000000005E-2</v>
      </c>
      <c r="G6604" s="1">
        <v>0.51370000000000005</v>
      </c>
      <c r="H6604" s="1">
        <v>1.0699999999999999E-2</v>
      </c>
      <c r="I6604" s="1">
        <v>6.1600000000000002E-2</v>
      </c>
      <c r="J6604" s="1">
        <v>3.0200000000000001E-2</v>
      </c>
      <c r="K6604" s="1">
        <v>9.1000000000000004E-3</v>
      </c>
      <c r="L6604" s="1">
        <v>3.4000000000000002E-2</v>
      </c>
      <c r="M6604" s="1">
        <v>0.2399</v>
      </c>
      <c r="N6604" s="1">
        <v>0.32650000000000001</v>
      </c>
      <c r="O6604" s="1">
        <v>1.89E-2</v>
      </c>
      <c r="P6604" s="1">
        <v>0.13539999999999999</v>
      </c>
      <c r="Q6604" s="1">
        <v>1.7299999999999999E-2</v>
      </c>
      <c r="R6604" s="1">
        <v>0.2147</v>
      </c>
      <c r="S6604" s="1">
        <v>1.5900000000000001E-2</v>
      </c>
      <c r="T6604" s="1">
        <v>3.8E-3</v>
      </c>
      <c r="U6604" s="1">
        <v>8.3999999999999995E-3</v>
      </c>
      <c r="V6604" s="1">
        <v>6.0100000000000001E-2</v>
      </c>
      <c r="W6604" s="1">
        <v>7.9500000000000001E-2</v>
      </c>
      <c r="X6604" s="1">
        <v>4.7100000000000003E-2</v>
      </c>
      <c r="Y6604" s="1">
        <v>1.34E-2</v>
      </c>
      <c r="Z6604" s="1">
        <v>5.4600000000000003E-2</v>
      </c>
      <c r="AA6604" s="1">
        <v>4.19E-2</v>
      </c>
      <c r="AB6604" s="1">
        <v>7.6E-3</v>
      </c>
      <c r="AC6604" s="1">
        <v>3.5400000000000001E-2</v>
      </c>
      <c r="AD6604" s="1">
        <v>8.8000000000000005E-3</v>
      </c>
    </row>
    <row r="6605" spans="1:30">
      <c r="A6605" s="25" t="s">
        <v>226</v>
      </c>
      <c r="B6605">
        <v>2805</v>
      </c>
      <c r="C6605" t="s">
        <v>189</v>
      </c>
      <c r="D6605">
        <v>7159</v>
      </c>
      <c r="E6605" s="1">
        <v>2.0400000000000001E-2</v>
      </c>
      <c r="F6605" s="1">
        <v>8.7300000000000003E-2</v>
      </c>
      <c r="G6605" s="1">
        <v>0.61939999999999995</v>
      </c>
      <c r="H6605" s="1">
        <v>1.1599999999999999E-2</v>
      </c>
      <c r="I6605" s="1">
        <v>4.65E-2</v>
      </c>
      <c r="J6605" s="1">
        <v>1.77E-2</v>
      </c>
      <c r="K6605" s="1">
        <v>8.0000000000000004E-4</v>
      </c>
      <c r="L6605" s="1">
        <v>1.9800000000000002E-2</v>
      </c>
      <c r="M6605" s="1">
        <v>0.39500000000000002</v>
      </c>
      <c r="N6605" s="1">
        <v>0.49780000000000002</v>
      </c>
      <c r="O6605" s="1">
        <v>1.41E-2</v>
      </c>
      <c r="P6605" s="1">
        <v>4.2000000000000003E-2</v>
      </c>
      <c r="Q6605" s="1">
        <v>5.1999999999999998E-3</v>
      </c>
      <c r="R6605" s="1">
        <v>0.1275</v>
      </c>
      <c r="S6605" s="1">
        <v>7.4000000000000003E-3</v>
      </c>
      <c r="T6605" s="1">
        <v>3.2000000000000002E-3</v>
      </c>
      <c r="U6605" s="1">
        <v>4.8999999999999998E-3</v>
      </c>
      <c r="V6605" s="1">
        <v>6.8099999999999994E-2</v>
      </c>
      <c r="W6605" s="1">
        <v>0.1011</v>
      </c>
      <c r="X6605" s="1">
        <v>2.3800000000000002E-2</v>
      </c>
      <c r="Y6605" s="1">
        <v>1.4200000000000001E-2</v>
      </c>
      <c r="Z6605" s="1">
        <v>2.8400000000000002E-2</v>
      </c>
      <c r="AA6605" s="1">
        <v>2.01E-2</v>
      </c>
      <c r="AB6605" s="1">
        <v>4.4999999999999997E-3</v>
      </c>
      <c r="AC6605" s="1">
        <v>3.0599999999999999E-2</v>
      </c>
      <c r="AD6605" s="1">
        <v>7.1000000000000004E-3</v>
      </c>
    </row>
    <row r="6606" spans="1:30">
      <c r="A6606" s="25" t="s">
        <v>192</v>
      </c>
      <c r="B6606">
        <v>7159</v>
      </c>
      <c r="C6606" t="s">
        <v>192</v>
      </c>
      <c r="D6606">
        <v>7159</v>
      </c>
      <c r="E6606" s="1">
        <v>3.0300000000000001E-2</v>
      </c>
      <c r="F6606" s="1">
        <v>6.6000000000000003E-2</v>
      </c>
      <c r="G6606" s="1">
        <v>0.54290000000000005</v>
      </c>
      <c r="H6606" s="1">
        <v>9.1999999999999998E-3</v>
      </c>
      <c r="I6606" s="1">
        <v>5.4699999999999999E-2</v>
      </c>
      <c r="J6606" s="1">
        <v>2.2100000000000002E-2</v>
      </c>
      <c r="K6606" s="1">
        <v>1.9599999999999999E-2</v>
      </c>
      <c r="L6606" s="1">
        <v>3.4700000000000002E-2</v>
      </c>
      <c r="M6606" s="1">
        <v>0.29449999999999998</v>
      </c>
      <c r="N6606" s="1">
        <v>0.33889999999999998</v>
      </c>
      <c r="O6606" s="1">
        <v>2.1999999999999999E-2</v>
      </c>
      <c r="P6606" s="1">
        <v>8.7599999999999997E-2</v>
      </c>
      <c r="Q6606" s="1">
        <v>1.3299999999999999E-2</v>
      </c>
      <c r="R6606" s="1">
        <v>0.21029999999999999</v>
      </c>
      <c r="S6606" s="1">
        <v>1.8200000000000001E-2</v>
      </c>
      <c r="T6606" s="1">
        <v>5.1999999999999998E-3</v>
      </c>
      <c r="U6606" s="1">
        <v>5.0000000000000001E-3</v>
      </c>
      <c r="V6606" s="1">
        <v>6.4699999999999994E-2</v>
      </c>
      <c r="W6606" s="1">
        <v>9.2600000000000002E-2</v>
      </c>
      <c r="X6606" s="1">
        <v>4.48E-2</v>
      </c>
      <c r="Y6606" s="1">
        <v>1.09E-2</v>
      </c>
      <c r="Z6606" s="1">
        <v>4.24E-2</v>
      </c>
      <c r="AA6606" s="1">
        <v>2.9000000000000001E-2</v>
      </c>
      <c r="AB6606" s="1">
        <v>8.3999999999999995E-3</v>
      </c>
      <c r="AC6606" s="1">
        <v>2.9700000000000001E-2</v>
      </c>
      <c r="AD6606" s="1">
        <v>8.0000000000000002E-3</v>
      </c>
    </row>
    <row r="6608" spans="1:30" ht="29.1">
      <c r="A6608" s="25" t="s">
        <v>1685</v>
      </c>
    </row>
    <row r="6609" spans="1:30">
      <c r="A6609" s="25" t="s">
        <v>182</v>
      </c>
      <c r="B6609" t="s">
        <v>219</v>
      </c>
      <c r="C6609" t="s">
        <v>181</v>
      </c>
      <c r="D6609" t="s">
        <v>188</v>
      </c>
      <c r="E6609" t="s">
        <v>1660</v>
      </c>
      <c r="F6609" t="s">
        <v>1661</v>
      </c>
      <c r="G6609" t="s">
        <v>1662</v>
      </c>
      <c r="H6609" t="s">
        <v>1663</v>
      </c>
      <c r="I6609" t="s">
        <v>1664</v>
      </c>
      <c r="J6609" t="s">
        <v>1665</v>
      </c>
      <c r="K6609" t="s">
        <v>1666</v>
      </c>
      <c r="L6609" t="s">
        <v>1667</v>
      </c>
      <c r="M6609" t="s">
        <v>1668</v>
      </c>
      <c r="N6609" t="s">
        <v>1669</v>
      </c>
      <c r="O6609" t="s">
        <v>1670</v>
      </c>
      <c r="P6609" t="s">
        <v>1671</v>
      </c>
      <c r="Q6609" t="s">
        <v>1672</v>
      </c>
      <c r="R6609" t="s">
        <v>324</v>
      </c>
      <c r="S6609" t="s">
        <v>1673</v>
      </c>
      <c r="T6609" t="s">
        <v>1674</v>
      </c>
      <c r="U6609" t="s">
        <v>269</v>
      </c>
      <c r="V6609" t="s">
        <v>1675</v>
      </c>
      <c r="W6609" t="s">
        <v>1676</v>
      </c>
      <c r="X6609" t="s">
        <v>1677</v>
      </c>
      <c r="Y6609" t="s">
        <v>1678</v>
      </c>
      <c r="Z6609" t="s">
        <v>1679</v>
      </c>
      <c r="AA6609" t="s">
        <v>1680</v>
      </c>
      <c r="AB6609" t="s">
        <v>1681</v>
      </c>
      <c r="AC6609" t="s">
        <v>1682</v>
      </c>
      <c r="AD6609" t="s">
        <v>1683</v>
      </c>
    </row>
    <row r="6610" spans="1:30">
      <c r="A6610" s="25" t="s">
        <v>190</v>
      </c>
      <c r="B6610">
        <v>3383</v>
      </c>
      <c r="C6610" t="s">
        <v>189</v>
      </c>
      <c r="D6610">
        <v>7159</v>
      </c>
      <c r="E6610" s="1">
        <v>3.1199999999999999E-2</v>
      </c>
      <c r="F6610" s="1">
        <v>0.1173</v>
      </c>
      <c r="G6610" s="1">
        <v>0.57350000000000001</v>
      </c>
      <c r="H6610" s="1">
        <v>1.1299999999999999E-2</v>
      </c>
      <c r="I6610" s="1">
        <v>4.9399999999999999E-2</v>
      </c>
      <c r="J6610" s="1">
        <v>1.49E-2</v>
      </c>
      <c r="K6610" s="1">
        <v>1.89E-2</v>
      </c>
      <c r="L6610" s="1">
        <v>2.41E-2</v>
      </c>
      <c r="M6610" s="1">
        <v>0.29480000000000001</v>
      </c>
      <c r="N6610" s="1">
        <v>0.40460000000000002</v>
      </c>
      <c r="O6610" s="1">
        <v>1.7299999999999999E-2</v>
      </c>
      <c r="P6610" s="1">
        <v>8.4400000000000003E-2</v>
      </c>
      <c r="Q6610" s="1">
        <v>4.7000000000000002E-3</v>
      </c>
      <c r="R6610" s="1">
        <v>0.15720000000000001</v>
      </c>
      <c r="S6610" s="1">
        <v>1.6299999999999999E-2</v>
      </c>
      <c r="T6610" s="1">
        <v>8.9999999999999998E-4</v>
      </c>
      <c r="U6610" s="1">
        <v>4.1999999999999997E-3</v>
      </c>
      <c r="V6610" s="1">
        <v>6.6400000000000001E-2</v>
      </c>
      <c r="W6610" s="1">
        <v>7.8200000000000006E-2</v>
      </c>
      <c r="X6610" s="1">
        <v>2.8000000000000001E-2</v>
      </c>
      <c r="Y6610" s="1">
        <v>1.8200000000000001E-2</v>
      </c>
      <c r="Z6610" s="1">
        <v>3.3000000000000002E-2</v>
      </c>
      <c r="AA6610" s="1">
        <v>2.76E-2</v>
      </c>
      <c r="AB6610" s="1">
        <v>5.0000000000000001E-3</v>
      </c>
      <c r="AC6610" s="1">
        <v>3.6400000000000002E-2</v>
      </c>
      <c r="AD6610" s="1">
        <v>1.2800000000000001E-2</v>
      </c>
    </row>
    <row r="6611" spans="1:30">
      <c r="A6611" s="25" t="s">
        <v>191</v>
      </c>
      <c r="B6611">
        <v>3731</v>
      </c>
      <c r="C6611" t="s">
        <v>189</v>
      </c>
      <c r="D6611">
        <v>7159</v>
      </c>
      <c r="E6611" s="1">
        <v>2.9700000000000001E-2</v>
      </c>
      <c r="F6611" s="1">
        <v>3.5099999999999999E-2</v>
      </c>
      <c r="G6611" s="1">
        <v>0.52439999999999998</v>
      </c>
      <c r="H6611" s="1">
        <v>7.9000000000000008E-3</v>
      </c>
      <c r="I6611" s="1">
        <v>5.7799999999999997E-2</v>
      </c>
      <c r="J6611" s="1">
        <v>2.63E-2</v>
      </c>
      <c r="K6611" s="1">
        <v>0.02</v>
      </c>
      <c r="L6611" s="1">
        <v>4.1000000000000002E-2</v>
      </c>
      <c r="M6611" s="1">
        <v>0.29449999999999998</v>
      </c>
      <c r="N6611" s="1">
        <v>0.29980000000000001</v>
      </c>
      <c r="O6611" s="1">
        <v>2.4899999999999999E-2</v>
      </c>
      <c r="P6611" s="1">
        <v>8.9499999999999996E-2</v>
      </c>
      <c r="Q6611" s="1">
        <v>1.84E-2</v>
      </c>
      <c r="R6611" s="1">
        <v>0.2422</v>
      </c>
      <c r="S6611" s="1">
        <v>1.9199999999999998E-2</v>
      </c>
      <c r="T6611" s="1">
        <v>7.7000000000000002E-3</v>
      </c>
      <c r="U6611" s="1">
        <v>5.4999999999999997E-3</v>
      </c>
      <c r="V6611" s="1">
        <v>6.3600000000000004E-2</v>
      </c>
      <c r="W6611" s="1">
        <v>0.1011</v>
      </c>
      <c r="X6611" s="1">
        <v>5.4899999999999997E-2</v>
      </c>
      <c r="Y6611" s="1">
        <v>6.4000000000000003E-3</v>
      </c>
      <c r="Z6611" s="1">
        <v>4.8000000000000001E-2</v>
      </c>
      <c r="AA6611" s="1">
        <v>2.9899999999999999E-2</v>
      </c>
      <c r="AB6611" s="1">
        <v>1.0500000000000001E-2</v>
      </c>
      <c r="AC6611" s="1">
        <v>2.5700000000000001E-2</v>
      </c>
      <c r="AD6611" s="1">
        <v>5.0000000000000001E-3</v>
      </c>
    </row>
    <row r="6612" spans="1:30">
      <c r="A6612" s="25" t="s">
        <v>192</v>
      </c>
      <c r="B6612">
        <v>7159</v>
      </c>
      <c r="C6612" t="s">
        <v>192</v>
      </c>
      <c r="D6612">
        <v>7159</v>
      </c>
      <c r="E6612" s="1">
        <v>3.0300000000000001E-2</v>
      </c>
      <c r="F6612" s="1">
        <v>6.6000000000000003E-2</v>
      </c>
      <c r="G6612" s="1">
        <v>0.54290000000000005</v>
      </c>
      <c r="H6612" s="1">
        <v>9.1999999999999998E-3</v>
      </c>
      <c r="I6612" s="1">
        <v>5.4699999999999999E-2</v>
      </c>
      <c r="J6612" s="1">
        <v>2.2100000000000002E-2</v>
      </c>
      <c r="K6612" s="1">
        <v>1.9599999999999999E-2</v>
      </c>
      <c r="L6612" s="1">
        <v>3.4700000000000002E-2</v>
      </c>
      <c r="M6612" s="1">
        <v>0.29449999999999998</v>
      </c>
      <c r="N6612" s="1">
        <v>0.33889999999999998</v>
      </c>
      <c r="O6612" s="1">
        <v>2.1999999999999999E-2</v>
      </c>
      <c r="P6612" s="1">
        <v>8.7599999999999997E-2</v>
      </c>
      <c r="Q6612" s="1">
        <v>1.3299999999999999E-2</v>
      </c>
      <c r="R6612" s="1">
        <v>0.21029999999999999</v>
      </c>
      <c r="S6612" s="1">
        <v>1.8200000000000001E-2</v>
      </c>
      <c r="T6612" s="1">
        <v>5.1999999999999998E-3</v>
      </c>
      <c r="U6612" s="1">
        <v>5.0000000000000001E-3</v>
      </c>
      <c r="V6612" s="1">
        <v>6.4699999999999994E-2</v>
      </c>
      <c r="W6612" s="1">
        <v>9.2600000000000002E-2</v>
      </c>
      <c r="X6612" s="1">
        <v>4.48E-2</v>
      </c>
      <c r="Y6612" s="1">
        <v>1.09E-2</v>
      </c>
      <c r="Z6612" s="1">
        <v>4.24E-2</v>
      </c>
      <c r="AA6612" s="1">
        <v>2.9000000000000001E-2</v>
      </c>
      <c r="AB6612" s="1">
        <v>8.3999999999999995E-3</v>
      </c>
      <c r="AC6612" s="1">
        <v>2.9700000000000001E-2</v>
      </c>
      <c r="AD6612" s="1">
        <v>8.0000000000000002E-3</v>
      </c>
    </row>
    <row r="6614" spans="1:30" ht="43.5">
      <c r="A6614" s="25" t="s">
        <v>1686</v>
      </c>
    </row>
    <row r="6615" spans="1:30">
      <c r="A6615" s="25" t="s">
        <v>182</v>
      </c>
      <c r="B6615" t="s">
        <v>219</v>
      </c>
      <c r="C6615" t="s">
        <v>181</v>
      </c>
      <c r="D6615" t="s">
        <v>188</v>
      </c>
      <c r="E6615" t="s">
        <v>1660</v>
      </c>
      <c r="F6615" t="s">
        <v>1661</v>
      </c>
      <c r="G6615" t="s">
        <v>1662</v>
      </c>
      <c r="H6615" t="s">
        <v>1663</v>
      </c>
      <c r="I6615" t="s">
        <v>1664</v>
      </c>
      <c r="J6615" t="s">
        <v>1665</v>
      </c>
      <c r="K6615" t="s">
        <v>1666</v>
      </c>
      <c r="L6615" t="s">
        <v>1667</v>
      </c>
      <c r="M6615" t="s">
        <v>1668</v>
      </c>
      <c r="N6615" t="s">
        <v>1669</v>
      </c>
      <c r="O6615" t="s">
        <v>1670</v>
      </c>
      <c r="P6615" t="s">
        <v>1671</v>
      </c>
      <c r="Q6615" t="s">
        <v>1672</v>
      </c>
      <c r="R6615" t="s">
        <v>324</v>
      </c>
      <c r="S6615" t="s">
        <v>1673</v>
      </c>
      <c r="T6615" t="s">
        <v>1674</v>
      </c>
      <c r="U6615" t="s">
        <v>269</v>
      </c>
      <c r="V6615" t="s">
        <v>1675</v>
      </c>
      <c r="W6615" t="s">
        <v>1676</v>
      </c>
      <c r="X6615" t="s">
        <v>1677</v>
      </c>
      <c r="Y6615" t="s">
        <v>1678</v>
      </c>
      <c r="Z6615" t="s">
        <v>1679</v>
      </c>
      <c r="AA6615" t="s">
        <v>1680</v>
      </c>
      <c r="AB6615" t="s">
        <v>1681</v>
      </c>
      <c r="AC6615" t="s">
        <v>1682</v>
      </c>
      <c r="AD6615" t="s">
        <v>1683</v>
      </c>
    </row>
    <row r="6616" spans="1:30" ht="29.1">
      <c r="A6616" s="25" t="s">
        <v>194</v>
      </c>
      <c r="B6616">
        <v>3752</v>
      </c>
      <c r="C6616" t="s">
        <v>189</v>
      </c>
      <c r="D6616">
        <v>7159</v>
      </c>
      <c r="E6616" s="1">
        <v>3.27E-2</v>
      </c>
      <c r="F6616" s="1">
        <v>6.6799999999999998E-2</v>
      </c>
      <c r="G6616" s="1">
        <v>0.51619999999999999</v>
      </c>
      <c r="H6616" s="1">
        <v>8.3999999999999995E-3</v>
      </c>
      <c r="I6616" s="1">
        <v>4.58E-2</v>
      </c>
      <c r="J6616" s="1">
        <v>1.7899999999999999E-2</v>
      </c>
      <c r="K6616" s="1">
        <v>1.23E-2</v>
      </c>
      <c r="L6616" s="1">
        <v>2.07E-2</v>
      </c>
      <c r="M6616" s="1">
        <v>0.27189999999999998</v>
      </c>
      <c r="N6616" s="1">
        <v>0.35039999999999999</v>
      </c>
      <c r="O6616" s="1">
        <v>2.46E-2</v>
      </c>
      <c r="P6616" s="1">
        <v>8.1699999999999995E-2</v>
      </c>
      <c r="Q6616" s="1">
        <v>1.2800000000000001E-2</v>
      </c>
      <c r="R6616" s="1">
        <v>0.2261</v>
      </c>
      <c r="S6616" s="1">
        <v>1.66E-2</v>
      </c>
      <c r="T6616" s="1">
        <v>6.1999999999999998E-3</v>
      </c>
      <c r="U6616" s="1">
        <v>3.7000000000000002E-3</v>
      </c>
      <c r="V6616" s="1">
        <v>5.5399999999999998E-2</v>
      </c>
      <c r="W6616" s="1">
        <v>6.5500000000000003E-2</v>
      </c>
      <c r="X6616" s="1">
        <v>4.3200000000000002E-2</v>
      </c>
      <c r="Y6616" s="1">
        <v>1.35E-2</v>
      </c>
      <c r="Z6616" s="1">
        <v>3.3000000000000002E-2</v>
      </c>
      <c r="AA6616" s="1">
        <v>2.4899999999999999E-2</v>
      </c>
      <c r="AB6616" s="1">
        <v>6.4999999999999997E-3</v>
      </c>
      <c r="AC6616" s="1">
        <v>1.5599999999999999E-2</v>
      </c>
      <c r="AD6616" s="1">
        <v>4.8999999999999998E-3</v>
      </c>
    </row>
    <row r="6617" spans="1:30" ht="29.1">
      <c r="A6617" s="25" t="s">
        <v>195</v>
      </c>
      <c r="B6617">
        <v>2063</v>
      </c>
      <c r="C6617" t="s">
        <v>189</v>
      </c>
      <c r="D6617">
        <v>7159</v>
      </c>
      <c r="E6617" s="1">
        <v>2.5899999999999999E-2</v>
      </c>
      <c r="F6617" s="1">
        <v>6.8500000000000005E-2</v>
      </c>
      <c r="G6617" s="1">
        <v>0.58330000000000004</v>
      </c>
      <c r="H6617" s="1">
        <v>9.9000000000000008E-3</v>
      </c>
      <c r="I6617" s="1">
        <v>4.48E-2</v>
      </c>
      <c r="J6617" s="1">
        <v>2.2599999999999999E-2</v>
      </c>
      <c r="K6617" s="1">
        <v>2.4500000000000001E-2</v>
      </c>
      <c r="L6617" s="1">
        <v>4.2900000000000001E-2</v>
      </c>
      <c r="M6617" s="1">
        <v>0.32040000000000002</v>
      </c>
      <c r="N6617" s="1">
        <v>0.31609999999999999</v>
      </c>
      <c r="O6617" s="1">
        <v>1.95E-2</v>
      </c>
      <c r="P6617" s="1">
        <v>9.0499999999999997E-2</v>
      </c>
      <c r="Q6617" s="1">
        <v>1.6E-2</v>
      </c>
      <c r="R6617" s="1">
        <v>0.19589999999999999</v>
      </c>
      <c r="S6617" s="1">
        <v>2.29E-2</v>
      </c>
      <c r="T6617" s="1">
        <v>3.2000000000000002E-3</v>
      </c>
      <c r="U6617" s="1">
        <v>3.8999999999999998E-3</v>
      </c>
      <c r="V6617" s="1">
        <v>6.7799999999999999E-2</v>
      </c>
      <c r="W6617" s="1">
        <v>0.1221</v>
      </c>
      <c r="X6617" s="1">
        <v>4.3900000000000002E-2</v>
      </c>
      <c r="Y6617" s="1">
        <v>5.8999999999999999E-3</v>
      </c>
      <c r="Z6617" s="1">
        <v>5.67E-2</v>
      </c>
      <c r="AA6617" s="1">
        <v>3.0300000000000001E-2</v>
      </c>
      <c r="AB6617" s="1">
        <v>9.1000000000000004E-3</v>
      </c>
      <c r="AC6617" s="1">
        <v>6.25E-2</v>
      </c>
      <c r="AD6617" s="1">
        <v>1.54E-2</v>
      </c>
    </row>
    <row r="6618" spans="1:30" ht="29.1">
      <c r="A6618" s="25" t="s">
        <v>196</v>
      </c>
      <c r="B6618">
        <v>1299</v>
      </c>
      <c r="C6618" t="s">
        <v>189</v>
      </c>
      <c r="D6618">
        <v>7159</v>
      </c>
      <c r="E6618" s="1">
        <v>2.5100000000000001E-2</v>
      </c>
      <c r="F6618" s="1">
        <v>5.6500000000000002E-2</v>
      </c>
      <c r="G6618" s="1">
        <v>0.61209999999999998</v>
      </c>
      <c r="H6618" s="1">
        <v>1.23E-2</v>
      </c>
      <c r="I6618" s="1">
        <v>0.12039999999999999</v>
      </c>
      <c r="J6618" s="1">
        <v>4.3299999999999998E-2</v>
      </c>
      <c r="K6618" s="1">
        <v>4.9599999999999998E-2</v>
      </c>
      <c r="L6618" s="1">
        <v>9.4899999999999998E-2</v>
      </c>
      <c r="M6618" s="1">
        <v>0.36969999999999997</v>
      </c>
      <c r="N6618" s="1">
        <v>0.32040000000000002</v>
      </c>
      <c r="O6618" s="1">
        <v>1.2500000000000001E-2</v>
      </c>
      <c r="P6618" s="1">
        <v>0.1145</v>
      </c>
      <c r="Q6618" s="1">
        <v>1.0800000000000001E-2</v>
      </c>
      <c r="R6618" s="1">
        <v>0.1517</v>
      </c>
      <c r="S6618" s="1">
        <v>1.78E-2</v>
      </c>
      <c r="T6618" s="1">
        <v>3.0000000000000001E-3</v>
      </c>
      <c r="U6618" s="1">
        <v>1.41E-2</v>
      </c>
      <c r="V6618" s="1">
        <v>0.10879999999999999</v>
      </c>
      <c r="W6618" s="1">
        <v>0.18429999999999999</v>
      </c>
      <c r="X6618" s="1">
        <v>5.5300000000000002E-2</v>
      </c>
      <c r="Y6618" s="1">
        <v>5.3E-3</v>
      </c>
      <c r="Z6618" s="1">
        <v>6.7100000000000007E-2</v>
      </c>
      <c r="AA6618" s="1">
        <v>4.8899999999999999E-2</v>
      </c>
      <c r="AB6618" s="1">
        <v>1.72E-2</v>
      </c>
      <c r="AC6618" s="1">
        <v>4.5499999999999999E-2</v>
      </c>
      <c r="AD6618" s="1">
        <v>1.0699999999999999E-2</v>
      </c>
    </row>
    <row r="6619" spans="1:30">
      <c r="A6619" s="25" t="s">
        <v>192</v>
      </c>
      <c r="B6619">
        <v>7159</v>
      </c>
      <c r="C6619" t="s">
        <v>192</v>
      </c>
      <c r="D6619">
        <v>7159</v>
      </c>
      <c r="E6619" s="1">
        <v>3.0300000000000001E-2</v>
      </c>
      <c r="F6619" s="1">
        <v>6.6000000000000003E-2</v>
      </c>
      <c r="G6619" s="1">
        <v>0.54290000000000005</v>
      </c>
      <c r="H6619" s="1">
        <v>9.1999999999999998E-3</v>
      </c>
      <c r="I6619" s="1">
        <v>5.4699999999999999E-2</v>
      </c>
      <c r="J6619" s="1">
        <v>2.2100000000000002E-2</v>
      </c>
      <c r="K6619" s="1">
        <v>1.9599999999999999E-2</v>
      </c>
      <c r="L6619" s="1">
        <v>3.4700000000000002E-2</v>
      </c>
      <c r="M6619" s="1">
        <v>0.29449999999999998</v>
      </c>
      <c r="N6619" s="1">
        <v>0.33889999999999998</v>
      </c>
      <c r="O6619" s="1">
        <v>2.1999999999999999E-2</v>
      </c>
      <c r="P6619" s="1">
        <v>8.7599999999999997E-2</v>
      </c>
      <c r="Q6619" s="1">
        <v>1.3299999999999999E-2</v>
      </c>
      <c r="R6619" s="1">
        <v>0.21029999999999999</v>
      </c>
      <c r="S6619" s="1">
        <v>1.8200000000000001E-2</v>
      </c>
      <c r="T6619" s="1">
        <v>5.1999999999999998E-3</v>
      </c>
      <c r="U6619" s="1">
        <v>5.0000000000000001E-3</v>
      </c>
      <c r="V6619" s="1">
        <v>6.4699999999999994E-2</v>
      </c>
      <c r="W6619" s="1">
        <v>9.2600000000000002E-2</v>
      </c>
      <c r="X6619" s="1">
        <v>4.48E-2</v>
      </c>
      <c r="Y6619" s="1">
        <v>1.09E-2</v>
      </c>
      <c r="Z6619" s="1">
        <v>4.24E-2</v>
      </c>
      <c r="AA6619" s="1">
        <v>2.9000000000000001E-2</v>
      </c>
      <c r="AB6619" s="1">
        <v>8.3999999999999995E-3</v>
      </c>
      <c r="AC6619" s="1">
        <v>2.9700000000000001E-2</v>
      </c>
      <c r="AD6619" s="1">
        <v>8.0000000000000002E-3</v>
      </c>
    </row>
    <row r="6621" spans="1:30" ht="43.5">
      <c r="A6621" s="25" t="s">
        <v>1687</v>
      </c>
    </row>
    <row r="6622" spans="1:30">
      <c r="A6622" s="25" t="s">
        <v>182</v>
      </c>
      <c r="B6622" t="s">
        <v>219</v>
      </c>
      <c r="C6622" t="s">
        <v>181</v>
      </c>
      <c r="D6622" t="s">
        <v>188</v>
      </c>
      <c r="E6622" t="s">
        <v>1660</v>
      </c>
      <c r="F6622" t="s">
        <v>1661</v>
      </c>
      <c r="G6622" t="s">
        <v>1662</v>
      </c>
      <c r="H6622" t="s">
        <v>1663</v>
      </c>
      <c r="I6622" t="s">
        <v>1664</v>
      </c>
      <c r="J6622" t="s">
        <v>1665</v>
      </c>
      <c r="K6622" t="s">
        <v>1666</v>
      </c>
      <c r="L6622" t="s">
        <v>1667</v>
      </c>
      <c r="M6622" t="s">
        <v>1668</v>
      </c>
      <c r="N6622" t="s">
        <v>1669</v>
      </c>
      <c r="O6622" t="s">
        <v>1670</v>
      </c>
      <c r="P6622" t="s">
        <v>1671</v>
      </c>
      <c r="Q6622" t="s">
        <v>1672</v>
      </c>
      <c r="R6622" t="s">
        <v>324</v>
      </c>
      <c r="S6622" t="s">
        <v>1673</v>
      </c>
      <c r="T6622" t="s">
        <v>1674</v>
      </c>
      <c r="U6622" t="s">
        <v>269</v>
      </c>
      <c r="V6622" t="s">
        <v>1675</v>
      </c>
      <c r="W6622" t="s">
        <v>1676</v>
      </c>
      <c r="X6622" t="s">
        <v>1677</v>
      </c>
      <c r="Y6622" t="s">
        <v>1678</v>
      </c>
      <c r="Z6622" t="s">
        <v>1679</v>
      </c>
      <c r="AA6622" t="s">
        <v>1680</v>
      </c>
      <c r="AB6622" t="s">
        <v>1681</v>
      </c>
      <c r="AC6622" t="s">
        <v>1682</v>
      </c>
      <c r="AD6622" t="s">
        <v>1683</v>
      </c>
    </row>
    <row r="6623" spans="1:30">
      <c r="A6623" s="25" t="s">
        <v>198</v>
      </c>
      <c r="B6623">
        <v>1845</v>
      </c>
      <c r="C6623" t="s">
        <v>189</v>
      </c>
      <c r="D6623">
        <v>7159</v>
      </c>
      <c r="E6623" s="1">
        <v>3.09E-2</v>
      </c>
      <c r="F6623" s="1">
        <v>9.7699999999999995E-2</v>
      </c>
      <c r="G6623" s="1">
        <v>0.60970000000000002</v>
      </c>
      <c r="H6623" s="1">
        <v>1.55E-2</v>
      </c>
      <c r="I6623" s="1">
        <v>5.9900000000000002E-2</v>
      </c>
      <c r="J6623" s="1">
        <v>2.5999999999999999E-2</v>
      </c>
      <c r="K6623" s="1">
        <v>7.4000000000000003E-3</v>
      </c>
      <c r="L6623" s="1">
        <v>3.2199999999999999E-2</v>
      </c>
      <c r="M6623" s="1">
        <v>0.38640000000000002</v>
      </c>
      <c r="N6623" s="1">
        <v>0.58730000000000004</v>
      </c>
      <c r="O6623" s="1">
        <v>2.5100000000000001E-2</v>
      </c>
      <c r="P6623" s="1">
        <v>7.1400000000000005E-2</v>
      </c>
      <c r="Q6623" s="1">
        <v>1.12E-2</v>
      </c>
      <c r="R6623" s="1">
        <v>0.1045</v>
      </c>
      <c r="S6623" s="1">
        <v>1.46E-2</v>
      </c>
      <c r="T6623" s="1">
        <v>3.7000000000000002E-3</v>
      </c>
      <c r="U6623" s="1">
        <v>6.1000000000000004E-3</v>
      </c>
      <c r="V6623" s="1">
        <v>7.6700000000000004E-2</v>
      </c>
      <c r="W6623" s="1">
        <v>0.11899999999999999</v>
      </c>
      <c r="X6623" s="1">
        <v>3.15E-2</v>
      </c>
      <c r="Y6623" s="1">
        <v>1.6799999999999999E-2</v>
      </c>
      <c r="Z6623" s="1">
        <v>5.0299999999999997E-2</v>
      </c>
      <c r="AA6623" s="1">
        <v>3.6499999999999998E-2</v>
      </c>
      <c r="AB6623" s="1">
        <v>3.0999999999999999E-3</v>
      </c>
      <c r="AC6623" s="1">
        <v>2.7400000000000001E-2</v>
      </c>
      <c r="AD6623" s="1">
        <v>9.1999999999999998E-3</v>
      </c>
    </row>
    <row r="6624" spans="1:30">
      <c r="A6624" s="25" t="s">
        <v>199</v>
      </c>
      <c r="B6624">
        <v>5314</v>
      </c>
      <c r="C6624" t="s">
        <v>189</v>
      </c>
      <c r="D6624">
        <v>7159</v>
      </c>
      <c r="E6624" s="1">
        <v>3.0099999999999998E-2</v>
      </c>
      <c r="F6624" s="1">
        <v>5.6399999999999999E-2</v>
      </c>
      <c r="G6624" s="1">
        <v>0.52280000000000004</v>
      </c>
      <c r="H6624" s="1">
        <v>7.3000000000000001E-3</v>
      </c>
      <c r="I6624" s="1">
        <v>5.3100000000000001E-2</v>
      </c>
      <c r="J6624" s="1">
        <v>2.0899999999999998E-2</v>
      </c>
      <c r="K6624" s="1">
        <v>2.3199999999999998E-2</v>
      </c>
      <c r="L6624" s="1">
        <v>3.5499999999999997E-2</v>
      </c>
      <c r="M6624" s="1">
        <v>0.26679999999999998</v>
      </c>
      <c r="N6624" s="1">
        <v>0.2641</v>
      </c>
      <c r="O6624" s="1">
        <v>2.1100000000000001E-2</v>
      </c>
      <c r="P6624" s="1">
        <v>9.2399999999999996E-2</v>
      </c>
      <c r="Q6624" s="1">
        <v>1.4E-2</v>
      </c>
      <c r="R6624" s="1">
        <v>0.2422</v>
      </c>
      <c r="S6624" s="1">
        <v>1.9300000000000001E-2</v>
      </c>
      <c r="T6624" s="1">
        <v>5.5999999999999999E-3</v>
      </c>
      <c r="U6624" s="1">
        <v>4.7000000000000002E-3</v>
      </c>
      <c r="V6624" s="1">
        <v>6.1100000000000002E-2</v>
      </c>
      <c r="W6624" s="1">
        <v>8.4699999999999998E-2</v>
      </c>
      <c r="X6624" s="1">
        <v>4.8800000000000003E-2</v>
      </c>
      <c r="Y6624" s="1">
        <v>9.1000000000000004E-3</v>
      </c>
      <c r="Z6624" s="1">
        <v>0.04</v>
      </c>
      <c r="AA6624" s="1">
        <v>2.6800000000000001E-2</v>
      </c>
      <c r="AB6624" s="1">
        <v>0.01</v>
      </c>
      <c r="AC6624" s="1">
        <v>3.04E-2</v>
      </c>
      <c r="AD6624" s="1">
        <v>7.6E-3</v>
      </c>
    </row>
    <row r="6625" spans="1:30">
      <c r="A6625" s="25" t="s">
        <v>192</v>
      </c>
      <c r="B6625">
        <v>7159</v>
      </c>
      <c r="C6625" t="s">
        <v>192</v>
      </c>
      <c r="D6625">
        <v>7159</v>
      </c>
      <c r="E6625" s="1">
        <v>3.0300000000000001E-2</v>
      </c>
      <c r="F6625" s="1">
        <v>6.6000000000000003E-2</v>
      </c>
      <c r="G6625" s="1">
        <v>0.54290000000000005</v>
      </c>
      <c r="H6625" s="1">
        <v>9.1999999999999998E-3</v>
      </c>
      <c r="I6625" s="1">
        <v>5.4699999999999999E-2</v>
      </c>
      <c r="J6625" s="1">
        <v>2.2100000000000002E-2</v>
      </c>
      <c r="K6625" s="1">
        <v>1.9599999999999999E-2</v>
      </c>
      <c r="L6625" s="1">
        <v>3.4700000000000002E-2</v>
      </c>
      <c r="M6625" s="1">
        <v>0.29449999999999998</v>
      </c>
      <c r="N6625" s="1">
        <v>0.33889999999999998</v>
      </c>
      <c r="O6625" s="1">
        <v>2.1999999999999999E-2</v>
      </c>
      <c r="P6625" s="1">
        <v>8.7599999999999997E-2</v>
      </c>
      <c r="Q6625" s="1">
        <v>1.3299999999999999E-2</v>
      </c>
      <c r="R6625" s="1">
        <v>0.21029999999999999</v>
      </c>
      <c r="S6625" s="1">
        <v>1.8200000000000001E-2</v>
      </c>
      <c r="T6625" s="1">
        <v>5.1999999999999998E-3</v>
      </c>
      <c r="U6625" s="1">
        <v>5.0000000000000001E-3</v>
      </c>
      <c r="V6625" s="1">
        <v>6.4699999999999994E-2</v>
      </c>
      <c r="W6625" s="1">
        <v>9.2600000000000002E-2</v>
      </c>
      <c r="X6625" s="1">
        <v>4.48E-2</v>
      </c>
      <c r="Y6625" s="1">
        <v>1.09E-2</v>
      </c>
      <c r="Z6625" s="1">
        <v>4.24E-2</v>
      </c>
      <c r="AA6625" s="1">
        <v>2.9000000000000001E-2</v>
      </c>
      <c r="AB6625" s="1">
        <v>8.3999999999999995E-3</v>
      </c>
      <c r="AC6625" s="1">
        <v>2.9700000000000001E-2</v>
      </c>
      <c r="AD6625" s="1">
        <v>8.0000000000000002E-3</v>
      </c>
    </row>
    <row r="6627" spans="1:30" ht="43.5">
      <c r="A6627" s="25" t="s">
        <v>1688</v>
      </c>
    </row>
    <row r="6628" spans="1:30">
      <c r="A6628" s="25" t="s">
        <v>182</v>
      </c>
      <c r="B6628" t="s">
        <v>219</v>
      </c>
      <c r="C6628" t="s">
        <v>181</v>
      </c>
      <c r="D6628" t="s">
        <v>188</v>
      </c>
      <c r="E6628" t="s">
        <v>1660</v>
      </c>
      <c r="F6628" t="s">
        <v>1661</v>
      </c>
      <c r="G6628" t="s">
        <v>1662</v>
      </c>
      <c r="H6628" t="s">
        <v>1663</v>
      </c>
      <c r="I6628" t="s">
        <v>1664</v>
      </c>
      <c r="J6628" t="s">
        <v>1665</v>
      </c>
      <c r="K6628" t="s">
        <v>1666</v>
      </c>
      <c r="L6628" t="s">
        <v>1667</v>
      </c>
      <c r="M6628" t="s">
        <v>1668</v>
      </c>
      <c r="N6628" t="s">
        <v>1669</v>
      </c>
      <c r="O6628" t="s">
        <v>1670</v>
      </c>
      <c r="P6628" t="s">
        <v>1671</v>
      </c>
      <c r="Q6628" t="s">
        <v>1672</v>
      </c>
      <c r="R6628" t="s">
        <v>324</v>
      </c>
      <c r="S6628" t="s">
        <v>1673</v>
      </c>
      <c r="T6628" t="s">
        <v>1674</v>
      </c>
      <c r="U6628" t="s">
        <v>269</v>
      </c>
      <c r="V6628" t="s">
        <v>1675</v>
      </c>
      <c r="W6628" t="s">
        <v>1676</v>
      </c>
      <c r="X6628" t="s">
        <v>1677</v>
      </c>
      <c r="Y6628" t="s">
        <v>1678</v>
      </c>
      <c r="Z6628" t="s">
        <v>1679</v>
      </c>
      <c r="AA6628" t="s">
        <v>1680</v>
      </c>
      <c r="AB6628" t="s">
        <v>1681</v>
      </c>
      <c r="AC6628" t="s">
        <v>1682</v>
      </c>
      <c r="AD6628" t="s">
        <v>1683</v>
      </c>
    </row>
    <row r="6629" spans="1:30">
      <c r="A6629" s="25" t="s">
        <v>201</v>
      </c>
      <c r="B6629">
        <v>617</v>
      </c>
      <c r="C6629" t="s">
        <v>189</v>
      </c>
      <c r="D6629">
        <v>7159</v>
      </c>
      <c r="E6629" s="1">
        <v>4.6699999999999998E-2</v>
      </c>
      <c r="F6629" s="1">
        <v>0.05</v>
      </c>
      <c r="G6629" s="1">
        <v>0.65639999999999998</v>
      </c>
      <c r="H6629" s="1">
        <v>4.4999999999999997E-3</v>
      </c>
      <c r="I6629" s="1">
        <v>0.1134</v>
      </c>
      <c r="J6629" s="1">
        <v>0.1484</v>
      </c>
      <c r="K6629" s="1">
        <v>3.4799999999999998E-2</v>
      </c>
      <c r="L6629" s="1">
        <v>9.0499999999999997E-2</v>
      </c>
      <c r="M6629" s="1">
        <v>0.35610000000000003</v>
      </c>
      <c r="N6629" s="1">
        <v>0.26989999999999997</v>
      </c>
      <c r="O6629" s="1">
        <v>4.7399999999999998E-2</v>
      </c>
      <c r="P6629" s="1">
        <v>0.18</v>
      </c>
      <c r="Q6629" s="1">
        <v>0.1376</v>
      </c>
      <c r="R6629" s="1">
        <v>7.17E-2</v>
      </c>
      <c r="S6629" s="1">
        <v>2.4899999999999999E-2</v>
      </c>
      <c r="T6629" s="1">
        <v>4.6199999999999998E-2</v>
      </c>
      <c r="U6629" s="1">
        <v>1.8E-3</v>
      </c>
      <c r="V6629" s="1">
        <v>0.12429999999999999</v>
      </c>
      <c r="W6629" s="1">
        <v>0.1704</v>
      </c>
      <c r="X6629" s="1">
        <v>6.0299999999999999E-2</v>
      </c>
      <c r="Y6629" s="1">
        <v>9.7000000000000003E-3</v>
      </c>
      <c r="Z6629" s="1">
        <v>0.23019999999999999</v>
      </c>
      <c r="AA6629" s="1">
        <v>3.2099999999999997E-2</v>
      </c>
      <c r="AB6629" s="1">
        <v>1.4999999999999999E-2</v>
      </c>
      <c r="AC6629" s="1">
        <v>3.0300000000000001E-2</v>
      </c>
      <c r="AD6629" s="1">
        <v>6.4000000000000003E-3</v>
      </c>
    </row>
    <row r="6630" spans="1:30">
      <c r="A6630" s="25" t="s">
        <v>202</v>
      </c>
      <c r="B6630">
        <v>92</v>
      </c>
      <c r="C6630" t="s">
        <v>189</v>
      </c>
      <c r="D6630">
        <v>7159</v>
      </c>
      <c r="E6630" s="1">
        <v>3.6700000000000003E-2</v>
      </c>
      <c r="F6630" s="1">
        <v>5.2400000000000002E-2</v>
      </c>
      <c r="G6630" s="1">
        <v>0.59950000000000003</v>
      </c>
      <c r="H6630" s="1">
        <v>4.8999999999999998E-3</v>
      </c>
      <c r="I6630" s="1">
        <v>8.1100000000000005E-2</v>
      </c>
      <c r="J6630" s="1">
        <v>0.12379999999999999</v>
      </c>
      <c r="K6630" s="1">
        <v>1.44E-2</v>
      </c>
      <c r="L6630" s="1">
        <v>5.4899999999999997E-2</v>
      </c>
      <c r="M6630" s="1">
        <v>0.31580000000000003</v>
      </c>
      <c r="N6630" s="1">
        <v>0.2772</v>
      </c>
      <c r="O6630" s="1">
        <v>2.5399999999999999E-2</v>
      </c>
      <c r="P6630" s="1">
        <v>0.1205</v>
      </c>
      <c r="Q6630" s="1">
        <v>3.5099999999999999E-2</v>
      </c>
      <c r="R6630" s="1">
        <v>0.1048</v>
      </c>
      <c r="S6630" s="1">
        <v>1.9199999999999998E-2</v>
      </c>
      <c r="T6630" s="1">
        <v>2.6100000000000002E-2</v>
      </c>
      <c r="U6630" s="1">
        <v>3.1399999999999997E-2</v>
      </c>
      <c r="V6630" s="1">
        <v>5.4800000000000001E-2</v>
      </c>
      <c r="W6630" s="1">
        <v>0.16170000000000001</v>
      </c>
      <c r="X6630" s="1">
        <v>5.57E-2</v>
      </c>
      <c r="Y6630" s="1">
        <v>1.6E-2</v>
      </c>
      <c r="Z6630" s="1">
        <v>0.1512</v>
      </c>
      <c r="AA6630" s="1">
        <v>0.106</v>
      </c>
      <c r="AC6630" s="1">
        <v>4.1799999999999997E-2</v>
      </c>
      <c r="AD6630" s="1">
        <v>4.8999999999999998E-3</v>
      </c>
    </row>
    <row r="6631" spans="1:30">
      <c r="A6631" s="25" t="s">
        <v>203</v>
      </c>
      <c r="B6631">
        <v>5408</v>
      </c>
      <c r="C6631" t="s">
        <v>189</v>
      </c>
      <c r="D6631">
        <v>7159</v>
      </c>
      <c r="E6631" s="1">
        <v>2.47E-2</v>
      </c>
      <c r="F6631" s="1">
        <v>7.2900000000000006E-2</v>
      </c>
      <c r="G6631" s="1">
        <v>0.55940000000000001</v>
      </c>
      <c r="H6631" s="1">
        <v>1.0200000000000001E-2</v>
      </c>
      <c r="I6631" s="1">
        <v>4.7E-2</v>
      </c>
      <c r="J6631" s="1">
        <v>5.4999999999999997E-3</v>
      </c>
      <c r="K6631" s="1">
        <v>1.66E-2</v>
      </c>
      <c r="L6631" s="1">
        <v>2.5899999999999999E-2</v>
      </c>
      <c r="M6631" s="1">
        <v>0.30120000000000002</v>
      </c>
      <c r="N6631" s="1">
        <v>0.36890000000000001</v>
      </c>
      <c r="O6631" s="1">
        <v>2.07E-2</v>
      </c>
      <c r="P6631" s="1">
        <v>7.6700000000000004E-2</v>
      </c>
      <c r="R6631" s="1">
        <v>0.20280000000000001</v>
      </c>
      <c r="S6631" s="1">
        <v>1.5100000000000001E-2</v>
      </c>
      <c r="T6631" s="1">
        <v>8.0000000000000004E-4</v>
      </c>
      <c r="U6631" s="1">
        <v>5.4000000000000003E-3</v>
      </c>
      <c r="V6631" s="1">
        <v>5.9499999999999997E-2</v>
      </c>
      <c r="W6631" s="1">
        <v>8.1199999999999994E-2</v>
      </c>
      <c r="X6631" s="1">
        <v>3.8199999999999998E-2</v>
      </c>
      <c r="Y6631" s="1">
        <v>1.18E-2</v>
      </c>
      <c r="Z6631" s="1">
        <v>2.0299999999999999E-2</v>
      </c>
      <c r="AA6631" s="1">
        <v>2.63E-2</v>
      </c>
      <c r="AB6631" s="1">
        <v>5.0000000000000001E-3</v>
      </c>
      <c r="AC6631" s="1">
        <v>2.6800000000000001E-2</v>
      </c>
      <c r="AD6631" s="1">
        <v>7.7000000000000002E-3</v>
      </c>
    </row>
    <row r="6632" spans="1:30">
      <c r="A6632" s="25" t="s">
        <v>204</v>
      </c>
      <c r="B6632">
        <v>17</v>
      </c>
      <c r="C6632" t="s">
        <v>189</v>
      </c>
      <c r="D6632">
        <v>7159</v>
      </c>
      <c r="E6632" s="1">
        <v>8.3699999999999997E-2</v>
      </c>
      <c r="F6632" s="1">
        <v>3.1600000000000003E-2</v>
      </c>
      <c r="G6632" s="1">
        <v>0.52669999999999995</v>
      </c>
      <c r="H6632" s="1">
        <v>6.7500000000000004E-2</v>
      </c>
      <c r="I6632" s="1">
        <v>0.20760000000000001</v>
      </c>
      <c r="J6632" s="1">
        <v>5.4999999999999997E-3</v>
      </c>
      <c r="L6632" s="1">
        <v>6.7500000000000004E-2</v>
      </c>
      <c r="M6632" s="1">
        <v>0.42659999999999998</v>
      </c>
      <c r="N6632" s="1">
        <v>0.56210000000000004</v>
      </c>
      <c r="O6632" s="1">
        <v>7.8299999999999995E-2</v>
      </c>
      <c r="R6632" s="1">
        <v>6.5699999999999995E-2</v>
      </c>
      <c r="S6632" s="1">
        <v>3.1600000000000003E-2</v>
      </c>
      <c r="V6632" s="1">
        <v>0.27500000000000002</v>
      </c>
      <c r="W6632" s="1">
        <v>0.27089999999999997</v>
      </c>
      <c r="X6632" s="1">
        <v>7.9600000000000004E-2</v>
      </c>
      <c r="Z6632" s="1">
        <v>2.8000000000000001E-2</v>
      </c>
      <c r="AA6632" s="1">
        <v>3.1600000000000003E-2</v>
      </c>
      <c r="AB6632" s="1">
        <v>3.1600000000000003E-2</v>
      </c>
      <c r="AC6632" s="1">
        <v>3.1600000000000003E-2</v>
      </c>
    </row>
    <row r="6633" spans="1:30">
      <c r="A6633" s="25" t="s">
        <v>205</v>
      </c>
      <c r="B6633">
        <v>1025</v>
      </c>
      <c r="C6633" t="s">
        <v>189</v>
      </c>
      <c r="D6633">
        <v>7159</v>
      </c>
      <c r="E6633" s="1">
        <v>4.9599999999999998E-2</v>
      </c>
      <c r="F6633" s="1">
        <v>3.8899999999999997E-2</v>
      </c>
      <c r="G6633" s="1">
        <v>0.371</v>
      </c>
      <c r="H6633" s="1">
        <v>6.7000000000000002E-3</v>
      </c>
      <c r="I6633" s="1">
        <v>5.5599999999999997E-2</v>
      </c>
      <c r="J6633" s="1">
        <v>2.41E-2</v>
      </c>
      <c r="K6633" s="1">
        <v>2.63E-2</v>
      </c>
      <c r="L6633" s="1">
        <v>4.5199999999999997E-2</v>
      </c>
      <c r="M6633" s="1">
        <v>0.2132</v>
      </c>
      <c r="N6633" s="1">
        <v>0.219</v>
      </c>
      <c r="O6633" s="1">
        <v>1.17E-2</v>
      </c>
      <c r="P6633" s="1">
        <v>8.5000000000000006E-2</v>
      </c>
      <c r="Q6633" s="1">
        <v>2.8999999999999998E-3</v>
      </c>
      <c r="R6633" s="1">
        <v>0.35289999999999999</v>
      </c>
      <c r="S6633" s="1">
        <v>3.1E-2</v>
      </c>
      <c r="T6633" s="1">
        <v>8.9999999999999998E-4</v>
      </c>
      <c r="U6633" s="1">
        <v>3.8E-3</v>
      </c>
      <c r="V6633" s="1">
        <v>5.2600000000000001E-2</v>
      </c>
      <c r="W6633" s="1">
        <v>9.9099999999999994E-2</v>
      </c>
      <c r="X6633" s="1">
        <v>7.0499999999999993E-2</v>
      </c>
      <c r="Y6633" s="1">
        <v>6.4000000000000003E-3</v>
      </c>
      <c r="Z6633" s="1">
        <v>3.3500000000000002E-2</v>
      </c>
      <c r="AA6633" s="1">
        <v>3.78E-2</v>
      </c>
      <c r="AB6633" s="1">
        <v>2.3699999999999999E-2</v>
      </c>
      <c r="AC6633" s="1">
        <v>4.4999999999999998E-2</v>
      </c>
      <c r="AD6633" s="1">
        <v>1.0699999999999999E-2</v>
      </c>
    </row>
    <row r="6634" spans="1:30">
      <c r="A6634" s="25" t="s">
        <v>192</v>
      </c>
      <c r="B6634">
        <v>7159</v>
      </c>
      <c r="C6634" t="s">
        <v>192</v>
      </c>
      <c r="D6634">
        <v>7159</v>
      </c>
      <c r="E6634" s="1">
        <v>3.0300000000000001E-2</v>
      </c>
      <c r="F6634" s="1">
        <v>6.6000000000000003E-2</v>
      </c>
      <c r="G6634" s="1">
        <v>0.54290000000000005</v>
      </c>
      <c r="H6634" s="1">
        <v>9.1999999999999998E-3</v>
      </c>
      <c r="I6634" s="1">
        <v>5.4699999999999999E-2</v>
      </c>
      <c r="J6634" s="1">
        <v>2.2100000000000002E-2</v>
      </c>
      <c r="K6634" s="1">
        <v>1.9599999999999999E-2</v>
      </c>
      <c r="L6634" s="1">
        <v>3.4700000000000002E-2</v>
      </c>
      <c r="M6634" s="1">
        <v>0.29449999999999998</v>
      </c>
      <c r="N6634" s="1">
        <v>0.33889999999999998</v>
      </c>
      <c r="O6634" s="1">
        <v>2.1999999999999999E-2</v>
      </c>
      <c r="P6634" s="1">
        <v>8.7599999999999997E-2</v>
      </c>
      <c r="Q6634" s="1">
        <v>1.3299999999999999E-2</v>
      </c>
      <c r="R6634" s="1">
        <v>0.21029999999999999</v>
      </c>
      <c r="S6634" s="1">
        <v>1.8200000000000001E-2</v>
      </c>
      <c r="T6634" s="1">
        <v>5.1999999999999998E-3</v>
      </c>
      <c r="U6634" s="1">
        <v>5.0000000000000001E-3</v>
      </c>
      <c r="V6634" s="1">
        <v>6.4699999999999994E-2</v>
      </c>
      <c r="W6634" s="1">
        <v>9.2600000000000002E-2</v>
      </c>
      <c r="X6634" s="1">
        <v>4.48E-2</v>
      </c>
      <c r="Y6634" s="1">
        <v>1.09E-2</v>
      </c>
      <c r="Z6634" s="1">
        <v>4.24E-2</v>
      </c>
      <c r="AA6634" s="1">
        <v>2.9000000000000001E-2</v>
      </c>
      <c r="AB6634" s="1">
        <v>8.3999999999999995E-3</v>
      </c>
      <c r="AC6634" s="1">
        <v>2.9700000000000001E-2</v>
      </c>
      <c r="AD6634" s="1">
        <v>8.0000000000000002E-3</v>
      </c>
    </row>
    <row r="6636" spans="1:30" ht="43.5">
      <c r="A6636" s="25" t="s">
        <v>1689</v>
      </c>
    </row>
    <row r="6637" spans="1:30">
      <c r="A6637" s="25" t="s">
        <v>182</v>
      </c>
      <c r="B6637" t="s">
        <v>219</v>
      </c>
      <c r="C6637" t="s">
        <v>181</v>
      </c>
      <c r="D6637" t="s">
        <v>188</v>
      </c>
      <c r="E6637" t="s">
        <v>1660</v>
      </c>
      <c r="F6637" t="s">
        <v>1661</v>
      </c>
      <c r="G6637" t="s">
        <v>1662</v>
      </c>
      <c r="H6637" t="s">
        <v>1663</v>
      </c>
      <c r="I6637" t="s">
        <v>1664</v>
      </c>
      <c r="J6637" t="s">
        <v>1665</v>
      </c>
      <c r="K6637" t="s">
        <v>1666</v>
      </c>
      <c r="L6637" t="s">
        <v>1667</v>
      </c>
      <c r="M6637" t="s">
        <v>1668</v>
      </c>
      <c r="N6637" t="s">
        <v>1669</v>
      </c>
      <c r="O6637" t="s">
        <v>1670</v>
      </c>
      <c r="P6637" t="s">
        <v>1671</v>
      </c>
      <c r="Q6637" t="s">
        <v>1672</v>
      </c>
      <c r="R6637" t="s">
        <v>324</v>
      </c>
      <c r="S6637" t="s">
        <v>1673</v>
      </c>
      <c r="T6637" t="s">
        <v>1674</v>
      </c>
      <c r="U6637" t="s">
        <v>269</v>
      </c>
      <c r="V6637" t="s">
        <v>1675</v>
      </c>
      <c r="W6637" t="s">
        <v>1676</v>
      </c>
      <c r="X6637" t="s">
        <v>1677</v>
      </c>
      <c r="Y6637" t="s">
        <v>1678</v>
      </c>
      <c r="Z6637" t="s">
        <v>1679</v>
      </c>
      <c r="AA6637" t="s">
        <v>1680</v>
      </c>
      <c r="AB6637" t="s">
        <v>1681</v>
      </c>
      <c r="AC6637" t="s">
        <v>1682</v>
      </c>
      <c r="AD6637" t="s">
        <v>1683</v>
      </c>
    </row>
    <row r="6638" spans="1:30">
      <c r="A6638" s="25" t="s">
        <v>207</v>
      </c>
      <c r="B6638">
        <v>4880</v>
      </c>
      <c r="C6638" t="s">
        <v>189</v>
      </c>
      <c r="D6638">
        <v>7159</v>
      </c>
      <c r="E6638" s="1">
        <v>3.1199999999999999E-2</v>
      </c>
      <c r="F6638" s="1">
        <v>6.2100000000000002E-2</v>
      </c>
      <c r="G6638" s="1">
        <v>0.53190000000000004</v>
      </c>
      <c r="H6638" s="1">
        <v>5.4000000000000003E-3</v>
      </c>
      <c r="I6638" s="1">
        <v>5.16E-2</v>
      </c>
      <c r="J6638" s="1">
        <v>2.4500000000000001E-2</v>
      </c>
      <c r="K6638" s="1">
        <v>2.0799999999999999E-2</v>
      </c>
      <c r="L6638" s="1">
        <v>3.4599999999999999E-2</v>
      </c>
      <c r="M6638" s="1">
        <v>0.26779999999999998</v>
      </c>
      <c r="N6638" s="1">
        <v>0.31850000000000001</v>
      </c>
      <c r="O6638" s="1">
        <v>2.3800000000000002E-2</v>
      </c>
      <c r="P6638" s="1">
        <v>8.8300000000000003E-2</v>
      </c>
      <c r="Q6638" s="1">
        <v>1.5699999999999999E-2</v>
      </c>
      <c r="R6638" s="1">
        <v>0.22900000000000001</v>
      </c>
      <c r="S6638" s="1">
        <v>1.8200000000000001E-2</v>
      </c>
      <c r="T6638" s="1">
        <v>6.6E-3</v>
      </c>
      <c r="U6638" s="1">
        <v>4.5999999999999999E-3</v>
      </c>
      <c r="V6638" s="1">
        <v>6.08E-2</v>
      </c>
      <c r="W6638" s="1">
        <v>9.1999999999999998E-2</v>
      </c>
      <c r="X6638" s="1">
        <v>4.41E-2</v>
      </c>
      <c r="Y6638" s="1">
        <v>8.6E-3</v>
      </c>
      <c r="Z6638" s="1">
        <v>4.4499999999999998E-2</v>
      </c>
      <c r="AA6638" s="1">
        <v>2.6599999999999999E-2</v>
      </c>
      <c r="AB6638" s="1">
        <v>0.01</v>
      </c>
      <c r="AC6638" s="1">
        <v>2.9399999999999999E-2</v>
      </c>
      <c r="AD6638" s="1">
        <v>8.8000000000000005E-3</v>
      </c>
    </row>
    <row r="6639" spans="1:30">
      <c r="A6639" s="25" t="s">
        <v>208</v>
      </c>
      <c r="B6639">
        <v>1659</v>
      </c>
      <c r="C6639" t="s">
        <v>189</v>
      </c>
      <c r="D6639">
        <v>7159</v>
      </c>
      <c r="E6639" s="1">
        <v>2.5100000000000001E-2</v>
      </c>
      <c r="F6639" s="1">
        <v>7.1999999999999995E-2</v>
      </c>
      <c r="G6639" s="1">
        <v>0.56569999999999998</v>
      </c>
      <c r="H6639" s="1">
        <v>2.0400000000000001E-2</v>
      </c>
      <c r="I6639" s="1">
        <v>5.2499999999999998E-2</v>
      </c>
      <c r="J6639" s="1">
        <v>1.5800000000000002E-2</v>
      </c>
      <c r="L6639" s="1">
        <v>2.7699999999999999E-2</v>
      </c>
      <c r="M6639" s="1">
        <v>0.3679</v>
      </c>
      <c r="N6639" s="1">
        <v>0.40260000000000001</v>
      </c>
      <c r="O6639" s="1">
        <v>2.0899999999999998E-2</v>
      </c>
      <c r="P6639" s="1">
        <v>7.6300000000000007E-2</v>
      </c>
      <c r="Q6639" s="1">
        <v>8.3000000000000001E-3</v>
      </c>
      <c r="R6639" s="1">
        <v>0.17</v>
      </c>
      <c r="S6639" s="1">
        <v>5.7000000000000002E-3</v>
      </c>
      <c r="T6639" s="1">
        <v>2.3999999999999998E-3</v>
      </c>
      <c r="U6639" s="1">
        <v>6.4999999999999997E-3</v>
      </c>
      <c r="V6639" s="1">
        <v>6.9900000000000004E-2</v>
      </c>
      <c r="W6639" s="1">
        <v>9.2700000000000005E-2</v>
      </c>
      <c r="X6639" s="1">
        <v>4.0599999999999997E-2</v>
      </c>
      <c r="Y6639" s="1">
        <v>1.7100000000000001E-2</v>
      </c>
      <c r="Z6639" s="1">
        <v>3.2399999999999998E-2</v>
      </c>
      <c r="AA6639" s="1">
        <v>2.9600000000000001E-2</v>
      </c>
      <c r="AB6639" s="1">
        <v>5.4000000000000003E-3</v>
      </c>
      <c r="AC6639" s="1">
        <v>3.2800000000000003E-2</v>
      </c>
      <c r="AD6639" s="1">
        <v>6.7000000000000002E-3</v>
      </c>
    </row>
    <row r="6640" spans="1:30">
      <c r="A6640" s="25" t="s">
        <v>209</v>
      </c>
      <c r="B6640">
        <v>620</v>
      </c>
      <c r="C6640" t="s">
        <v>189</v>
      </c>
      <c r="D6640">
        <v>7159</v>
      </c>
      <c r="E6640" s="1">
        <v>3.8100000000000002E-2</v>
      </c>
      <c r="F6640" s="1">
        <v>8.1100000000000005E-2</v>
      </c>
      <c r="G6640" s="1">
        <v>0.56940000000000002</v>
      </c>
      <c r="H6640" s="1">
        <v>8.0000000000000002E-3</v>
      </c>
      <c r="I6640" s="1">
        <v>8.9499999999999996E-2</v>
      </c>
      <c r="J6640" s="1">
        <v>2.0199999999999999E-2</v>
      </c>
      <c r="K6640" s="1">
        <v>7.0199999999999999E-2</v>
      </c>
      <c r="L6640" s="1">
        <v>5.8200000000000002E-2</v>
      </c>
      <c r="M6640" s="1">
        <v>0.3009</v>
      </c>
      <c r="N6640" s="1">
        <v>0.31929999999999997</v>
      </c>
      <c r="O6640" s="1">
        <v>9.7999999999999997E-3</v>
      </c>
      <c r="P6640" s="1">
        <v>0.1162</v>
      </c>
      <c r="Q6640" s="1">
        <v>7.7000000000000002E-3</v>
      </c>
      <c r="R6640" s="1">
        <v>0.17069999999999999</v>
      </c>
      <c r="S6640" s="1">
        <v>5.7200000000000001E-2</v>
      </c>
      <c r="T6640" s="1">
        <v>1.4E-3</v>
      </c>
      <c r="U6640" s="1">
        <v>3.8999999999999998E-3</v>
      </c>
      <c r="V6640" s="1">
        <v>8.3699999999999997E-2</v>
      </c>
      <c r="W6640" s="1">
        <v>9.7900000000000001E-2</v>
      </c>
      <c r="X6640" s="1">
        <v>6.4799999999999996E-2</v>
      </c>
      <c r="Y6640" s="1">
        <v>1.11E-2</v>
      </c>
      <c r="Z6640" s="1">
        <v>5.5199999999999999E-2</v>
      </c>
      <c r="AA6640" s="1">
        <v>4.9099999999999998E-2</v>
      </c>
      <c r="AB6640" s="1">
        <v>4.0000000000000001E-3</v>
      </c>
      <c r="AC6640" s="1">
        <v>2.2200000000000001E-2</v>
      </c>
      <c r="AD6640" s="1">
        <v>5.1000000000000004E-3</v>
      </c>
    </row>
    <row r="6641" spans="1:30">
      <c r="A6641" s="25" t="s">
        <v>192</v>
      </c>
      <c r="B6641">
        <v>7159</v>
      </c>
      <c r="C6641" t="s">
        <v>192</v>
      </c>
      <c r="D6641">
        <v>7159</v>
      </c>
      <c r="E6641" s="1">
        <v>3.0300000000000001E-2</v>
      </c>
      <c r="F6641" s="1">
        <v>6.6000000000000003E-2</v>
      </c>
      <c r="G6641" s="1">
        <v>0.54290000000000005</v>
      </c>
      <c r="H6641" s="1">
        <v>9.1999999999999998E-3</v>
      </c>
      <c r="I6641" s="1">
        <v>5.4699999999999999E-2</v>
      </c>
      <c r="J6641" s="1">
        <v>2.2100000000000002E-2</v>
      </c>
      <c r="K6641" s="1">
        <v>1.9599999999999999E-2</v>
      </c>
      <c r="L6641" s="1">
        <v>3.4700000000000002E-2</v>
      </c>
      <c r="M6641" s="1">
        <v>0.29449999999999998</v>
      </c>
      <c r="N6641" s="1">
        <v>0.33889999999999998</v>
      </c>
      <c r="O6641" s="1">
        <v>2.1999999999999999E-2</v>
      </c>
      <c r="P6641" s="1">
        <v>8.7599999999999997E-2</v>
      </c>
      <c r="Q6641" s="1">
        <v>1.3299999999999999E-2</v>
      </c>
      <c r="R6641" s="1">
        <v>0.21029999999999999</v>
      </c>
      <c r="S6641" s="1">
        <v>1.8200000000000001E-2</v>
      </c>
      <c r="T6641" s="1">
        <v>5.1999999999999998E-3</v>
      </c>
      <c r="U6641" s="1">
        <v>5.0000000000000001E-3</v>
      </c>
      <c r="V6641" s="1">
        <v>6.4699999999999994E-2</v>
      </c>
      <c r="W6641" s="1">
        <v>9.2600000000000002E-2</v>
      </c>
      <c r="X6641" s="1">
        <v>4.48E-2</v>
      </c>
      <c r="Y6641" s="1">
        <v>1.09E-2</v>
      </c>
      <c r="Z6641" s="1">
        <v>4.24E-2</v>
      </c>
      <c r="AA6641" s="1">
        <v>2.9000000000000001E-2</v>
      </c>
      <c r="AB6641" s="1">
        <v>8.3999999999999995E-3</v>
      </c>
      <c r="AC6641" s="1">
        <v>2.9700000000000001E-2</v>
      </c>
      <c r="AD6641" s="1">
        <v>8.0000000000000002E-3</v>
      </c>
    </row>
    <row r="6643" spans="1:30" ht="43.5">
      <c r="A6643" s="25" t="s">
        <v>1690</v>
      </c>
    </row>
    <row r="6644" spans="1:30">
      <c r="A6644" s="25" t="s">
        <v>182</v>
      </c>
      <c r="B6644" t="s">
        <v>219</v>
      </c>
      <c r="C6644" t="s">
        <v>181</v>
      </c>
      <c r="D6644" t="s">
        <v>188</v>
      </c>
      <c r="E6644" t="s">
        <v>1660</v>
      </c>
      <c r="F6644" t="s">
        <v>1661</v>
      </c>
      <c r="G6644" t="s">
        <v>1662</v>
      </c>
      <c r="H6644" t="s">
        <v>1663</v>
      </c>
      <c r="I6644" t="s">
        <v>1664</v>
      </c>
      <c r="J6644" t="s">
        <v>1665</v>
      </c>
      <c r="K6644" t="s">
        <v>1666</v>
      </c>
      <c r="L6644" t="s">
        <v>1667</v>
      </c>
      <c r="M6644" t="s">
        <v>1668</v>
      </c>
      <c r="N6644" t="s">
        <v>1669</v>
      </c>
      <c r="O6644" t="s">
        <v>1670</v>
      </c>
      <c r="P6644" t="s">
        <v>1671</v>
      </c>
      <c r="Q6644" t="s">
        <v>1672</v>
      </c>
      <c r="R6644" t="s">
        <v>324</v>
      </c>
      <c r="S6644" t="s">
        <v>1673</v>
      </c>
      <c r="T6644" t="s">
        <v>1674</v>
      </c>
      <c r="U6644" t="s">
        <v>269</v>
      </c>
      <c r="V6644" t="s">
        <v>1675</v>
      </c>
      <c r="W6644" t="s">
        <v>1676</v>
      </c>
      <c r="X6644" t="s">
        <v>1677</v>
      </c>
      <c r="Y6644" t="s">
        <v>1678</v>
      </c>
      <c r="Z6644" t="s">
        <v>1679</v>
      </c>
      <c r="AA6644" t="s">
        <v>1680</v>
      </c>
      <c r="AB6644" t="s">
        <v>1681</v>
      </c>
      <c r="AC6644" t="s">
        <v>1682</v>
      </c>
      <c r="AD6644" t="s">
        <v>1683</v>
      </c>
    </row>
    <row r="6645" spans="1:30">
      <c r="A6645" s="25" t="s">
        <v>211</v>
      </c>
      <c r="B6645">
        <v>3234</v>
      </c>
      <c r="C6645" t="s">
        <v>189</v>
      </c>
      <c r="D6645">
        <v>7159</v>
      </c>
      <c r="E6645" s="1">
        <v>2.9000000000000001E-2</v>
      </c>
      <c r="F6645" s="1">
        <v>6.8400000000000002E-2</v>
      </c>
      <c r="G6645" s="1">
        <v>0.50849999999999995</v>
      </c>
      <c r="H6645" s="1">
        <v>5.1000000000000004E-3</v>
      </c>
      <c r="I6645" s="1">
        <v>5.4699999999999999E-2</v>
      </c>
      <c r="J6645" s="1">
        <v>2.0500000000000001E-2</v>
      </c>
      <c r="K6645" s="1">
        <v>2.4500000000000001E-2</v>
      </c>
      <c r="L6645" s="1">
        <v>3.3399999999999999E-2</v>
      </c>
      <c r="M6645" s="1">
        <v>0.25240000000000001</v>
      </c>
      <c r="N6645" s="1">
        <v>0.31990000000000002</v>
      </c>
      <c r="O6645" s="1">
        <v>2.1700000000000001E-2</v>
      </c>
      <c r="P6645" s="1">
        <v>7.8799999999999995E-2</v>
      </c>
      <c r="Q6645" s="1">
        <v>8.9999999999999993E-3</v>
      </c>
      <c r="R6645" s="1">
        <v>0.23100000000000001</v>
      </c>
      <c r="S6645" s="1">
        <v>2.5899999999999999E-2</v>
      </c>
      <c r="T6645" s="1">
        <v>3.0000000000000001E-3</v>
      </c>
      <c r="U6645" s="1">
        <v>3.2000000000000002E-3</v>
      </c>
      <c r="V6645" s="1">
        <v>5.9900000000000002E-2</v>
      </c>
      <c r="W6645" s="1">
        <v>9.1200000000000003E-2</v>
      </c>
      <c r="X6645" s="1">
        <v>4.5400000000000003E-2</v>
      </c>
      <c r="Y6645" s="1">
        <v>8.6E-3</v>
      </c>
      <c r="Z6645" s="1">
        <v>3.9899999999999998E-2</v>
      </c>
      <c r="AA6645" s="1">
        <v>2.64E-2</v>
      </c>
      <c r="AB6645" s="1">
        <v>1.04E-2</v>
      </c>
      <c r="AC6645" s="1">
        <v>3.3300000000000003E-2</v>
      </c>
      <c r="AD6645" s="1">
        <v>8.5000000000000006E-3</v>
      </c>
    </row>
    <row r="6646" spans="1:30">
      <c r="A6646" s="25" t="s">
        <v>212</v>
      </c>
      <c r="B6646">
        <v>2551</v>
      </c>
      <c r="C6646" t="s">
        <v>189</v>
      </c>
      <c r="D6646">
        <v>7159</v>
      </c>
      <c r="E6646" s="1">
        <v>2.1499999999999998E-2</v>
      </c>
      <c r="F6646" s="1">
        <v>6.6900000000000001E-2</v>
      </c>
      <c r="G6646" s="1">
        <v>0.60670000000000002</v>
      </c>
      <c r="H6646" s="1">
        <v>1.5599999999999999E-2</v>
      </c>
      <c r="I6646" s="1">
        <v>7.0000000000000007E-2</v>
      </c>
      <c r="J6646" s="1">
        <v>2.06E-2</v>
      </c>
      <c r="K6646" s="1">
        <v>2.06E-2</v>
      </c>
      <c r="L6646" s="1">
        <v>5.0200000000000002E-2</v>
      </c>
      <c r="M6646" s="1">
        <v>0.3836</v>
      </c>
      <c r="N6646" s="1">
        <v>0.39750000000000002</v>
      </c>
      <c r="O6646" s="1">
        <v>1.66E-2</v>
      </c>
      <c r="P6646" s="1">
        <v>8.7599999999999997E-2</v>
      </c>
      <c r="Q6646" s="1">
        <v>1.03E-2</v>
      </c>
      <c r="R6646" s="1">
        <v>0.1628</v>
      </c>
      <c r="S6646" s="1">
        <v>1.41E-2</v>
      </c>
      <c r="T6646" s="1">
        <v>2.0999999999999999E-3</v>
      </c>
      <c r="U6646" s="1">
        <v>7.9000000000000008E-3</v>
      </c>
      <c r="V6646" s="1">
        <v>8.1199999999999994E-2</v>
      </c>
      <c r="W6646" s="1">
        <v>0.12230000000000001</v>
      </c>
      <c r="X6646" s="1">
        <v>4.4699999999999997E-2</v>
      </c>
      <c r="Y6646" s="1">
        <v>1.3899999999999999E-2</v>
      </c>
      <c r="Z6646" s="1">
        <v>4.0500000000000001E-2</v>
      </c>
      <c r="AA6646" s="1">
        <v>2.92E-2</v>
      </c>
      <c r="AB6646" s="1">
        <v>7.0000000000000001E-3</v>
      </c>
      <c r="AC6646" s="1">
        <v>2.9700000000000001E-2</v>
      </c>
      <c r="AD6646" s="1">
        <v>8.8999999999999999E-3</v>
      </c>
    </row>
    <row r="6647" spans="1:30">
      <c r="A6647" s="25" t="s">
        <v>213</v>
      </c>
      <c r="B6647">
        <v>1374</v>
      </c>
      <c r="C6647" t="s">
        <v>189</v>
      </c>
      <c r="D6647">
        <v>7159</v>
      </c>
      <c r="E6647" s="1">
        <v>4.7399999999999998E-2</v>
      </c>
      <c r="F6647" s="1">
        <v>5.9400000000000001E-2</v>
      </c>
      <c r="G6647" s="1">
        <v>0.50760000000000005</v>
      </c>
      <c r="H6647" s="1">
        <v>7.1000000000000004E-3</v>
      </c>
      <c r="I6647" s="1">
        <v>2.93E-2</v>
      </c>
      <c r="J6647" s="1">
        <v>2.7900000000000001E-2</v>
      </c>
      <c r="K6647" s="1">
        <v>7.9000000000000008E-3</v>
      </c>
      <c r="L6647" s="1">
        <v>1.1599999999999999E-2</v>
      </c>
      <c r="M6647" s="1">
        <v>0.23269999999999999</v>
      </c>
      <c r="N6647" s="1">
        <v>0.2802</v>
      </c>
      <c r="O6647" s="1">
        <v>3.2000000000000001E-2</v>
      </c>
      <c r="P6647" s="1">
        <v>0.1056</v>
      </c>
      <c r="Q6647" s="1">
        <v>2.7400000000000001E-2</v>
      </c>
      <c r="R6647" s="1">
        <v>0.24690000000000001</v>
      </c>
      <c r="S6647" s="1">
        <v>9.1000000000000004E-3</v>
      </c>
      <c r="T6647" s="1">
        <v>1.4800000000000001E-2</v>
      </c>
      <c r="U6647" s="1">
        <v>3.8999999999999998E-3</v>
      </c>
      <c r="V6647" s="1">
        <v>4.7100000000000003E-2</v>
      </c>
      <c r="W6647" s="1">
        <v>4.5900000000000003E-2</v>
      </c>
      <c r="X6647" s="1">
        <v>4.3799999999999999E-2</v>
      </c>
      <c r="Y6647" s="1">
        <v>1.03E-2</v>
      </c>
      <c r="Z6647" s="1">
        <v>5.0900000000000001E-2</v>
      </c>
      <c r="AA6647" s="1">
        <v>3.4000000000000002E-2</v>
      </c>
      <c r="AB6647" s="1">
        <v>6.7000000000000002E-3</v>
      </c>
      <c r="AC6647" s="1">
        <v>2.2200000000000001E-2</v>
      </c>
      <c r="AD6647" s="1">
        <v>5.4999999999999997E-3</v>
      </c>
    </row>
    <row r="6648" spans="1:30">
      <c r="A6648" s="25" t="s">
        <v>192</v>
      </c>
      <c r="B6648">
        <v>7159</v>
      </c>
      <c r="C6648" t="s">
        <v>192</v>
      </c>
      <c r="D6648">
        <v>7159</v>
      </c>
      <c r="E6648" s="1">
        <v>3.0300000000000001E-2</v>
      </c>
      <c r="F6648" s="1">
        <v>6.6000000000000003E-2</v>
      </c>
      <c r="G6648" s="1">
        <v>0.54290000000000005</v>
      </c>
      <c r="H6648" s="1">
        <v>9.1999999999999998E-3</v>
      </c>
      <c r="I6648" s="1">
        <v>5.4699999999999999E-2</v>
      </c>
      <c r="J6648" s="1">
        <v>2.2100000000000002E-2</v>
      </c>
      <c r="K6648" s="1">
        <v>1.9599999999999999E-2</v>
      </c>
      <c r="L6648" s="1">
        <v>3.4700000000000002E-2</v>
      </c>
      <c r="M6648" s="1">
        <v>0.29449999999999998</v>
      </c>
      <c r="N6648" s="1">
        <v>0.33889999999999998</v>
      </c>
      <c r="O6648" s="1">
        <v>2.1999999999999999E-2</v>
      </c>
      <c r="P6648" s="1">
        <v>8.7599999999999997E-2</v>
      </c>
      <c r="Q6648" s="1">
        <v>1.3299999999999999E-2</v>
      </c>
      <c r="R6648" s="1">
        <v>0.21029999999999999</v>
      </c>
      <c r="S6648" s="1">
        <v>1.8200000000000001E-2</v>
      </c>
      <c r="T6648" s="1">
        <v>5.1999999999999998E-3</v>
      </c>
      <c r="U6648" s="1">
        <v>5.0000000000000001E-3</v>
      </c>
      <c r="V6648" s="1">
        <v>6.4699999999999994E-2</v>
      </c>
      <c r="W6648" s="1">
        <v>9.2600000000000002E-2</v>
      </c>
      <c r="X6648" s="1">
        <v>4.48E-2</v>
      </c>
      <c r="Y6648" s="1">
        <v>1.09E-2</v>
      </c>
      <c r="Z6648" s="1">
        <v>4.24E-2</v>
      </c>
      <c r="AA6648" s="1">
        <v>2.9000000000000001E-2</v>
      </c>
      <c r="AB6648" s="1">
        <v>8.3999999999999995E-3</v>
      </c>
      <c r="AC6648" s="1">
        <v>2.9700000000000001E-2</v>
      </c>
      <c r="AD6648" s="1">
        <v>8.0000000000000002E-3</v>
      </c>
    </row>
    <row r="6650" spans="1:30" ht="43.5">
      <c r="A6650" s="25" t="s">
        <v>1691</v>
      </c>
    </row>
    <row r="6651" spans="1:30">
      <c r="A6651" s="25" t="s">
        <v>182</v>
      </c>
      <c r="B6651" t="s">
        <v>219</v>
      </c>
      <c r="C6651" t="s">
        <v>181</v>
      </c>
      <c r="D6651" t="s">
        <v>188</v>
      </c>
      <c r="E6651" t="s">
        <v>1692</v>
      </c>
      <c r="F6651" t="s">
        <v>1693</v>
      </c>
      <c r="G6651" t="s">
        <v>241</v>
      </c>
      <c r="H6651" t="s">
        <v>1694</v>
      </c>
      <c r="I6651" t="s">
        <v>324</v>
      </c>
      <c r="J6651" t="s">
        <v>1695</v>
      </c>
      <c r="K6651" t="s">
        <v>243</v>
      </c>
      <c r="L6651" t="s">
        <v>1696</v>
      </c>
      <c r="M6651" t="s">
        <v>1697</v>
      </c>
    </row>
    <row r="6652" spans="1:30">
      <c r="A6652" s="25" t="s">
        <v>215</v>
      </c>
      <c r="B6652">
        <v>3307</v>
      </c>
      <c r="C6652" t="s">
        <v>189</v>
      </c>
      <c r="D6652">
        <v>10430</v>
      </c>
      <c r="E6652" s="1">
        <v>0.24660000000000001</v>
      </c>
      <c r="F6652" s="1">
        <v>0.21149999999999999</v>
      </c>
      <c r="G6652" s="1">
        <v>3.04E-2</v>
      </c>
      <c r="H6652" s="1">
        <v>0.1123</v>
      </c>
      <c r="I6652" s="1">
        <v>0.34320000000000001</v>
      </c>
      <c r="J6652" s="1">
        <v>5.0000000000000001E-4</v>
      </c>
      <c r="K6652" s="1">
        <v>3.0000000000000001E-3</v>
      </c>
      <c r="L6652" s="1">
        <v>4.8000000000000001E-2</v>
      </c>
      <c r="M6652" s="1">
        <v>4.4999999999999997E-3</v>
      </c>
    </row>
    <row r="6653" spans="1:30">
      <c r="A6653" s="25" t="s">
        <v>216</v>
      </c>
      <c r="B6653">
        <v>2</v>
      </c>
      <c r="C6653" t="s">
        <v>189</v>
      </c>
      <c r="D6653">
        <v>10430</v>
      </c>
      <c r="G6653" s="1">
        <v>0.34029999999999999</v>
      </c>
      <c r="M6653" s="1">
        <v>0.65969999999999995</v>
      </c>
    </row>
    <row r="6654" spans="1:30">
      <c r="A6654" s="25" t="s">
        <v>217</v>
      </c>
      <c r="B6654">
        <v>7121</v>
      </c>
      <c r="C6654" t="s">
        <v>189</v>
      </c>
      <c r="D6654">
        <v>10430</v>
      </c>
      <c r="E6654" s="1">
        <v>0.29499999999999998</v>
      </c>
      <c r="F6654" s="1">
        <v>0.2419</v>
      </c>
      <c r="G6654" s="1">
        <v>2.9899999999999999E-2</v>
      </c>
      <c r="H6654" s="1">
        <v>0.13039999999999999</v>
      </c>
      <c r="I6654" s="1">
        <v>0.23430000000000001</v>
      </c>
      <c r="J6654" s="1">
        <v>5.0000000000000001E-4</v>
      </c>
      <c r="K6654" s="1">
        <v>2E-3</v>
      </c>
      <c r="L6654" s="1">
        <v>5.6500000000000002E-2</v>
      </c>
      <c r="M6654" s="1">
        <v>9.7000000000000003E-3</v>
      </c>
    </row>
    <row r="6655" spans="1:30">
      <c r="A6655" s="25" t="s">
        <v>192</v>
      </c>
      <c r="B6655">
        <v>10430</v>
      </c>
      <c r="C6655" t="s">
        <v>192</v>
      </c>
      <c r="D6655">
        <v>10430</v>
      </c>
      <c r="E6655" s="1">
        <v>0.27850000000000003</v>
      </c>
      <c r="F6655" s="1">
        <v>0.23150000000000001</v>
      </c>
      <c r="G6655" s="1">
        <v>3.0099999999999998E-2</v>
      </c>
      <c r="H6655" s="1">
        <v>0.1242</v>
      </c>
      <c r="I6655" s="1">
        <v>0.27129999999999999</v>
      </c>
      <c r="J6655" s="1">
        <v>5.0000000000000001E-4</v>
      </c>
      <c r="K6655" s="1">
        <v>2.3E-3</v>
      </c>
      <c r="L6655" s="1">
        <v>5.3600000000000002E-2</v>
      </c>
      <c r="M6655" s="1">
        <v>8.0000000000000002E-3</v>
      </c>
    </row>
    <row r="6657" spans="1:13" ht="43.5">
      <c r="A6657" s="25" t="s">
        <v>1698</v>
      </c>
    </row>
    <row r="6658" spans="1:13">
      <c r="A6658" s="25" t="s">
        <v>182</v>
      </c>
      <c r="B6658" t="s">
        <v>219</v>
      </c>
      <c r="C6658" t="s">
        <v>181</v>
      </c>
      <c r="D6658" t="s">
        <v>188</v>
      </c>
      <c r="E6658" t="s">
        <v>1692</v>
      </c>
      <c r="F6658" t="s">
        <v>1693</v>
      </c>
      <c r="G6658" t="s">
        <v>241</v>
      </c>
      <c r="H6658" t="s">
        <v>1694</v>
      </c>
      <c r="I6658" t="s">
        <v>324</v>
      </c>
      <c r="J6658" t="s">
        <v>1695</v>
      </c>
      <c r="K6658" t="s">
        <v>243</v>
      </c>
      <c r="L6658" t="s">
        <v>1696</v>
      </c>
      <c r="M6658" t="s">
        <v>1697</v>
      </c>
    </row>
    <row r="6659" spans="1:13">
      <c r="A6659" s="25" t="s">
        <v>223</v>
      </c>
      <c r="B6659">
        <v>881</v>
      </c>
      <c r="C6659" t="s">
        <v>189</v>
      </c>
      <c r="D6659">
        <v>10430</v>
      </c>
      <c r="E6659" s="1">
        <v>0.23619999999999999</v>
      </c>
      <c r="F6659" s="1">
        <v>0.18010000000000001</v>
      </c>
      <c r="G6659" s="1">
        <v>2.3800000000000002E-2</v>
      </c>
      <c r="H6659" s="1">
        <v>9.3200000000000005E-2</v>
      </c>
      <c r="I6659" s="1">
        <v>0.39279999999999998</v>
      </c>
      <c r="J6659" s="1">
        <v>1.1000000000000001E-3</v>
      </c>
      <c r="K6659" s="1">
        <v>5.7000000000000002E-3</v>
      </c>
      <c r="L6659" s="1">
        <v>4.3099999999999999E-2</v>
      </c>
      <c r="M6659" s="1">
        <v>2.4E-2</v>
      </c>
    </row>
    <row r="6660" spans="1:13">
      <c r="A6660" s="25" t="s">
        <v>224</v>
      </c>
      <c r="B6660">
        <v>2876</v>
      </c>
      <c r="C6660" t="s">
        <v>189</v>
      </c>
      <c r="D6660">
        <v>10430</v>
      </c>
      <c r="E6660" s="1">
        <v>0.28420000000000001</v>
      </c>
      <c r="F6660" s="1">
        <v>0.21360000000000001</v>
      </c>
      <c r="G6660" s="1">
        <v>2.4299999999999999E-2</v>
      </c>
      <c r="H6660" s="1">
        <v>9.4100000000000003E-2</v>
      </c>
      <c r="I6660" s="1">
        <v>0.316</v>
      </c>
      <c r="J6660" s="1">
        <v>2.0000000000000001E-4</v>
      </c>
      <c r="K6660" s="1">
        <v>2.0999999999999999E-3</v>
      </c>
      <c r="L6660" s="1">
        <v>5.9799999999999999E-2</v>
      </c>
      <c r="M6660" s="1">
        <v>5.7000000000000002E-3</v>
      </c>
    </row>
    <row r="6661" spans="1:13">
      <c r="A6661" s="25" t="s">
        <v>225</v>
      </c>
      <c r="B6661">
        <v>2814</v>
      </c>
      <c r="C6661" t="s">
        <v>189</v>
      </c>
      <c r="D6661">
        <v>10430</v>
      </c>
      <c r="E6661" s="1">
        <v>0.2727</v>
      </c>
      <c r="F6661" s="1">
        <v>0.2213</v>
      </c>
      <c r="G6661" s="1">
        <v>2.5899999999999999E-2</v>
      </c>
      <c r="H6661" s="1">
        <v>0.10829999999999999</v>
      </c>
      <c r="I6661" s="1">
        <v>0.29609999999999997</v>
      </c>
      <c r="J6661" s="1">
        <v>1E-3</v>
      </c>
      <c r="K6661" s="1">
        <v>2.5999999999999999E-3</v>
      </c>
      <c r="L6661" s="1">
        <v>6.25E-2</v>
      </c>
      <c r="M6661" s="1">
        <v>9.4999999999999998E-3</v>
      </c>
    </row>
    <row r="6662" spans="1:13">
      <c r="A6662" s="25" t="s">
        <v>226</v>
      </c>
      <c r="B6662">
        <v>3859</v>
      </c>
      <c r="C6662" t="s">
        <v>189</v>
      </c>
      <c r="D6662">
        <v>10430</v>
      </c>
      <c r="E6662" s="1">
        <v>0.2923</v>
      </c>
      <c r="F6662" s="1">
        <v>0.26800000000000002</v>
      </c>
      <c r="G6662" s="1">
        <v>3.9E-2</v>
      </c>
      <c r="H6662" s="1">
        <v>0.1663</v>
      </c>
      <c r="I6662" s="1">
        <v>0.183</v>
      </c>
      <c r="J6662" s="1">
        <v>1E-4</v>
      </c>
      <c r="K6662" s="1">
        <v>1.1999999999999999E-3</v>
      </c>
      <c r="L6662" s="1">
        <v>4.6800000000000001E-2</v>
      </c>
      <c r="M6662" s="1">
        <v>3.3999999999999998E-3</v>
      </c>
    </row>
    <row r="6663" spans="1:13">
      <c r="A6663" s="25" t="s">
        <v>192</v>
      </c>
      <c r="B6663">
        <v>10430</v>
      </c>
      <c r="C6663" t="s">
        <v>192</v>
      </c>
      <c r="D6663">
        <v>10430</v>
      </c>
      <c r="E6663" s="1">
        <v>0.27850000000000003</v>
      </c>
      <c r="F6663" s="1">
        <v>0.23150000000000001</v>
      </c>
      <c r="G6663" s="1">
        <v>3.0099999999999998E-2</v>
      </c>
      <c r="H6663" s="1">
        <v>0.1242</v>
      </c>
      <c r="I6663" s="1">
        <v>0.27129999999999999</v>
      </c>
      <c r="J6663" s="1">
        <v>5.0000000000000001E-4</v>
      </c>
      <c r="K6663" s="1">
        <v>2.3E-3</v>
      </c>
      <c r="L6663" s="1">
        <v>5.3600000000000002E-2</v>
      </c>
      <c r="M6663" s="1">
        <v>8.0000000000000002E-3</v>
      </c>
    </row>
    <row r="6665" spans="1:13" ht="29.1">
      <c r="A6665" s="25" t="s">
        <v>1699</v>
      </c>
    </row>
    <row r="6666" spans="1:13">
      <c r="A6666" s="25" t="s">
        <v>182</v>
      </c>
      <c r="B6666" t="s">
        <v>219</v>
      </c>
      <c r="C6666" t="s">
        <v>181</v>
      </c>
      <c r="D6666" t="s">
        <v>188</v>
      </c>
      <c r="E6666" t="s">
        <v>1692</v>
      </c>
      <c r="F6666" t="s">
        <v>1693</v>
      </c>
      <c r="G6666" t="s">
        <v>241</v>
      </c>
      <c r="H6666" t="s">
        <v>1694</v>
      </c>
      <c r="I6666" t="s">
        <v>324</v>
      </c>
      <c r="J6666" t="s">
        <v>1695</v>
      </c>
      <c r="K6666" t="s">
        <v>243</v>
      </c>
      <c r="L6666" t="s">
        <v>1696</v>
      </c>
      <c r="M6666" t="s">
        <v>1697</v>
      </c>
    </row>
    <row r="6667" spans="1:13">
      <c r="A6667" s="25" t="s">
        <v>190</v>
      </c>
      <c r="B6667">
        <v>4902</v>
      </c>
      <c r="C6667" t="s">
        <v>189</v>
      </c>
      <c r="D6667">
        <v>10430</v>
      </c>
      <c r="E6667" s="1">
        <v>0.2828</v>
      </c>
      <c r="F6667" s="1">
        <v>0.2475</v>
      </c>
      <c r="G6667" s="1">
        <v>3.3300000000000003E-2</v>
      </c>
      <c r="H6667" s="1">
        <v>0.1424</v>
      </c>
      <c r="I6667" s="1">
        <v>0.22900000000000001</v>
      </c>
      <c r="J6667" s="1">
        <v>1.1000000000000001E-3</v>
      </c>
      <c r="K6667" s="1">
        <v>1.9E-3</v>
      </c>
      <c r="L6667" s="1">
        <v>5.8999999999999997E-2</v>
      </c>
      <c r="M6667" s="1">
        <v>3.0000000000000001E-3</v>
      </c>
    </row>
    <row r="6668" spans="1:13">
      <c r="A6668" s="25" t="s">
        <v>191</v>
      </c>
      <c r="B6668">
        <v>5471</v>
      </c>
      <c r="C6668" t="s">
        <v>189</v>
      </c>
      <c r="D6668">
        <v>10430</v>
      </c>
      <c r="E6668" s="1">
        <v>0.2752</v>
      </c>
      <c r="F6668" s="1">
        <v>0.22189999999999999</v>
      </c>
      <c r="G6668" s="1">
        <v>2.81E-2</v>
      </c>
      <c r="H6668" s="1">
        <v>0.1129</v>
      </c>
      <c r="I6668" s="1">
        <v>0.2979</v>
      </c>
      <c r="J6668" s="1">
        <v>0</v>
      </c>
      <c r="K6668" s="1">
        <v>2.5999999999999999E-3</v>
      </c>
      <c r="L6668" s="1">
        <v>5.0299999999999997E-2</v>
      </c>
      <c r="M6668" s="1">
        <v>1.11E-2</v>
      </c>
    </row>
    <row r="6669" spans="1:13">
      <c r="A6669" s="25" t="s">
        <v>192</v>
      </c>
      <c r="B6669">
        <v>10430</v>
      </c>
      <c r="C6669" t="s">
        <v>192</v>
      </c>
      <c r="D6669">
        <v>10430</v>
      </c>
      <c r="E6669" s="1">
        <v>0.27850000000000003</v>
      </c>
      <c r="F6669" s="1">
        <v>0.23150000000000001</v>
      </c>
      <c r="G6669" s="1">
        <v>3.0099999999999998E-2</v>
      </c>
      <c r="H6669" s="1">
        <v>0.1242</v>
      </c>
      <c r="I6669" s="1">
        <v>0.27129999999999999</v>
      </c>
      <c r="J6669" s="1">
        <v>5.0000000000000001E-4</v>
      </c>
      <c r="K6669" s="1">
        <v>2.3E-3</v>
      </c>
      <c r="L6669" s="1">
        <v>5.3600000000000002E-2</v>
      </c>
      <c r="M6669" s="1">
        <v>8.0000000000000002E-3</v>
      </c>
    </row>
    <row r="6671" spans="1:13" ht="43.5">
      <c r="A6671" s="25" t="s">
        <v>1700</v>
      </c>
    </row>
    <row r="6672" spans="1:13">
      <c r="A6672" s="25" t="s">
        <v>182</v>
      </c>
      <c r="B6672" t="s">
        <v>219</v>
      </c>
      <c r="C6672" t="s">
        <v>181</v>
      </c>
      <c r="D6672" t="s">
        <v>188</v>
      </c>
      <c r="E6672" t="s">
        <v>1692</v>
      </c>
      <c r="F6672" t="s">
        <v>1693</v>
      </c>
      <c r="G6672" t="s">
        <v>241</v>
      </c>
      <c r="H6672" t="s">
        <v>1694</v>
      </c>
      <c r="I6672" t="s">
        <v>324</v>
      </c>
      <c r="J6672" t="s">
        <v>1695</v>
      </c>
      <c r="K6672" t="s">
        <v>243</v>
      </c>
      <c r="L6672" t="s">
        <v>1696</v>
      </c>
      <c r="M6672" t="s">
        <v>1697</v>
      </c>
    </row>
    <row r="6673" spans="1:13" ht="29.1">
      <c r="A6673" s="25" t="s">
        <v>194</v>
      </c>
      <c r="B6673">
        <v>5952</v>
      </c>
      <c r="C6673" t="s">
        <v>189</v>
      </c>
      <c r="D6673">
        <v>10430</v>
      </c>
      <c r="E6673" s="1">
        <v>0.2437</v>
      </c>
      <c r="F6673" s="1">
        <v>0.21920000000000001</v>
      </c>
      <c r="G6673" s="1">
        <v>3.3700000000000001E-2</v>
      </c>
      <c r="H6673" s="1">
        <v>0.11650000000000001</v>
      </c>
      <c r="I6673" s="1">
        <v>0.31950000000000001</v>
      </c>
      <c r="J6673" s="1">
        <v>5.9999999999999995E-4</v>
      </c>
      <c r="K6673" s="1">
        <v>2.8E-3</v>
      </c>
      <c r="L6673" s="1">
        <v>5.6899999999999999E-2</v>
      </c>
      <c r="M6673" s="1">
        <v>7.1000000000000004E-3</v>
      </c>
    </row>
    <row r="6674" spans="1:13" ht="29.1">
      <c r="A6674" s="25" t="s">
        <v>195</v>
      </c>
      <c r="B6674">
        <v>2702</v>
      </c>
      <c r="C6674" t="s">
        <v>189</v>
      </c>
      <c r="D6674">
        <v>10430</v>
      </c>
      <c r="E6674" s="1">
        <v>0.32879999999999998</v>
      </c>
      <c r="F6674" s="1">
        <v>0.2752</v>
      </c>
      <c r="G6674" s="1">
        <v>1.46E-2</v>
      </c>
      <c r="H6674" s="1">
        <v>0.15909999999999999</v>
      </c>
      <c r="I6674" s="1">
        <v>0.17019999999999999</v>
      </c>
      <c r="J6674" s="1">
        <v>2.0000000000000001E-4</v>
      </c>
      <c r="K6674" s="1">
        <v>1.5E-3</v>
      </c>
      <c r="L6674" s="1">
        <v>4.2799999999999998E-2</v>
      </c>
      <c r="M6674" s="1">
        <v>7.6E-3</v>
      </c>
    </row>
    <row r="6675" spans="1:13" ht="29.1">
      <c r="A6675" s="25" t="s">
        <v>196</v>
      </c>
      <c r="B6675">
        <v>1719</v>
      </c>
      <c r="C6675" t="s">
        <v>189</v>
      </c>
      <c r="D6675">
        <v>10430</v>
      </c>
      <c r="E6675" s="1">
        <v>0.43590000000000001</v>
      </c>
      <c r="F6675" s="1">
        <v>0.2374</v>
      </c>
      <c r="G6675" s="1">
        <v>3.4099999999999998E-2</v>
      </c>
      <c r="H6675" s="1">
        <v>0.11070000000000001</v>
      </c>
      <c r="I6675" s="1">
        <v>0.1152</v>
      </c>
      <c r="J6675" s="1">
        <v>2.0000000000000001E-4</v>
      </c>
      <c r="L6675" s="1">
        <v>5.0799999999999998E-2</v>
      </c>
      <c r="M6675" s="1">
        <v>1.5599999999999999E-2</v>
      </c>
    </row>
    <row r="6676" spans="1:13">
      <c r="A6676" s="25" t="s">
        <v>192</v>
      </c>
      <c r="B6676">
        <v>10430</v>
      </c>
      <c r="C6676" t="s">
        <v>192</v>
      </c>
      <c r="D6676">
        <v>10430</v>
      </c>
      <c r="E6676" s="1">
        <v>0.27850000000000003</v>
      </c>
      <c r="F6676" s="1">
        <v>0.23150000000000001</v>
      </c>
      <c r="G6676" s="1">
        <v>3.0099999999999998E-2</v>
      </c>
      <c r="H6676" s="1">
        <v>0.1242</v>
      </c>
      <c r="I6676" s="1">
        <v>0.27129999999999999</v>
      </c>
      <c r="J6676" s="1">
        <v>5.0000000000000001E-4</v>
      </c>
      <c r="K6676" s="1">
        <v>2.3E-3</v>
      </c>
      <c r="L6676" s="1">
        <v>5.3600000000000002E-2</v>
      </c>
      <c r="M6676" s="1">
        <v>8.0000000000000002E-3</v>
      </c>
    </row>
    <row r="6678" spans="1:13" ht="43.5">
      <c r="A6678" s="25" t="s">
        <v>1701</v>
      </c>
    </row>
    <row r="6679" spans="1:13">
      <c r="A6679" s="25" t="s">
        <v>182</v>
      </c>
      <c r="B6679" t="s">
        <v>219</v>
      </c>
      <c r="C6679" t="s">
        <v>181</v>
      </c>
      <c r="D6679" t="s">
        <v>188</v>
      </c>
      <c r="E6679" t="s">
        <v>1692</v>
      </c>
      <c r="F6679" t="s">
        <v>1693</v>
      </c>
      <c r="G6679" t="s">
        <v>241</v>
      </c>
      <c r="H6679" t="s">
        <v>1694</v>
      </c>
      <c r="I6679" t="s">
        <v>324</v>
      </c>
      <c r="J6679" t="s">
        <v>1695</v>
      </c>
      <c r="K6679" t="s">
        <v>243</v>
      </c>
      <c r="L6679" t="s">
        <v>1696</v>
      </c>
      <c r="M6679" t="s">
        <v>1697</v>
      </c>
    </row>
    <row r="6680" spans="1:13">
      <c r="A6680" s="25" t="s">
        <v>198</v>
      </c>
      <c r="B6680">
        <v>2263</v>
      </c>
      <c r="C6680" t="s">
        <v>189</v>
      </c>
      <c r="D6680">
        <v>10430</v>
      </c>
      <c r="E6680" s="1">
        <v>0.3241</v>
      </c>
      <c r="F6680" s="1">
        <v>0.28920000000000001</v>
      </c>
      <c r="G6680" s="1">
        <v>3.6999999999999998E-2</v>
      </c>
      <c r="H6680" s="1">
        <v>0.16009999999999999</v>
      </c>
      <c r="I6680" s="1">
        <v>0.12230000000000001</v>
      </c>
      <c r="K6680" s="1">
        <v>8.0000000000000004E-4</v>
      </c>
      <c r="L6680" s="1">
        <v>6.13E-2</v>
      </c>
      <c r="M6680" s="1">
        <v>5.1999999999999998E-3</v>
      </c>
    </row>
    <row r="6681" spans="1:13">
      <c r="A6681" s="25" t="s">
        <v>199</v>
      </c>
      <c r="B6681">
        <v>8167</v>
      </c>
      <c r="C6681" t="s">
        <v>189</v>
      </c>
      <c r="D6681">
        <v>10430</v>
      </c>
      <c r="E6681" s="1">
        <v>0.26829999999999998</v>
      </c>
      <c r="F6681" s="1">
        <v>0.21859999999999999</v>
      </c>
      <c r="G6681" s="1">
        <v>2.8500000000000001E-2</v>
      </c>
      <c r="H6681" s="1">
        <v>0.11609999999999999</v>
      </c>
      <c r="I6681" s="1">
        <v>0.30480000000000002</v>
      </c>
      <c r="J6681" s="1">
        <v>5.9999999999999995E-4</v>
      </c>
      <c r="K6681" s="1">
        <v>2.7000000000000001E-3</v>
      </c>
      <c r="L6681" s="1">
        <v>5.1900000000000002E-2</v>
      </c>
      <c r="M6681" s="1">
        <v>8.6E-3</v>
      </c>
    </row>
    <row r="6682" spans="1:13">
      <c r="A6682" s="25" t="s">
        <v>192</v>
      </c>
      <c r="B6682">
        <v>10430</v>
      </c>
      <c r="C6682" t="s">
        <v>192</v>
      </c>
      <c r="D6682">
        <v>10430</v>
      </c>
      <c r="E6682" s="1">
        <v>0.27850000000000003</v>
      </c>
      <c r="F6682" s="1">
        <v>0.23150000000000001</v>
      </c>
      <c r="G6682" s="1">
        <v>3.0099999999999998E-2</v>
      </c>
      <c r="H6682" s="1">
        <v>0.1242</v>
      </c>
      <c r="I6682" s="1">
        <v>0.27129999999999999</v>
      </c>
      <c r="J6682" s="1">
        <v>5.0000000000000001E-4</v>
      </c>
      <c r="K6682" s="1">
        <v>2.3E-3</v>
      </c>
      <c r="L6682" s="1">
        <v>5.3600000000000002E-2</v>
      </c>
      <c r="M6682" s="1">
        <v>8.0000000000000002E-3</v>
      </c>
    </row>
    <row r="6684" spans="1:13" ht="43.5">
      <c r="A6684" s="25" t="s">
        <v>1702</v>
      </c>
    </row>
    <row r="6685" spans="1:13">
      <c r="A6685" s="25" t="s">
        <v>182</v>
      </c>
      <c r="B6685" t="s">
        <v>219</v>
      </c>
      <c r="C6685" t="s">
        <v>181</v>
      </c>
      <c r="D6685" t="s">
        <v>188</v>
      </c>
      <c r="E6685" t="s">
        <v>1692</v>
      </c>
      <c r="F6685" t="s">
        <v>1693</v>
      </c>
      <c r="G6685" t="s">
        <v>241</v>
      </c>
      <c r="H6685" t="s">
        <v>1694</v>
      </c>
      <c r="I6685" t="s">
        <v>324</v>
      </c>
      <c r="J6685" t="s">
        <v>1695</v>
      </c>
      <c r="K6685" t="s">
        <v>243</v>
      </c>
      <c r="L6685" t="s">
        <v>1696</v>
      </c>
      <c r="M6685" t="s">
        <v>1697</v>
      </c>
    </row>
    <row r="6686" spans="1:13">
      <c r="A6686" s="25" t="s">
        <v>201</v>
      </c>
      <c r="B6686">
        <v>767</v>
      </c>
      <c r="C6686" t="s">
        <v>189</v>
      </c>
      <c r="D6686">
        <v>10430</v>
      </c>
      <c r="E6686" s="1">
        <v>0.44569999999999999</v>
      </c>
      <c r="F6686" s="1">
        <v>0.29799999999999999</v>
      </c>
      <c r="G6686" s="1">
        <v>2.9100000000000001E-2</v>
      </c>
      <c r="H6686" s="1">
        <v>0.1061</v>
      </c>
      <c r="I6686" s="1">
        <v>7.8100000000000003E-2</v>
      </c>
      <c r="J6686" s="1">
        <v>2E-3</v>
      </c>
      <c r="L6686" s="1">
        <v>2.0799999999999999E-2</v>
      </c>
      <c r="M6686" s="1">
        <v>2.01E-2</v>
      </c>
    </row>
    <row r="6687" spans="1:13">
      <c r="A6687" s="25" t="s">
        <v>202</v>
      </c>
      <c r="B6687">
        <v>110</v>
      </c>
      <c r="C6687" t="s">
        <v>189</v>
      </c>
      <c r="D6687">
        <v>10430</v>
      </c>
      <c r="E6687" s="1">
        <v>0.35659999999999997</v>
      </c>
      <c r="F6687" s="1">
        <v>0.35770000000000002</v>
      </c>
      <c r="G6687" s="1">
        <v>4.9399999999999999E-2</v>
      </c>
      <c r="H6687" s="1">
        <v>0.1515</v>
      </c>
      <c r="I6687" s="1">
        <v>5.7599999999999998E-2</v>
      </c>
      <c r="J6687" s="1">
        <v>4.0000000000000001E-3</v>
      </c>
      <c r="L6687" s="1">
        <v>2.3199999999999998E-2</v>
      </c>
    </row>
    <row r="6688" spans="1:13">
      <c r="A6688" s="25" t="s">
        <v>203</v>
      </c>
      <c r="B6688">
        <v>8039</v>
      </c>
      <c r="C6688" t="s">
        <v>189</v>
      </c>
      <c r="D6688">
        <v>10430</v>
      </c>
      <c r="E6688" s="1">
        <v>0.27400000000000002</v>
      </c>
      <c r="F6688" s="1">
        <v>0.2351</v>
      </c>
      <c r="G6688" s="1">
        <v>3.04E-2</v>
      </c>
      <c r="H6688" s="1">
        <v>0.12889999999999999</v>
      </c>
      <c r="I6688" s="1">
        <v>0.27139999999999997</v>
      </c>
      <c r="J6688" s="1">
        <v>4.0000000000000002E-4</v>
      </c>
      <c r="K6688" s="1">
        <v>1.6999999999999999E-3</v>
      </c>
      <c r="L6688" s="1">
        <v>5.21E-2</v>
      </c>
      <c r="M6688" s="1">
        <v>5.8999999999999999E-3</v>
      </c>
    </row>
    <row r="6689" spans="1:13">
      <c r="A6689" s="25" t="s">
        <v>204</v>
      </c>
      <c r="B6689">
        <v>31</v>
      </c>
      <c r="C6689" t="s">
        <v>189</v>
      </c>
      <c r="D6689">
        <v>10430</v>
      </c>
      <c r="E6689" s="1">
        <v>0.34079999999999999</v>
      </c>
      <c r="F6689" s="1">
        <v>8.0100000000000005E-2</v>
      </c>
      <c r="G6689" s="1">
        <v>9.4700000000000006E-2</v>
      </c>
      <c r="H6689" s="1">
        <v>0.15260000000000001</v>
      </c>
      <c r="I6689" s="1">
        <v>0.27039999999999997</v>
      </c>
      <c r="K6689" s="1">
        <v>4.8000000000000001E-2</v>
      </c>
      <c r="L6689" s="1">
        <v>1.9E-3</v>
      </c>
      <c r="M6689" s="1">
        <v>1.1599999999999999E-2</v>
      </c>
    </row>
    <row r="6690" spans="1:13">
      <c r="A6690" s="25" t="s">
        <v>205</v>
      </c>
      <c r="B6690">
        <v>1483</v>
      </c>
      <c r="C6690" t="s">
        <v>189</v>
      </c>
      <c r="D6690">
        <v>10430</v>
      </c>
      <c r="E6690" s="1">
        <v>0.2155</v>
      </c>
      <c r="F6690" s="1">
        <v>0.17419999999999999</v>
      </c>
      <c r="G6690" s="1">
        <v>2.69E-2</v>
      </c>
      <c r="H6690" s="1">
        <v>0.1047</v>
      </c>
      <c r="I6690" s="1">
        <v>0.37759999999999999</v>
      </c>
      <c r="K6690" s="1">
        <v>6.6E-3</v>
      </c>
      <c r="L6690" s="1">
        <v>8.0299999999999996E-2</v>
      </c>
      <c r="M6690" s="1">
        <v>1.4200000000000001E-2</v>
      </c>
    </row>
    <row r="6691" spans="1:13">
      <c r="A6691" s="25" t="s">
        <v>192</v>
      </c>
      <c r="B6691">
        <v>10430</v>
      </c>
      <c r="C6691" t="s">
        <v>192</v>
      </c>
      <c r="D6691">
        <v>10430</v>
      </c>
      <c r="E6691" s="1">
        <v>0.27850000000000003</v>
      </c>
      <c r="F6691" s="1">
        <v>0.23150000000000001</v>
      </c>
      <c r="G6691" s="1">
        <v>3.0099999999999998E-2</v>
      </c>
      <c r="H6691" s="1">
        <v>0.1242</v>
      </c>
      <c r="I6691" s="1">
        <v>0.27129999999999999</v>
      </c>
      <c r="J6691" s="1">
        <v>5.0000000000000001E-4</v>
      </c>
      <c r="K6691" s="1">
        <v>2.3E-3</v>
      </c>
      <c r="L6691" s="1">
        <v>5.3600000000000002E-2</v>
      </c>
      <c r="M6691" s="1">
        <v>8.0000000000000002E-3</v>
      </c>
    </row>
    <row r="6693" spans="1:13" ht="43.5">
      <c r="A6693" s="25" t="s">
        <v>1703</v>
      </c>
    </row>
    <row r="6694" spans="1:13">
      <c r="A6694" s="25" t="s">
        <v>182</v>
      </c>
      <c r="B6694" t="s">
        <v>219</v>
      </c>
      <c r="C6694" t="s">
        <v>181</v>
      </c>
      <c r="D6694" t="s">
        <v>188</v>
      </c>
      <c r="E6694" t="s">
        <v>1692</v>
      </c>
      <c r="F6694" t="s">
        <v>1693</v>
      </c>
      <c r="G6694" t="s">
        <v>241</v>
      </c>
      <c r="H6694" t="s">
        <v>1694</v>
      </c>
      <c r="I6694" t="s">
        <v>324</v>
      </c>
      <c r="J6694" t="s">
        <v>1695</v>
      </c>
      <c r="K6694" t="s">
        <v>243</v>
      </c>
      <c r="L6694" t="s">
        <v>1696</v>
      </c>
      <c r="M6694" t="s">
        <v>1697</v>
      </c>
    </row>
    <row r="6695" spans="1:13">
      <c r="A6695" s="25" t="s">
        <v>207</v>
      </c>
      <c r="B6695">
        <v>7252</v>
      </c>
      <c r="C6695" t="s">
        <v>189</v>
      </c>
      <c r="D6695">
        <v>10430</v>
      </c>
      <c r="E6695" s="1">
        <v>0.27979999999999999</v>
      </c>
      <c r="F6695" s="1">
        <v>0.22239999999999999</v>
      </c>
      <c r="G6695" s="1">
        <v>2.76E-2</v>
      </c>
      <c r="H6695" s="1">
        <v>0.1119</v>
      </c>
      <c r="I6695" s="1">
        <v>0.29349999999999998</v>
      </c>
      <c r="J6695" s="1">
        <v>2.9999999999999997E-4</v>
      </c>
      <c r="K6695" s="1">
        <v>1.1000000000000001E-3</v>
      </c>
      <c r="L6695" s="1">
        <v>5.3900000000000003E-2</v>
      </c>
      <c r="M6695" s="1">
        <v>9.4000000000000004E-3</v>
      </c>
    </row>
    <row r="6696" spans="1:13">
      <c r="A6696" s="25" t="s">
        <v>208</v>
      </c>
      <c r="B6696">
        <v>2243</v>
      </c>
      <c r="C6696" t="s">
        <v>189</v>
      </c>
      <c r="D6696">
        <v>10430</v>
      </c>
      <c r="E6696" s="1">
        <v>0.25790000000000002</v>
      </c>
      <c r="F6696" s="1">
        <v>0.24909999999999999</v>
      </c>
      <c r="G6696" s="1">
        <v>3.6999999999999998E-2</v>
      </c>
      <c r="H6696" s="1">
        <v>0.16750000000000001</v>
      </c>
      <c r="I6696" s="1">
        <v>0.2238</v>
      </c>
      <c r="J6696" s="1">
        <v>2.9999999999999997E-4</v>
      </c>
      <c r="K6696" s="1">
        <v>6.0000000000000001E-3</v>
      </c>
      <c r="L6696" s="1">
        <v>5.2999999999999999E-2</v>
      </c>
      <c r="M6696" s="1">
        <v>5.4000000000000003E-3</v>
      </c>
    </row>
    <row r="6697" spans="1:13">
      <c r="A6697" s="25" t="s">
        <v>209</v>
      </c>
      <c r="B6697">
        <v>935</v>
      </c>
      <c r="C6697" t="s">
        <v>189</v>
      </c>
      <c r="D6697">
        <v>10430</v>
      </c>
      <c r="E6697" s="1">
        <v>0.32540000000000002</v>
      </c>
      <c r="F6697" s="1">
        <v>0.2621</v>
      </c>
      <c r="G6697" s="1">
        <v>3.27E-2</v>
      </c>
      <c r="H6697" s="1">
        <v>0.1096</v>
      </c>
      <c r="I6697" s="1">
        <v>0.21029999999999999</v>
      </c>
      <c r="J6697" s="1">
        <v>2.2000000000000001E-3</v>
      </c>
      <c r="K6697" s="1">
        <v>2.3E-3</v>
      </c>
      <c r="L6697" s="1">
        <v>5.21E-2</v>
      </c>
      <c r="M6697" s="1">
        <v>3.3E-3</v>
      </c>
    </row>
    <row r="6698" spans="1:13">
      <c r="A6698" s="25" t="s">
        <v>192</v>
      </c>
      <c r="B6698">
        <v>10430</v>
      </c>
      <c r="C6698" t="s">
        <v>192</v>
      </c>
      <c r="D6698">
        <v>10430</v>
      </c>
      <c r="E6698" s="1">
        <v>0.27850000000000003</v>
      </c>
      <c r="F6698" s="1">
        <v>0.23150000000000001</v>
      </c>
      <c r="G6698" s="1">
        <v>3.0099999999999998E-2</v>
      </c>
      <c r="H6698" s="1">
        <v>0.1242</v>
      </c>
      <c r="I6698" s="1">
        <v>0.27129999999999999</v>
      </c>
      <c r="J6698" s="1">
        <v>5.0000000000000001E-4</v>
      </c>
      <c r="K6698" s="1">
        <v>2.3E-3</v>
      </c>
      <c r="L6698" s="1">
        <v>5.3600000000000002E-2</v>
      </c>
      <c r="M6698" s="1">
        <v>8.0000000000000002E-3</v>
      </c>
    </row>
    <row r="6700" spans="1:13" ht="43.5">
      <c r="A6700" s="25" t="s">
        <v>1704</v>
      </c>
    </row>
    <row r="6701" spans="1:13">
      <c r="A6701" s="25" t="s">
        <v>182</v>
      </c>
      <c r="B6701" t="s">
        <v>219</v>
      </c>
      <c r="C6701" t="s">
        <v>181</v>
      </c>
      <c r="D6701" t="s">
        <v>188</v>
      </c>
      <c r="E6701" t="s">
        <v>1692</v>
      </c>
      <c r="F6701" t="s">
        <v>1693</v>
      </c>
      <c r="G6701" t="s">
        <v>241</v>
      </c>
      <c r="H6701" t="s">
        <v>1694</v>
      </c>
      <c r="I6701" t="s">
        <v>324</v>
      </c>
      <c r="J6701" t="s">
        <v>1695</v>
      </c>
      <c r="K6701" t="s">
        <v>243</v>
      </c>
      <c r="L6701" t="s">
        <v>1696</v>
      </c>
      <c r="M6701" t="s">
        <v>1697</v>
      </c>
    </row>
    <row r="6702" spans="1:13">
      <c r="A6702" s="25" t="s">
        <v>211</v>
      </c>
      <c r="B6702">
        <v>4970</v>
      </c>
      <c r="C6702" t="s">
        <v>189</v>
      </c>
      <c r="D6702">
        <v>10430</v>
      </c>
      <c r="E6702" s="1">
        <v>0.27410000000000001</v>
      </c>
      <c r="F6702" s="1">
        <v>0.2006</v>
      </c>
      <c r="G6702" s="1">
        <v>3.32E-2</v>
      </c>
      <c r="H6702" s="1">
        <v>0.1091</v>
      </c>
      <c r="I6702" s="1">
        <v>0.31319999999999998</v>
      </c>
      <c r="J6702" s="1">
        <v>2.9999999999999997E-4</v>
      </c>
      <c r="K6702" s="1">
        <v>8.0000000000000004E-4</v>
      </c>
      <c r="L6702" s="1">
        <v>6.1699999999999998E-2</v>
      </c>
      <c r="M6702" s="1">
        <v>6.8999999999999999E-3</v>
      </c>
    </row>
    <row r="6703" spans="1:13">
      <c r="A6703" s="25" t="s">
        <v>212</v>
      </c>
      <c r="B6703">
        <v>3374</v>
      </c>
      <c r="C6703" t="s">
        <v>189</v>
      </c>
      <c r="D6703">
        <v>10430</v>
      </c>
      <c r="E6703" s="1">
        <v>0.30430000000000001</v>
      </c>
      <c r="F6703" s="1">
        <v>0.2823</v>
      </c>
      <c r="G6703" s="1">
        <v>2.98E-2</v>
      </c>
      <c r="H6703" s="1">
        <v>0.14749999999999999</v>
      </c>
      <c r="I6703" s="1">
        <v>0.17899999999999999</v>
      </c>
      <c r="J6703" s="1">
        <v>4.0000000000000002E-4</v>
      </c>
      <c r="K6703" s="1">
        <v>3.3999999999999998E-3</v>
      </c>
      <c r="L6703" s="1">
        <v>4.5499999999999999E-2</v>
      </c>
      <c r="M6703" s="1">
        <v>7.9000000000000008E-3</v>
      </c>
    </row>
    <row r="6704" spans="1:13">
      <c r="A6704" s="25" t="s">
        <v>213</v>
      </c>
      <c r="B6704">
        <v>2086</v>
      </c>
      <c r="C6704" t="s">
        <v>189</v>
      </c>
      <c r="D6704">
        <v>10430</v>
      </c>
      <c r="E6704" s="1">
        <v>0.25109999999999999</v>
      </c>
      <c r="F6704" s="1">
        <v>0.22570000000000001</v>
      </c>
      <c r="G6704" s="1">
        <v>2.4E-2</v>
      </c>
      <c r="H6704" s="1">
        <v>0.1236</v>
      </c>
      <c r="I6704" s="1">
        <v>0.3125</v>
      </c>
      <c r="J6704" s="1">
        <v>8.0000000000000004E-4</v>
      </c>
      <c r="K6704" s="1">
        <v>4.1000000000000003E-3</v>
      </c>
      <c r="L6704" s="1">
        <v>4.7600000000000003E-2</v>
      </c>
      <c r="M6704" s="1">
        <v>1.0500000000000001E-2</v>
      </c>
    </row>
    <row r="6705" spans="1:13">
      <c r="A6705" s="25" t="s">
        <v>192</v>
      </c>
      <c r="B6705">
        <v>10430</v>
      </c>
      <c r="C6705" t="s">
        <v>192</v>
      </c>
      <c r="D6705">
        <v>10430</v>
      </c>
      <c r="E6705" s="1">
        <v>0.27850000000000003</v>
      </c>
      <c r="F6705" s="1">
        <v>0.23150000000000001</v>
      </c>
      <c r="G6705" s="1">
        <v>3.0099999999999998E-2</v>
      </c>
      <c r="H6705" s="1">
        <v>0.1242</v>
      </c>
      <c r="I6705" s="1">
        <v>0.27129999999999999</v>
      </c>
      <c r="J6705" s="1">
        <v>5.0000000000000001E-4</v>
      </c>
      <c r="K6705" s="1">
        <v>2.3E-3</v>
      </c>
      <c r="L6705" s="1">
        <v>5.3600000000000002E-2</v>
      </c>
      <c r="M6705" s="1">
        <v>8.0000000000000002E-3</v>
      </c>
    </row>
    <row r="6707" spans="1:13" ht="43.5">
      <c r="A6707" s="25" t="s">
        <v>1705</v>
      </c>
    </row>
    <row r="6708" spans="1:13">
      <c r="A6708" s="25" t="s">
        <v>181</v>
      </c>
      <c r="B6708" t="s">
        <v>182</v>
      </c>
      <c r="C6708" t="s">
        <v>1015</v>
      </c>
      <c r="D6708" t="s">
        <v>1706</v>
      </c>
      <c r="E6708" t="s">
        <v>1707</v>
      </c>
      <c r="F6708" t="s">
        <v>1708</v>
      </c>
      <c r="G6708" t="s">
        <v>1709</v>
      </c>
      <c r="H6708" t="s">
        <v>1710</v>
      </c>
      <c r="I6708" t="s">
        <v>1026</v>
      </c>
      <c r="J6708" t="s">
        <v>219</v>
      </c>
      <c r="K6708" t="s">
        <v>188</v>
      </c>
    </row>
    <row r="6709" spans="1:13">
      <c r="A6709" s="25" t="s">
        <v>189</v>
      </c>
      <c r="B6709" t="s">
        <v>215</v>
      </c>
      <c r="C6709" t="s">
        <v>1711</v>
      </c>
      <c r="D6709" s="1">
        <v>0.3705</v>
      </c>
      <c r="E6709" s="1">
        <v>0.1885</v>
      </c>
      <c r="F6709" s="1">
        <v>0.41210000000000002</v>
      </c>
      <c r="G6709" s="1">
        <v>0.1429</v>
      </c>
      <c r="H6709" s="1">
        <v>0.29360000000000003</v>
      </c>
      <c r="I6709">
        <v>21</v>
      </c>
      <c r="J6709">
        <v>36</v>
      </c>
      <c r="K6709">
        <v>349</v>
      </c>
    </row>
    <row r="6710" spans="1:13">
      <c r="A6710" s="25" t="s">
        <v>189</v>
      </c>
      <c r="B6710" t="s">
        <v>215</v>
      </c>
      <c r="C6710" t="s">
        <v>1712</v>
      </c>
      <c r="D6710" s="1">
        <v>0.62949999999999995</v>
      </c>
      <c r="E6710" s="1">
        <v>0.79949999999999999</v>
      </c>
      <c r="F6710" s="1">
        <v>0.55159999999999998</v>
      </c>
      <c r="G6710" s="1">
        <v>2.35E-2</v>
      </c>
      <c r="H6710" s="1">
        <v>0.68340000000000001</v>
      </c>
      <c r="I6710">
        <v>21</v>
      </c>
      <c r="J6710">
        <v>36</v>
      </c>
      <c r="K6710">
        <v>349</v>
      </c>
    </row>
    <row r="6711" spans="1:13">
      <c r="A6711" s="25" t="s">
        <v>189</v>
      </c>
      <c r="B6711" t="s">
        <v>217</v>
      </c>
      <c r="C6711" t="s">
        <v>241</v>
      </c>
      <c r="D6711" s="1">
        <v>1.3899999999999999E-2</v>
      </c>
      <c r="E6711" s="1">
        <v>2.2700000000000001E-2</v>
      </c>
      <c r="F6711" s="1">
        <v>2.0500000000000001E-2</v>
      </c>
      <c r="G6711" s="1">
        <v>2.0999999999999999E-3</v>
      </c>
      <c r="H6711" s="1">
        <v>1.38E-2</v>
      </c>
      <c r="I6711">
        <v>211</v>
      </c>
      <c r="J6711">
        <v>313</v>
      </c>
      <c r="K6711">
        <v>349</v>
      </c>
    </row>
    <row r="6712" spans="1:13">
      <c r="A6712" s="25" t="s">
        <v>189</v>
      </c>
      <c r="B6712" t="s">
        <v>217</v>
      </c>
      <c r="C6712" t="s">
        <v>243</v>
      </c>
      <c r="D6712" s="1">
        <v>1.1000000000000001E-3</v>
      </c>
      <c r="E6712" s="1">
        <v>5.9999999999999995E-4</v>
      </c>
      <c r="F6712" s="1">
        <v>5.3E-3</v>
      </c>
      <c r="I6712">
        <v>211</v>
      </c>
      <c r="J6712">
        <v>313</v>
      </c>
      <c r="K6712">
        <v>349</v>
      </c>
    </row>
    <row r="6713" spans="1:13">
      <c r="A6713" s="25" t="s">
        <v>189</v>
      </c>
      <c r="B6713" t="s">
        <v>217</v>
      </c>
      <c r="C6713" t="s">
        <v>1711</v>
      </c>
      <c r="D6713" s="1">
        <v>0.33860000000000001</v>
      </c>
      <c r="E6713" s="1">
        <v>0.2432</v>
      </c>
      <c r="F6713" s="1">
        <v>0.36299999999999999</v>
      </c>
      <c r="G6713" s="1">
        <v>0.15079999999999999</v>
      </c>
      <c r="H6713" s="1">
        <v>0.3105</v>
      </c>
      <c r="I6713">
        <v>211</v>
      </c>
      <c r="J6713">
        <v>313</v>
      </c>
      <c r="K6713">
        <v>349</v>
      </c>
    </row>
    <row r="6714" spans="1:13">
      <c r="A6714" s="25" t="s">
        <v>189</v>
      </c>
      <c r="B6714" t="s">
        <v>217</v>
      </c>
      <c r="C6714" t="s">
        <v>1712</v>
      </c>
      <c r="D6714" s="1">
        <v>0.60529999999999995</v>
      </c>
      <c r="E6714" s="1">
        <v>0.73299999999999998</v>
      </c>
      <c r="F6714" s="1">
        <v>0.58809999999999996</v>
      </c>
      <c r="G6714" s="1">
        <v>0.14729999999999999</v>
      </c>
      <c r="H6714" s="1">
        <v>0.65749999999999997</v>
      </c>
      <c r="I6714">
        <v>211</v>
      </c>
      <c r="J6714">
        <v>313</v>
      </c>
      <c r="K6714">
        <v>349</v>
      </c>
    </row>
    <row r="6715" spans="1:13">
      <c r="A6715" s="25" t="s">
        <v>189</v>
      </c>
      <c r="B6715" t="s">
        <v>217</v>
      </c>
      <c r="C6715" t="s">
        <v>1713</v>
      </c>
      <c r="D6715" s="1">
        <v>4.1000000000000002E-2</v>
      </c>
      <c r="E6715" s="1">
        <v>5.0000000000000001E-4</v>
      </c>
      <c r="F6715" s="1">
        <v>2.3099999999999999E-2</v>
      </c>
      <c r="G6715" s="1">
        <v>0.69969999999999999</v>
      </c>
      <c r="H6715" s="1">
        <v>1.7299999999999999E-2</v>
      </c>
      <c r="I6715">
        <v>211</v>
      </c>
      <c r="J6715">
        <v>313</v>
      </c>
      <c r="K6715">
        <v>349</v>
      </c>
    </row>
    <row r="6716" spans="1:13">
      <c r="A6716" s="25" t="s">
        <v>192</v>
      </c>
      <c r="B6716" t="s">
        <v>192</v>
      </c>
      <c r="C6716" t="s">
        <v>241</v>
      </c>
      <c r="D6716" s="1">
        <v>1.2699999999999999E-2</v>
      </c>
      <c r="E6716" s="1">
        <v>2.0500000000000001E-2</v>
      </c>
      <c r="F6716" s="1">
        <v>1.9800000000000002E-2</v>
      </c>
      <c r="G6716" s="1">
        <v>2E-3</v>
      </c>
      <c r="H6716" s="1">
        <v>1.21E-2</v>
      </c>
      <c r="I6716">
        <v>349</v>
      </c>
      <c r="J6716">
        <v>349</v>
      </c>
      <c r="K6716">
        <v>349</v>
      </c>
    </row>
    <row r="6717" spans="1:13">
      <c r="A6717" s="25" t="s">
        <v>192</v>
      </c>
      <c r="B6717" t="s">
        <v>192</v>
      </c>
      <c r="C6717" t="s">
        <v>243</v>
      </c>
      <c r="D6717" s="1">
        <v>1E-3</v>
      </c>
      <c r="E6717" s="1">
        <v>5.0000000000000001E-4</v>
      </c>
      <c r="F6717" s="1">
        <v>4.0000000000000001E-3</v>
      </c>
      <c r="I6717">
        <v>349</v>
      </c>
      <c r="J6717">
        <v>349</v>
      </c>
      <c r="K6717">
        <v>349</v>
      </c>
    </row>
    <row r="6718" spans="1:13">
      <c r="A6718" s="25" t="s">
        <v>192</v>
      </c>
      <c r="B6718" t="s">
        <v>192</v>
      </c>
      <c r="C6718" t="s">
        <v>1711</v>
      </c>
      <c r="D6718" s="1">
        <v>0.34150000000000003</v>
      </c>
      <c r="E6718" s="1">
        <v>0.23230000000000001</v>
      </c>
      <c r="F6718" s="1">
        <v>0.37459999999999999</v>
      </c>
      <c r="G6718" s="1">
        <v>0.14949999999999999</v>
      </c>
      <c r="H6718" s="1">
        <v>0.30499999999999999</v>
      </c>
      <c r="I6718">
        <v>349</v>
      </c>
      <c r="J6718">
        <v>349</v>
      </c>
      <c r="K6718">
        <v>349</v>
      </c>
    </row>
    <row r="6719" spans="1:13">
      <c r="A6719" s="25" t="s">
        <v>192</v>
      </c>
      <c r="B6719" t="s">
        <v>192</v>
      </c>
      <c r="C6719" t="s">
        <v>1712</v>
      </c>
      <c r="D6719" s="1">
        <v>0.60750000000000004</v>
      </c>
      <c r="E6719" s="1">
        <v>0.74629999999999996</v>
      </c>
      <c r="F6719" s="1">
        <v>0.57950000000000002</v>
      </c>
      <c r="G6719" s="1">
        <v>0.1263</v>
      </c>
      <c r="H6719" s="1">
        <v>0.66600000000000004</v>
      </c>
      <c r="I6719">
        <v>349</v>
      </c>
      <c r="J6719">
        <v>349</v>
      </c>
      <c r="K6719">
        <v>349</v>
      </c>
    </row>
    <row r="6720" spans="1:13">
      <c r="A6720" s="25" t="s">
        <v>192</v>
      </c>
      <c r="B6720" t="s">
        <v>192</v>
      </c>
      <c r="C6720" t="s">
        <v>1713</v>
      </c>
      <c r="D6720" s="1">
        <v>3.7400000000000003E-2</v>
      </c>
      <c r="E6720" s="1">
        <v>4.0000000000000002E-4</v>
      </c>
      <c r="F6720" s="1">
        <v>2.2100000000000002E-2</v>
      </c>
      <c r="G6720" s="1">
        <v>0.72209999999999996</v>
      </c>
      <c r="H6720" s="1">
        <v>1.6400000000000001E-2</v>
      </c>
      <c r="I6720">
        <v>349</v>
      </c>
      <c r="J6720">
        <v>349</v>
      </c>
      <c r="K6720">
        <v>349</v>
      </c>
    </row>
    <row r="6722" spans="1:12" ht="57.95">
      <c r="A6722" s="25" t="s">
        <v>1714</v>
      </c>
    </row>
    <row r="6723" spans="1:12">
      <c r="A6723" s="25" t="s">
        <v>182</v>
      </c>
      <c r="B6723" t="s">
        <v>219</v>
      </c>
      <c r="C6723" t="s">
        <v>181</v>
      </c>
      <c r="D6723" t="s">
        <v>188</v>
      </c>
      <c r="E6723" t="s">
        <v>1715</v>
      </c>
      <c r="F6723" t="s">
        <v>1716</v>
      </c>
      <c r="G6723" t="s">
        <v>1717</v>
      </c>
      <c r="H6723" t="s">
        <v>241</v>
      </c>
      <c r="I6723" t="s">
        <v>1718</v>
      </c>
      <c r="J6723" t="s">
        <v>1719</v>
      </c>
      <c r="K6723" t="s">
        <v>1720</v>
      </c>
      <c r="L6723" t="s">
        <v>243</v>
      </c>
    </row>
    <row r="6724" spans="1:12">
      <c r="A6724" s="25" t="s">
        <v>215</v>
      </c>
      <c r="B6724">
        <v>3308</v>
      </c>
      <c r="C6724" t="s">
        <v>189</v>
      </c>
      <c r="D6724">
        <v>10433</v>
      </c>
      <c r="E6724" s="1">
        <v>3.95E-2</v>
      </c>
      <c r="F6724" s="1">
        <v>3.3000000000000002E-2</v>
      </c>
      <c r="G6724" s="1">
        <v>3.1399999999999997E-2</v>
      </c>
      <c r="H6724" s="1">
        <v>8.8000000000000005E-3</v>
      </c>
      <c r="I6724" s="1">
        <v>3.6700000000000003E-2</v>
      </c>
      <c r="J6724" s="1">
        <v>0.16980000000000001</v>
      </c>
      <c r="K6724" s="1">
        <v>0.67889999999999995</v>
      </c>
      <c r="L6724" s="1">
        <v>1.9E-3</v>
      </c>
    </row>
    <row r="6725" spans="1:12">
      <c r="A6725" s="25" t="s">
        <v>216</v>
      </c>
      <c r="B6725">
        <v>2</v>
      </c>
      <c r="C6725" t="s">
        <v>189</v>
      </c>
      <c r="D6725">
        <v>10433</v>
      </c>
      <c r="I6725" s="1">
        <v>0.34029999999999999</v>
      </c>
      <c r="J6725" s="1">
        <v>0.65969999999999995</v>
      </c>
    </row>
    <row r="6726" spans="1:12">
      <c r="A6726" s="25" t="s">
        <v>217</v>
      </c>
      <c r="B6726">
        <v>7123</v>
      </c>
      <c r="C6726" t="s">
        <v>189</v>
      </c>
      <c r="D6726">
        <v>10433</v>
      </c>
      <c r="E6726" s="1">
        <v>6.2899999999999998E-2</v>
      </c>
      <c r="F6726" s="1">
        <v>4.7800000000000002E-2</v>
      </c>
      <c r="G6726" s="1">
        <v>4.24E-2</v>
      </c>
      <c r="H6726" s="1">
        <v>2.2000000000000001E-3</v>
      </c>
      <c r="I6726" s="1">
        <v>4.9700000000000001E-2</v>
      </c>
      <c r="J6726" s="1">
        <v>0.19839999999999999</v>
      </c>
      <c r="K6726" s="1">
        <v>0.59470000000000001</v>
      </c>
      <c r="L6726" s="1">
        <v>1.9E-3</v>
      </c>
    </row>
    <row r="6727" spans="1:12">
      <c r="A6727" s="25" t="s">
        <v>192</v>
      </c>
      <c r="B6727">
        <v>10433</v>
      </c>
      <c r="C6727" t="s">
        <v>192</v>
      </c>
      <c r="D6727">
        <v>10433</v>
      </c>
      <c r="E6727" s="1">
        <v>5.4899999999999997E-2</v>
      </c>
      <c r="F6727" s="1">
        <v>4.2799999999999998E-2</v>
      </c>
      <c r="G6727" s="1">
        <v>3.8600000000000002E-2</v>
      </c>
      <c r="H6727" s="1">
        <v>4.4000000000000003E-3</v>
      </c>
      <c r="I6727" s="1">
        <v>4.53E-2</v>
      </c>
      <c r="J6727" s="1">
        <v>0.18870000000000001</v>
      </c>
      <c r="K6727" s="1">
        <v>0.62329999999999997</v>
      </c>
      <c r="L6727" s="1">
        <v>1.9E-3</v>
      </c>
    </row>
    <row r="6729" spans="1:12" ht="29.1">
      <c r="A6729" s="25" t="s">
        <v>1721</v>
      </c>
    </row>
    <row r="6730" spans="1:12">
      <c r="A6730" s="25" t="s">
        <v>181</v>
      </c>
      <c r="B6730" t="s">
        <v>182</v>
      </c>
      <c r="C6730" t="s">
        <v>1015</v>
      </c>
      <c r="D6730" t="s">
        <v>1706</v>
      </c>
      <c r="E6730" t="s">
        <v>1707</v>
      </c>
      <c r="F6730" t="s">
        <v>1708</v>
      </c>
      <c r="G6730" t="s">
        <v>1709</v>
      </c>
      <c r="H6730" t="s">
        <v>1710</v>
      </c>
      <c r="I6730" t="s">
        <v>1026</v>
      </c>
      <c r="J6730" t="s">
        <v>219</v>
      </c>
      <c r="K6730" t="s">
        <v>188</v>
      </c>
    </row>
    <row r="6731" spans="1:12">
      <c r="A6731" s="25" t="s">
        <v>189</v>
      </c>
      <c r="B6731" t="s">
        <v>223</v>
      </c>
      <c r="C6731" t="s">
        <v>1711</v>
      </c>
      <c r="D6731" s="1">
        <v>0.16589999999999999</v>
      </c>
      <c r="E6731" s="1">
        <v>0.2077</v>
      </c>
      <c r="F6731" s="1">
        <v>0.43880000000000002</v>
      </c>
      <c r="G6731" s="1">
        <v>7.5499999999999998E-2</v>
      </c>
      <c r="H6731" s="1">
        <v>0.3125</v>
      </c>
      <c r="I6731">
        <v>27</v>
      </c>
      <c r="J6731">
        <v>32</v>
      </c>
      <c r="K6731">
        <v>349</v>
      </c>
    </row>
    <row r="6732" spans="1:12">
      <c r="A6732" s="25" t="s">
        <v>189</v>
      </c>
      <c r="B6732" t="s">
        <v>223</v>
      </c>
      <c r="C6732" t="s">
        <v>1712</v>
      </c>
      <c r="D6732" s="1">
        <v>0.56299999999999994</v>
      </c>
      <c r="E6732" s="1">
        <v>0.7923</v>
      </c>
      <c r="F6732" s="1">
        <v>0.56120000000000003</v>
      </c>
      <c r="G6732" s="1">
        <v>4.6800000000000001E-2</v>
      </c>
      <c r="H6732" s="1">
        <v>0.60489999999999999</v>
      </c>
      <c r="I6732">
        <v>27</v>
      </c>
      <c r="J6732">
        <v>32</v>
      </c>
      <c r="K6732">
        <v>349</v>
      </c>
    </row>
    <row r="6733" spans="1:12">
      <c r="A6733" s="25" t="s">
        <v>189</v>
      </c>
      <c r="B6733" t="s">
        <v>223</v>
      </c>
      <c r="C6733" t="s">
        <v>1713</v>
      </c>
      <c r="D6733" s="1">
        <v>0.27110000000000001</v>
      </c>
      <c r="G6733" s="1">
        <v>0.87770000000000004</v>
      </c>
      <c r="H6733" s="1">
        <v>8.2600000000000007E-2</v>
      </c>
      <c r="I6733">
        <v>27</v>
      </c>
      <c r="J6733">
        <v>32</v>
      </c>
      <c r="K6733">
        <v>349</v>
      </c>
    </row>
    <row r="6734" spans="1:12">
      <c r="A6734" s="25" t="s">
        <v>189</v>
      </c>
      <c r="B6734" t="s">
        <v>224</v>
      </c>
      <c r="C6734" t="s">
        <v>241</v>
      </c>
      <c r="D6734" s="1">
        <v>1.23E-2</v>
      </c>
      <c r="E6734" s="1">
        <v>6.8999999999999999E-3</v>
      </c>
      <c r="F6734" s="1">
        <v>1.8100000000000002E-2</v>
      </c>
      <c r="G6734" s="1">
        <v>4.0000000000000002E-4</v>
      </c>
      <c r="H6734" s="1">
        <v>1.4E-3</v>
      </c>
      <c r="I6734">
        <v>99</v>
      </c>
      <c r="J6734">
        <v>148</v>
      </c>
      <c r="K6734">
        <v>349</v>
      </c>
    </row>
    <row r="6735" spans="1:12">
      <c r="A6735" s="25" t="s">
        <v>189</v>
      </c>
      <c r="B6735" t="s">
        <v>224</v>
      </c>
      <c r="C6735" t="s">
        <v>243</v>
      </c>
      <c r="D6735" s="1">
        <v>2.3E-3</v>
      </c>
      <c r="F6735" s="1">
        <v>1.2200000000000001E-2</v>
      </c>
      <c r="I6735">
        <v>99</v>
      </c>
      <c r="J6735">
        <v>148</v>
      </c>
      <c r="K6735">
        <v>349</v>
      </c>
    </row>
    <row r="6736" spans="1:12">
      <c r="A6736" s="25" t="s">
        <v>189</v>
      </c>
      <c r="B6736" t="s">
        <v>224</v>
      </c>
      <c r="C6736" t="s">
        <v>1711</v>
      </c>
      <c r="D6736" s="1">
        <v>0.33539999999999998</v>
      </c>
      <c r="E6736" s="1">
        <v>0.2747</v>
      </c>
      <c r="F6736" s="1">
        <v>0.43540000000000001</v>
      </c>
      <c r="G6736" s="1">
        <v>0.12809999999999999</v>
      </c>
      <c r="H6736" s="1">
        <v>0.34</v>
      </c>
      <c r="I6736">
        <v>99</v>
      </c>
      <c r="J6736">
        <v>148</v>
      </c>
      <c r="K6736">
        <v>349</v>
      </c>
    </row>
    <row r="6737" spans="1:12">
      <c r="A6737" s="25" t="s">
        <v>189</v>
      </c>
      <c r="B6737" t="s">
        <v>224</v>
      </c>
      <c r="C6737" t="s">
        <v>1712</v>
      </c>
      <c r="D6737" s="1">
        <v>0.65</v>
      </c>
      <c r="E6737" s="1">
        <v>0.71709999999999996</v>
      </c>
      <c r="F6737" s="1">
        <v>0.46189999999999998</v>
      </c>
      <c r="G6737" s="1">
        <v>0.154</v>
      </c>
      <c r="H6737" s="1">
        <v>0.64900000000000002</v>
      </c>
      <c r="I6737">
        <v>99</v>
      </c>
      <c r="J6737">
        <v>148</v>
      </c>
      <c r="K6737">
        <v>349</v>
      </c>
    </row>
    <row r="6738" spans="1:12">
      <c r="A6738" s="25" t="s">
        <v>189</v>
      </c>
      <c r="B6738" t="s">
        <v>225</v>
      </c>
      <c r="C6738" t="s">
        <v>241</v>
      </c>
      <c r="D6738" s="1">
        <v>2.24E-2</v>
      </c>
      <c r="E6738" s="1">
        <v>3.0499999999999999E-2</v>
      </c>
      <c r="F6738" s="1">
        <v>3.5999999999999999E-3</v>
      </c>
      <c r="G6738" s="1">
        <v>1.5599999999999999E-2</v>
      </c>
      <c r="H6738" s="1">
        <v>1.11E-2</v>
      </c>
      <c r="I6738">
        <v>54</v>
      </c>
      <c r="J6738">
        <v>106</v>
      </c>
      <c r="K6738">
        <v>349</v>
      </c>
    </row>
    <row r="6739" spans="1:12">
      <c r="A6739" s="25" t="s">
        <v>189</v>
      </c>
      <c r="B6739" t="s">
        <v>225</v>
      </c>
      <c r="C6739" t="s">
        <v>1711</v>
      </c>
      <c r="D6739" s="1">
        <v>0.39429999999999998</v>
      </c>
      <c r="E6739" s="1">
        <v>0.29770000000000002</v>
      </c>
      <c r="F6739" s="1">
        <v>0.36899999999999999</v>
      </c>
      <c r="G6739" s="1">
        <v>0.38240000000000002</v>
      </c>
      <c r="H6739" s="1">
        <v>0.29749999999999999</v>
      </c>
      <c r="I6739">
        <v>54</v>
      </c>
      <c r="J6739">
        <v>106</v>
      </c>
      <c r="K6739">
        <v>349</v>
      </c>
    </row>
    <row r="6740" spans="1:12">
      <c r="A6740" s="25" t="s">
        <v>189</v>
      </c>
      <c r="B6740" t="s">
        <v>225</v>
      </c>
      <c r="C6740" t="s">
        <v>1712</v>
      </c>
      <c r="D6740" s="1">
        <v>0.55730000000000002</v>
      </c>
      <c r="E6740" s="1">
        <v>0.67179999999999995</v>
      </c>
      <c r="F6740" s="1">
        <v>0.62</v>
      </c>
      <c r="G6740" s="1">
        <v>5.3400000000000003E-2</v>
      </c>
      <c r="H6740" s="1">
        <v>0.6825</v>
      </c>
      <c r="I6740">
        <v>54</v>
      </c>
      <c r="J6740">
        <v>106</v>
      </c>
      <c r="K6740">
        <v>349</v>
      </c>
    </row>
    <row r="6741" spans="1:12">
      <c r="A6741" s="25" t="s">
        <v>189</v>
      </c>
      <c r="B6741" t="s">
        <v>225</v>
      </c>
      <c r="C6741" t="s">
        <v>1713</v>
      </c>
      <c r="D6741" s="1">
        <v>2.5999999999999999E-2</v>
      </c>
      <c r="F6741" s="1">
        <v>7.4999999999999997E-3</v>
      </c>
      <c r="G6741" s="1">
        <v>0.54859999999999998</v>
      </c>
      <c r="H6741" s="1">
        <v>8.8999999999999999E-3</v>
      </c>
      <c r="I6741">
        <v>54</v>
      </c>
      <c r="J6741">
        <v>106</v>
      </c>
      <c r="K6741">
        <v>349</v>
      </c>
    </row>
    <row r="6742" spans="1:12">
      <c r="A6742" s="25" t="s">
        <v>189</v>
      </c>
      <c r="B6742" t="s">
        <v>226</v>
      </c>
      <c r="C6742" t="s">
        <v>241</v>
      </c>
      <c r="D6742" s="1">
        <v>9.7999999999999997E-3</v>
      </c>
      <c r="E6742" s="1">
        <v>2.7900000000000001E-2</v>
      </c>
      <c r="F6742" s="1">
        <v>3.3599999999999998E-2</v>
      </c>
      <c r="H6742" s="1">
        <v>1.7000000000000001E-2</v>
      </c>
      <c r="I6742">
        <v>52</v>
      </c>
      <c r="J6742">
        <v>63</v>
      </c>
      <c r="K6742">
        <v>349</v>
      </c>
    </row>
    <row r="6743" spans="1:12">
      <c r="A6743" s="25" t="s">
        <v>189</v>
      </c>
      <c r="B6743" t="s">
        <v>226</v>
      </c>
      <c r="C6743" t="s">
        <v>1711</v>
      </c>
      <c r="D6743" s="1">
        <v>0.38850000000000001</v>
      </c>
      <c r="E6743" s="1">
        <v>0.17610000000000001</v>
      </c>
      <c r="F6743" s="1">
        <v>0.32450000000000001</v>
      </c>
      <c r="G6743" s="1">
        <v>0.10349999999999999</v>
      </c>
      <c r="H6743" s="1">
        <v>0.29609999999999997</v>
      </c>
      <c r="I6743">
        <v>52</v>
      </c>
      <c r="J6743">
        <v>63</v>
      </c>
      <c r="K6743">
        <v>349</v>
      </c>
    </row>
    <row r="6744" spans="1:12">
      <c r="A6744" s="25" t="s">
        <v>189</v>
      </c>
      <c r="B6744" t="s">
        <v>226</v>
      </c>
      <c r="C6744" t="s">
        <v>1712</v>
      </c>
      <c r="D6744" s="1">
        <v>0.6018</v>
      </c>
      <c r="E6744" s="1">
        <v>0.79490000000000005</v>
      </c>
      <c r="F6744" s="1">
        <v>0.63900000000000001</v>
      </c>
      <c r="H6744" s="1">
        <v>0.66639999999999999</v>
      </c>
      <c r="I6744">
        <v>52</v>
      </c>
      <c r="J6744">
        <v>63</v>
      </c>
      <c r="K6744">
        <v>349</v>
      </c>
    </row>
    <row r="6745" spans="1:12">
      <c r="A6745" s="25" t="s">
        <v>192</v>
      </c>
      <c r="B6745" t="s">
        <v>192</v>
      </c>
      <c r="C6745" t="s">
        <v>241</v>
      </c>
      <c r="D6745" s="1">
        <v>1.2699999999999999E-2</v>
      </c>
      <c r="E6745" s="1">
        <v>2.0500000000000001E-2</v>
      </c>
      <c r="F6745" s="1">
        <v>1.9800000000000002E-2</v>
      </c>
      <c r="G6745" s="1">
        <v>2E-3</v>
      </c>
      <c r="H6745" s="1">
        <v>1.21E-2</v>
      </c>
      <c r="I6745">
        <v>349</v>
      </c>
      <c r="J6745">
        <v>349</v>
      </c>
      <c r="K6745">
        <v>349</v>
      </c>
    </row>
    <row r="6746" spans="1:12">
      <c r="A6746" s="25" t="s">
        <v>192</v>
      </c>
      <c r="B6746" t="s">
        <v>192</v>
      </c>
      <c r="C6746" t="s">
        <v>243</v>
      </c>
      <c r="D6746" s="1">
        <v>1E-3</v>
      </c>
      <c r="E6746" s="1">
        <v>5.0000000000000001E-4</v>
      </c>
      <c r="F6746" s="1">
        <v>4.0000000000000001E-3</v>
      </c>
      <c r="I6746">
        <v>349</v>
      </c>
      <c r="J6746">
        <v>349</v>
      </c>
      <c r="K6746">
        <v>349</v>
      </c>
    </row>
    <row r="6747" spans="1:12">
      <c r="A6747" s="25" t="s">
        <v>192</v>
      </c>
      <c r="B6747" t="s">
        <v>192</v>
      </c>
      <c r="C6747" t="s">
        <v>1711</v>
      </c>
      <c r="D6747" s="1">
        <v>0.34150000000000003</v>
      </c>
      <c r="E6747" s="1">
        <v>0.23230000000000001</v>
      </c>
      <c r="F6747" s="1">
        <v>0.37459999999999999</v>
      </c>
      <c r="G6747" s="1">
        <v>0.14949999999999999</v>
      </c>
      <c r="H6747" s="1">
        <v>0.30499999999999999</v>
      </c>
      <c r="I6747">
        <v>349</v>
      </c>
      <c r="J6747">
        <v>349</v>
      </c>
      <c r="K6747">
        <v>349</v>
      </c>
    </row>
    <row r="6748" spans="1:12">
      <c r="A6748" s="25" t="s">
        <v>192</v>
      </c>
      <c r="B6748" t="s">
        <v>192</v>
      </c>
      <c r="C6748" t="s">
        <v>1712</v>
      </c>
      <c r="D6748" s="1">
        <v>0.60750000000000004</v>
      </c>
      <c r="E6748" s="1">
        <v>0.74629999999999996</v>
      </c>
      <c r="F6748" s="1">
        <v>0.57950000000000002</v>
      </c>
      <c r="G6748" s="1">
        <v>0.1263</v>
      </c>
      <c r="H6748" s="1">
        <v>0.66600000000000004</v>
      </c>
      <c r="I6748">
        <v>349</v>
      </c>
      <c r="J6748">
        <v>349</v>
      </c>
      <c r="K6748">
        <v>349</v>
      </c>
    </row>
    <row r="6749" spans="1:12">
      <c r="A6749" s="25" t="s">
        <v>192</v>
      </c>
      <c r="B6749" t="s">
        <v>192</v>
      </c>
      <c r="C6749" t="s">
        <v>1713</v>
      </c>
      <c r="D6749" s="1">
        <v>3.7400000000000003E-2</v>
      </c>
      <c r="E6749" s="1">
        <v>4.0000000000000002E-4</v>
      </c>
      <c r="F6749" s="1">
        <v>2.2100000000000002E-2</v>
      </c>
      <c r="G6749" s="1">
        <v>0.72209999999999996</v>
      </c>
      <c r="H6749" s="1">
        <v>1.6400000000000001E-2</v>
      </c>
      <c r="I6749">
        <v>349</v>
      </c>
      <c r="J6749">
        <v>349</v>
      </c>
      <c r="K6749">
        <v>349</v>
      </c>
    </row>
    <row r="6751" spans="1:12" ht="57.95">
      <c r="A6751" s="25" t="s">
        <v>1722</v>
      </c>
    </row>
    <row r="6752" spans="1:12">
      <c r="A6752" s="25" t="s">
        <v>182</v>
      </c>
      <c r="B6752" t="s">
        <v>219</v>
      </c>
      <c r="C6752" t="s">
        <v>181</v>
      </c>
      <c r="D6752" t="s">
        <v>188</v>
      </c>
      <c r="E6752" t="s">
        <v>1715</v>
      </c>
      <c r="F6752" t="s">
        <v>1716</v>
      </c>
      <c r="G6752" t="s">
        <v>1717</v>
      </c>
      <c r="H6752" t="s">
        <v>241</v>
      </c>
      <c r="I6752" t="s">
        <v>1718</v>
      </c>
      <c r="J6752" t="s">
        <v>1719</v>
      </c>
      <c r="K6752" t="s">
        <v>1720</v>
      </c>
      <c r="L6752" t="s">
        <v>243</v>
      </c>
    </row>
    <row r="6753" spans="1:12">
      <c r="A6753" s="25" t="s">
        <v>223</v>
      </c>
      <c r="B6753">
        <v>882</v>
      </c>
      <c r="C6753" t="s">
        <v>189</v>
      </c>
      <c r="D6753">
        <v>10433</v>
      </c>
      <c r="E6753" s="1">
        <v>3.5299999999999998E-2</v>
      </c>
      <c r="F6753" s="1">
        <v>2.81E-2</v>
      </c>
      <c r="G6753" s="1">
        <v>2.5499999999999998E-2</v>
      </c>
      <c r="H6753" s="1">
        <v>4.5999999999999999E-3</v>
      </c>
      <c r="I6753" s="1">
        <v>2.9499999999999998E-2</v>
      </c>
      <c r="J6753" s="1">
        <v>0.14990000000000001</v>
      </c>
      <c r="K6753" s="1">
        <v>0.7228</v>
      </c>
      <c r="L6753" s="1">
        <v>4.1999999999999997E-3</v>
      </c>
    </row>
    <row r="6754" spans="1:12">
      <c r="A6754" s="25" t="s">
        <v>224</v>
      </c>
      <c r="B6754">
        <v>2877</v>
      </c>
      <c r="C6754" t="s">
        <v>189</v>
      </c>
      <c r="D6754">
        <v>10433</v>
      </c>
      <c r="E6754" s="1">
        <v>5.9700000000000003E-2</v>
      </c>
      <c r="F6754" s="1">
        <v>5.1200000000000002E-2</v>
      </c>
      <c r="G6754" s="1">
        <v>4.4900000000000002E-2</v>
      </c>
      <c r="H6754" s="1">
        <v>2.8999999999999998E-3</v>
      </c>
      <c r="I6754" s="1">
        <v>4.3799999999999999E-2</v>
      </c>
      <c r="J6754" s="1">
        <v>0.20130000000000001</v>
      </c>
      <c r="K6754" s="1">
        <v>0.59489999999999998</v>
      </c>
      <c r="L6754" s="1">
        <v>1.5E-3</v>
      </c>
    </row>
    <row r="6755" spans="1:12">
      <c r="A6755" s="25" t="s">
        <v>225</v>
      </c>
      <c r="B6755">
        <v>2814</v>
      </c>
      <c r="C6755" t="s">
        <v>189</v>
      </c>
      <c r="D6755">
        <v>10433</v>
      </c>
      <c r="E6755" s="1">
        <v>5.7000000000000002E-2</v>
      </c>
      <c r="F6755" s="1">
        <v>4.02E-2</v>
      </c>
      <c r="G6755" s="1">
        <v>3.5299999999999998E-2</v>
      </c>
      <c r="H6755" s="1">
        <v>6.0000000000000001E-3</v>
      </c>
      <c r="I6755" s="1">
        <v>5.2600000000000001E-2</v>
      </c>
      <c r="J6755" s="1">
        <v>0.1535</v>
      </c>
      <c r="K6755" s="1">
        <v>0.65300000000000002</v>
      </c>
      <c r="L6755" s="1">
        <v>2.3E-3</v>
      </c>
    </row>
    <row r="6756" spans="1:12">
      <c r="A6756" s="25" t="s">
        <v>226</v>
      </c>
      <c r="B6756">
        <v>3860</v>
      </c>
      <c r="C6756" t="s">
        <v>189</v>
      </c>
      <c r="D6756">
        <v>10433</v>
      </c>
      <c r="E6756" s="1">
        <v>5.67E-2</v>
      </c>
      <c r="F6756" s="1">
        <v>4.3400000000000001E-2</v>
      </c>
      <c r="G6756" s="1">
        <v>4.0800000000000003E-2</v>
      </c>
      <c r="H6756" s="1">
        <v>4.4999999999999997E-3</v>
      </c>
      <c r="I6756" s="1">
        <v>4.6800000000000001E-2</v>
      </c>
      <c r="J6756" s="1">
        <v>0.21590000000000001</v>
      </c>
      <c r="K6756" s="1">
        <v>0.5907</v>
      </c>
      <c r="L6756" s="1">
        <v>1.1999999999999999E-3</v>
      </c>
    </row>
    <row r="6757" spans="1:12">
      <c r="A6757" s="25" t="s">
        <v>192</v>
      </c>
      <c r="B6757">
        <v>10433</v>
      </c>
      <c r="C6757" t="s">
        <v>192</v>
      </c>
      <c r="D6757">
        <v>10433</v>
      </c>
      <c r="E6757" s="1">
        <v>5.4899999999999997E-2</v>
      </c>
      <c r="F6757" s="1">
        <v>4.2799999999999998E-2</v>
      </c>
      <c r="G6757" s="1">
        <v>3.8600000000000002E-2</v>
      </c>
      <c r="H6757" s="1">
        <v>4.4000000000000003E-3</v>
      </c>
      <c r="I6757" s="1">
        <v>4.53E-2</v>
      </c>
      <c r="J6757" s="1">
        <v>0.18870000000000001</v>
      </c>
      <c r="K6757" s="1">
        <v>0.62329999999999997</v>
      </c>
      <c r="L6757" s="1">
        <v>1.9E-3</v>
      </c>
    </row>
    <row r="6759" spans="1:12" ht="29.1">
      <c r="A6759" s="25" t="s">
        <v>1723</v>
      </c>
    </row>
    <row r="6760" spans="1:12">
      <c r="A6760" s="25" t="s">
        <v>181</v>
      </c>
      <c r="B6760" t="s">
        <v>182</v>
      </c>
      <c r="C6760" t="s">
        <v>1015</v>
      </c>
      <c r="D6760" t="s">
        <v>1706</v>
      </c>
      <c r="E6760" t="s">
        <v>1707</v>
      </c>
      <c r="F6760" t="s">
        <v>1708</v>
      </c>
      <c r="G6760" t="s">
        <v>1709</v>
      </c>
      <c r="H6760" t="s">
        <v>1710</v>
      </c>
      <c r="I6760" t="s">
        <v>1026</v>
      </c>
      <c r="J6760" t="s">
        <v>219</v>
      </c>
      <c r="K6760" t="s">
        <v>188</v>
      </c>
    </row>
    <row r="6761" spans="1:12">
      <c r="A6761" s="25" t="s">
        <v>189</v>
      </c>
      <c r="B6761" t="s">
        <v>190</v>
      </c>
      <c r="C6761" t="s">
        <v>241</v>
      </c>
      <c r="D6761" s="1">
        <v>2.86E-2</v>
      </c>
      <c r="E6761" s="1">
        <v>0.03</v>
      </c>
      <c r="F6761" s="1">
        <v>2.8899999999999999E-2</v>
      </c>
      <c r="G6761" s="1">
        <v>8.0000000000000004E-4</v>
      </c>
      <c r="H6761" s="1">
        <v>9.7000000000000003E-3</v>
      </c>
      <c r="I6761">
        <v>60</v>
      </c>
      <c r="J6761">
        <v>159</v>
      </c>
      <c r="K6761">
        <v>349</v>
      </c>
    </row>
    <row r="6762" spans="1:12">
      <c r="A6762" s="25" t="s">
        <v>189</v>
      </c>
      <c r="B6762" t="s">
        <v>190</v>
      </c>
      <c r="C6762" t="s">
        <v>1711</v>
      </c>
      <c r="D6762" s="1">
        <v>0.28770000000000001</v>
      </c>
      <c r="E6762" s="1">
        <v>0.24149999999999999</v>
      </c>
      <c r="F6762" s="1">
        <v>0.33069999999999999</v>
      </c>
      <c r="G6762" s="1">
        <v>0.18360000000000001</v>
      </c>
      <c r="H6762" s="1">
        <v>0.28799999999999998</v>
      </c>
      <c r="I6762">
        <v>60</v>
      </c>
      <c r="J6762">
        <v>159</v>
      </c>
      <c r="K6762">
        <v>349</v>
      </c>
    </row>
    <row r="6763" spans="1:12">
      <c r="A6763" s="25" t="s">
        <v>189</v>
      </c>
      <c r="B6763" t="s">
        <v>190</v>
      </c>
      <c r="C6763" t="s">
        <v>1712</v>
      </c>
      <c r="D6763" s="1">
        <v>0.6603</v>
      </c>
      <c r="E6763" s="1">
        <v>0.72699999999999998</v>
      </c>
      <c r="F6763" s="1">
        <v>0.62409999999999999</v>
      </c>
      <c r="G6763" s="1">
        <v>0.17749999999999999</v>
      </c>
      <c r="H6763" s="1">
        <v>0.6915</v>
      </c>
      <c r="I6763">
        <v>60</v>
      </c>
      <c r="J6763">
        <v>159</v>
      </c>
      <c r="K6763">
        <v>349</v>
      </c>
    </row>
    <row r="6764" spans="1:12">
      <c r="A6764" s="25" t="s">
        <v>189</v>
      </c>
      <c r="B6764" t="s">
        <v>190</v>
      </c>
      <c r="C6764" t="s">
        <v>1713</v>
      </c>
      <c r="D6764" s="1">
        <v>2.35E-2</v>
      </c>
      <c r="F6764" s="1">
        <v>5.7999999999999996E-3</v>
      </c>
      <c r="G6764" s="1">
        <v>0.6381</v>
      </c>
      <c r="H6764" s="1">
        <v>0.01</v>
      </c>
      <c r="I6764">
        <v>60</v>
      </c>
      <c r="J6764">
        <v>159</v>
      </c>
      <c r="K6764">
        <v>349</v>
      </c>
    </row>
    <row r="6765" spans="1:12">
      <c r="A6765" s="25" t="s">
        <v>189</v>
      </c>
      <c r="B6765" t="s">
        <v>191</v>
      </c>
      <c r="C6765" t="s">
        <v>241</v>
      </c>
      <c r="D6765" s="1">
        <v>7.1000000000000004E-3</v>
      </c>
      <c r="E6765" s="1">
        <v>1.6199999999999999E-2</v>
      </c>
      <c r="F6765" s="1">
        <v>1.4200000000000001E-2</v>
      </c>
      <c r="G6765" s="1">
        <v>2.7000000000000001E-3</v>
      </c>
      <c r="H6765" s="1">
        <v>1.6899999999999998E-2</v>
      </c>
      <c r="I6765">
        <v>171</v>
      </c>
      <c r="J6765">
        <v>184</v>
      </c>
      <c r="K6765">
        <v>349</v>
      </c>
    </row>
    <row r="6766" spans="1:12">
      <c r="A6766" s="25" t="s">
        <v>189</v>
      </c>
      <c r="B6766" t="s">
        <v>191</v>
      </c>
      <c r="C6766" t="s">
        <v>243</v>
      </c>
      <c r="D6766" s="1">
        <v>1.2999999999999999E-3</v>
      </c>
      <c r="I6766">
        <v>171</v>
      </c>
      <c r="J6766">
        <v>184</v>
      </c>
      <c r="K6766">
        <v>349</v>
      </c>
    </row>
    <row r="6767" spans="1:12">
      <c r="A6767" s="25" t="s">
        <v>189</v>
      </c>
      <c r="B6767" t="s">
        <v>191</v>
      </c>
      <c r="C6767" t="s">
        <v>1711</v>
      </c>
      <c r="D6767" s="1">
        <v>0.35909999999999997</v>
      </c>
      <c r="E6767" s="1">
        <v>0.22720000000000001</v>
      </c>
      <c r="F6767" s="1">
        <v>0.40179999999999999</v>
      </c>
      <c r="G6767" s="1">
        <v>0.12759999999999999</v>
      </c>
      <c r="H6767" s="1">
        <v>0.33750000000000002</v>
      </c>
      <c r="I6767">
        <v>171</v>
      </c>
      <c r="J6767">
        <v>184</v>
      </c>
      <c r="K6767">
        <v>349</v>
      </c>
    </row>
    <row r="6768" spans="1:12">
      <c r="A6768" s="25" t="s">
        <v>189</v>
      </c>
      <c r="B6768" t="s">
        <v>191</v>
      </c>
      <c r="C6768" t="s">
        <v>1712</v>
      </c>
      <c r="D6768" s="1">
        <v>0.58989999999999998</v>
      </c>
      <c r="E6768" s="1">
        <v>0.75609999999999999</v>
      </c>
      <c r="F6768" s="1">
        <v>0.55169999999999997</v>
      </c>
      <c r="G6768" s="1">
        <v>9.8000000000000004E-2</v>
      </c>
      <c r="H6768" s="1">
        <v>0.61639999999999995</v>
      </c>
      <c r="I6768">
        <v>171</v>
      </c>
      <c r="J6768">
        <v>184</v>
      </c>
      <c r="K6768">
        <v>349</v>
      </c>
    </row>
    <row r="6769" spans="1:12">
      <c r="A6769" s="25" t="s">
        <v>189</v>
      </c>
      <c r="B6769" t="s">
        <v>191</v>
      </c>
      <c r="C6769" t="s">
        <v>1713</v>
      </c>
      <c r="D6769" s="1">
        <v>4.2500000000000003E-2</v>
      </c>
      <c r="E6769" s="1">
        <v>5.9999999999999995E-4</v>
      </c>
      <c r="F6769" s="1">
        <v>3.2300000000000002E-2</v>
      </c>
      <c r="G6769" s="1">
        <v>0.77159999999999995</v>
      </c>
      <c r="H6769" s="1">
        <v>2.92E-2</v>
      </c>
      <c r="I6769">
        <v>171</v>
      </c>
      <c r="J6769">
        <v>184</v>
      </c>
      <c r="K6769">
        <v>349</v>
      </c>
    </row>
    <row r="6770" spans="1:12">
      <c r="A6770" s="25" t="s">
        <v>192</v>
      </c>
      <c r="B6770" t="s">
        <v>192</v>
      </c>
      <c r="C6770" t="s">
        <v>241</v>
      </c>
      <c r="D6770" s="1">
        <v>1.2699999999999999E-2</v>
      </c>
      <c r="E6770" s="1">
        <v>2.0500000000000001E-2</v>
      </c>
      <c r="F6770" s="1">
        <v>1.9800000000000002E-2</v>
      </c>
      <c r="G6770" s="1">
        <v>2E-3</v>
      </c>
      <c r="H6770" s="1">
        <v>1.21E-2</v>
      </c>
      <c r="I6770">
        <v>349</v>
      </c>
      <c r="J6770">
        <v>349</v>
      </c>
      <c r="K6770">
        <v>349</v>
      </c>
    </row>
    <row r="6771" spans="1:12">
      <c r="A6771" s="25" t="s">
        <v>192</v>
      </c>
      <c r="B6771" t="s">
        <v>192</v>
      </c>
      <c r="C6771" t="s">
        <v>243</v>
      </c>
      <c r="D6771" s="1">
        <v>1E-3</v>
      </c>
      <c r="E6771" s="1">
        <v>5.0000000000000001E-4</v>
      </c>
      <c r="F6771" s="1">
        <v>4.0000000000000001E-3</v>
      </c>
      <c r="I6771">
        <v>349</v>
      </c>
      <c r="J6771">
        <v>349</v>
      </c>
      <c r="K6771">
        <v>349</v>
      </c>
    </row>
    <row r="6772" spans="1:12">
      <c r="A6772" s="25" t="s">
        <v>192</v>
      </c>
      <c r="B6772" t="s">
        <v>192</v>
      </c>
      <c r="C6772" t="s">
        <v>1711</v>
      </c>
      <c r="D6772" s="1">
        <v>0.34150000000000003</v>
      </c>
      <c r="E6772" s="1">
        <v>0.23230000000000001</v>
      </c>
      <c r="F6772" s="1">
        <v>0.37459999999999999</v>
      </c>
      <c r="G6772" s="1">
        <v>0.14949999999999999</v>
      </c>
      <c r="H6772" s="1">
        <v>0.30499999999999999</v>
      </c>
      <c r="I6772">
        <v>349</v>
      </c>
      <c r="J6772">
        <v>349</v>
      </c>
      <c r="K6772">
        <v>349</v>
      </c>
    </row>
    <row r="6773" spans="1:12">
      <c r="A6773" s="25" t="s">
        <v>192</v>
      </c>
      <c r="B6773" t="s">
        <v>192</v>
      </c>
      <c r="C6773" t="s">
        <v>1712</v>
      </c>
      <c r="D6773" s="1">
        <v>0.60750000000000004</v>
      </c>
      <c r="E6773" s="1">
        <v>0.74629999999999996</v>
      </c>
      <c r="F6773" s="1">
        <v>0.57950000000000002</v>
      </c>
      <c r="G6773" s="1">
        <v>0.1263</v>
      </c>
      <c r="H6773" s="1">
        <v>0.66600000000000004</v>
      </c>
      <c r="I6773">
        <v>349</v>
      </c>
      <c r="J6773">
        <v>349</v>
      </c>
      <c r="K6773">
        <v>349</v>
      </c>
    </row>
    <row r="6774" spans="1:12">
      <c r="A6774" s="25" t="s">
        <v>192</v>
      </c>
      <c r="B6774" t="s">
        <v>192</v>
      </c>
      <c r="C6774" t="s">
        <v>1713</v>
      </c>
      <c r="D6774" s="1">
        <v>3.7400000000000003E-2</v>
      </c>
      <c r="E6774" s="1">
        <v>4.0000000000000002E-4</v>
      </c>
      <c r="F6774" s="1">
        <v>2.2100000000000002E-2</v>
      </c>
      <c r="G6774" s="1">
        <v>0.72209999999999996</v>
      </c>
      <c r="H6774" s="1">
        <v>1.6400000000000001E-2</v>
      </c>
      <c r="I6774">
        <v>349</v>
      </c>
      <c r="J6774">
        <v>349</v>
      </c>
      <c r="K6774">
        <v>349</v>
      </c>
    </row>
    <row r="6776" spans="1:12" ht="43.5">
      <c r="A6776" s="25" t="s">
        <v>1724</v>
      </c>
    </row>
    <row r="6777" spans="1:12">
      <c r="A6777" s="25" t="s">
        <v>182</v>
      </c>
      <c r="B6777" t="s">
        <v>219</v>
      </c>
      <c r="C6777" t="s">
        <v>181</v>
      </c>
      <c r="D6777" t="s">
        <v>188</v>
      </c>
      <c r="E6777" t="s">
        <v>1715</v>
      </c>
      <c r="F6777" t="s">
        <v>1716</v>
      </c>
      <c r="G6777" t="s">
        <v>1717</v>
      </c>
      <c r="H6777" t="s">
        <v>241</v>
      </c>
      <c r="I6777" t="s">
        <v>1718</v>
      </c>
      <c r="J6777" t="s">
        <v>1719</v>
      </c>
      <c r="K6777" t="s">
        <v>1720</v>
      </c>
      <c r="L6777" t="s">
        <v>243</v>
      </c>
    </row>
    <row r="6778" spans="1:12">
      <c r="A6778" s="25" t="s">
        <v>190</v>
      </c>
      <c r="B6778">
        <v>4902</v>
      </c>
      <c r="C6778" t="s">
        <v>189</v>
      </c>
      <c r="D6778">
        <v>10433</v>
      </c>
      <c r="E6778" s="1">
        <v>4.5400000000000003E-2</v>
      </c>
      <c r="F6778" s="1">
        <v>3.4099999999999998E-2</v>
      </c>
      <c r="G6778" s="1">
        <v>2.9700000000000001E-2</v>
      </c>
      <c r="H6778" s="1">
        <v>3.8999999999999998E-3</v>
      </c>
      <c r="I6778" s="1">
        <v>4.2700000000000002E-2</v>
      </c>
      <c r="J6778" s="1">
        <v>0.16930000000000001</v>
      </c>
      <c r="K6778" s="1">
        <v>0.67220000000000002</v>
      </c>
      <c r="L6778" s="1">
        <v>2.7000000000000001E-3</v>
      </c>
    </row>
    <row r="6779" spans="1:12">
      <c r="A6779" s="25" t="s">
        <v>191</v>
      </c>
      <c r="B6779">
        <v>5474</v>
      </c>
      <c r="C6779" t="s">
        <v>189</v>
      </c>
      <c r="D6779">
        <v>10433</v>
      </c>
      <c r="E6779" s="1">
        <v>6.0600000000000001E-2</v>
      </c>
      <c r="F6779" s="1">
        <v>4.8099999999999997E-2</v>
      </c>
      <c r="G6779" s="1">
        <v>4.3999999999999997E-2</v>
      </c>
      <c r="H6779" s="1">
        <v>4.7000000000000002E-3</v>
      </c>
      <c r="I6779" s="1">
        <v>4.6399999999999997E-2</v>
      </c>
      <c r="J6779" s="1">
        <v>0.2006</v>
      </c>
      <c r="K6779" s="1">
        <v>0.59419999999999995</v>
      </c>
      <c r="L6779" s="1">
        <v>1.5E-3</v>
      </c>
    </row>
    <row r="6780" spans="1:12">
      <c r="A6780" s="25" t="s">
        <v>192</v>
      </c>
      <c r="B6780">
        <v>10433</v>
      </c>
      <c r="C6780" t="s">
        <v>192</v>
      </c>
      <c r="D6780">
        <v>10433</v>
      </c>
      <c r="E6780" s="1">
        <v>5.4899999999999997E-2</v>
      </c>
      <c r="F6780" s="1">
        <v>4.2799999999999998E-2</v>
      </c>
      <c r="G6780" s="1">
        <v>3.8600000000000002E-2</v>
      </c>
      <c r="H6780" s="1">
        <v>4.4000000000000003E-3</v>
      </c>
      <c r="I6780" s="1">
        <v>4.53E-2</v>
      </c>
      <c r="J6780" s="1">
        <v>0.18870000000000001</v>
      </c>
      <c r="K6780" s="1">
        <v>0.62329999999999997</v>
      </c>
      <c r="L6780" s="1">
        <v>1.9E-3</v>
      </c>
    </row>
    <row r="6782" spans="1:12" ht="43.5">
      <c r="A6782" s="25" t="s">
        <v>1725</v>
      </c>
    </row>
    <row r="6783" spans="1:12">
      <c r="A6783" s="25" t="s">
        <v>181</v>
      </c>
      <c r="B6783" t="s">
        <v>182</v>
      </c>
      <c r="C6783" t="s">
        <v>1015</v>
      </c>
      <c r="D6783" t="s">
        <v>1706</v>
      </c>
      <c r="E6783" t="s">
        <v>1707</v>
      </c>
      <c r="F6783" t="s">
        <v>1708</v>
      </c>
      <c r="G6783" t="s">
        <v>1709</v>
      </c>
      <c r="H6783" t="s">
        <v>1710</v>
      </c>
      <c r="I6783" t="s">
        <v>1026</v>
      </c>
      <c r="J6783" t="s">
        <v>219</v>
      </c>
      <c r="K6783" t="s">
        <v>188</v>
      </c>
    </row>
    <row r="6784" spans="1:12">
      <c r="A6784" s="25" t="s">
        <v>189</v>
      </c>
      <c r="B6784" t="s">
        <v>194</v>
      </c>
      <c r="C6784" t="s">
        <v>241</v>
      </c>
      <c r="D6784" s="1">
        <v>2.69E-2</v>
      </c>
      <c r="E6784" s="1">
        <v>2.7799999999999998E-2</v>
      </c>
      <c r="F6784" s="1">
        <v>3.2199999999999999E-2</v>
      </c>
      <c r="H6784" s="1">
        <v>1.6899999999999998E-2</v>
      </c>
      <c r="I6784">
        <v>91</v>
      </c>
      <c r="J6784">
        <v>118</v>
      </c>
      <c r="K6784">
        <v>349</v>
      </c>
    </row>
    <row r="6785" spans="1:11">
      <c r="A6785" s="25" t="s">
        <v>189</v>
      </c>
      <c r="B6785" t="s">
        <v>194</v>
      </c>
      <c r="C6785" t="s">
        <v>1711</v>
      </c>
      <c r="D6785" s="1">
        <v>0.1658</v>
      </c>
      <c r="E6785" s="1">
        <v>0.16170000000000001</v>
      </c>
      <c r="F6785" s="1">
        <v>0.28179999999999999</v>
      </c>
      <c r="G6785" s="1">
        <v>0.1295</v>
      </c>
      <c r="H6785" s="1">
        <v>0.28260000000000002</v>
      </c>
      <c r="I6785">
        <v>91</v>
      </c>
      <c r="J6785">
        <v>118</v>
      </c>
      <c r="K6785">
        <v>349</v>
      </c>
    </row>
    <row r="6786" spans="1:11">
      <c r="A6786" s="25" t="s">
        <v>189</v>
      </c>
      <c r="B6786" t="s">
        <v>194</v>
      </c>
      <c r="C6786" t="s">
        <v>1712</v>
      </c>
      <c r="D6786" s="1">
        <v>0.7117</v>
      </c>
      <c r="E6786" s="1">
        <v>0.8105</v>
      </c>
      <c r="F6786" s="1">
        <v>0.64039999999999997</v>
      </c>
      <c r="G6786" s="1">
        <v>0.11360000000000001</v>
      </c>
      <c r="H6786" s="1">
        <v>0.68389999999999995</v>
      </c>
      <c r="I6786">
        <v>91</v>
      </c>
      <c r="J6786">
        <v>118</v>
      </c>
      <c r="K6786">
        <v>349</v>
      </c>
    </row>
    <row r="6787" spans="1:11">
      <c r="A6787" s="25" t="s">
        <v>189</v>
      </c>
      <c r="B6787" t="s">
        <v>194</v>
      </c>
      <c r="C6787" t="s">
        <v>1713</v>
      </c>
      <c r="D6787" s="1">
        <v>9.5600000000000004E-2</v>
      </c>
      <c r="F6787" s="1">
        <v>3.9600000000000003E-2</v>
      </c>
      <c r="G6787" s="1">
        <v>0.75700000000000001</v>
      </c>
      <c r="H6787" s="1">
        <v>1.5699999999999999E-2</v>
      </c>
      <c r="I6787">
        <v>91</v>
      </c>
      <c r="J6787">
        <v>118</v>
      </c>
      <c r="K6787">
        <v>349</v>
      </c>
    </row>
    <row r="6788" spans="1:11">
      <c r="A6788" s="25" t="s">
        <v>189</v>
      </c>
      <c r="B6788" t="s">
        <v>195</v>
      </c>
      <c r="C6788" t="s">
        <v>241</v>
      </c>
      <c r="D6788" s="1">
        <v>7.9000000000000008E-3</v>
      </c>
      <c r="E6788" s="1">
        <v>8.3000000000000001E-3</v>
      </c>
      <c r="F6788" s="1">
        <v>7.6E-3</v>
      </c>
      <c r="H6788" s="1">
        <v>1.1000000000000001E-3</v>
      </c>
      <c r="I6788">
        <v>64</v>
      </c>
      <c r="J6788">
        <v>123</v>
      </c>
      <c r="K6788">
        <v>349</v>
      </c>
    </row>
    <row r="6789" spans="1:11">
      <c r="A6789" s="25" t="s">
        <v>189</v>
      </c>
      <c r="B6789" t="s">
        <v>195</v>
      </c>
      <c r="C6789" t="s">
        <v>1711</v>
      </c>
      <c r="D6789" s="1">
        <v>0.3417</v>
      </c>
      <c r="E6789" s="1">
        <v>0.25219999999999998</v>
      </c>
      <c r="F6789" s="1">
        <v>0.48549999999999999</v>
      </c>
      <c r="G6789" s="1">
        <v>0.19969999999999999</v>
      </c>
      <c r="H6789" s="1">
        <v>0.3448</v>
      </c>
      <c r="I6789">
        <v>64</v>
      </c>
      <c r="J6789">
        <v>123</v>
      </c>
      <c r="K6789">
        <v>349</v>
      </c>
    </row>
    <row r="6790" spans="1:11">
      <c r="A6790" s="25" t="s">
        <v>189</v>
      </c>
      <c r="B6790" t="s">
        <v>195</v>
      </c>
      <c r="C6790" t="s">
        <v>1712</v>
      </c>
      <c r="D6790" s="1">
        <v>0.65039999999999998</v>
      </c>
      <c r="E6790" s="1">
        <v>0.7379</v>
      </c>
      <c r="F6790" s="1">
        <v>0.504</v>
      </c>
      <c r="G6790" s="1">
        <v>0.1017</v>
      </c>
      <c r="H6790" s="1">
        <v>0.63390000000000002</v>
      </c>
      <c r="I6790">
        <v>64</v>
      </c>
      <c r="J6790">
        <v>123</v>
      </c>
      <c r="K6790">
        <v>349</v>
      </c>
    </row>
    <row r="6791" spans="1:11">
      <c r="A6791" s="25" t="s">
        <v>189</v>
      </c>
      <c r="B6791" t="s">
        <v>196</v>
      </c>
      <c r="C6791" t="s">
        <v>243</v>
      </c>
      <c r="D6791" s="1">
        <v>3.0000000000000001E-3</v>
      </c>
      <c r="I6791">
        <v>77</v>
      </c>
      <c r="J6791">
        <v>102</v>
      </c>
      <c r="K6791">
        <v>349</v>
      </c>
    </row>
    <row r="6792" spans="1:11">
      <c r="A6792" s="25" t="s">
        <v>189</v>
      </c>
      <c r="B6792" t="s">
        <v>196</v>
      </c>
      <c r="C6792" t="s">
        <v>1711</v>
      </c>
      <c r="D6792" s="1">
        <v>0.54649999999999999</v>
      </c>
      <c r="E6792" s="1">
        <v>0.33829999999999999</v>
      </c>
      <c r="F6792" s="1">
        <v>0.501</v>
      </c>
      <c r="G6792" s="1">
        <v>0.125</v>
      </c>
      <c r="H6792" s="1">
        <v>0.35630000000000001</v>
      </c>
      <c r="I6792">
        <v>77</v>
      </c>
      <c r="J6792">
        <v>102</v>
      </c>
      <c r="K6792">
        <v>349</v>
      </c>
    </row>
    <row r="6793" spans="1:11">
      <c r="A6793" s="25" t="s">
        <v>189</v>
      </c>
      <c r="B6793" t="s">
        <v>196</v>
      </c>
      <c r="C6793" t="s">
        <v>1712</v>
      </c>
      <c r="D6793" s="1">
        <v>0.45050000000000001</v>
      </c>
      <c r="E6793" s="1">
        <v>0.6381</v>
      </c>
      <c r="F6793" s="1">
        <v>0.499</v>
      </c>
      <c r="G6793" s="1">
        <v>0.16639999999999999</v>
      </c>
      <c r="H6793" s="1">
        <v>0.62570000000000003</v>
      </c>
      <c r="I6793">
        <v>77</v>
      </c>
      <c r="J6793">
        <v>102</v>
      </c>
      <c r="K6793">
        <v>349</v>
      </c>
    </row>
    <row r="6794" spans="1:11">
      <c r="A6794" s="25" t="s">
        <v>192</v>
      </c>
      <c r="B6794" t="s">
        <v>192</v>
      </c>
      <c r="C6794" t="s">
        <v>241</v>
      </c>
      <c r="D6794" s="1">
        <v>1.2699999999999999E-2</v>
      </c>
      <c r="E6794" s="1">
        <v>2.0500000000000001E-2</v>
      </c>
      <c r="F6794" s="1">
        <v>1.9800000000000002E-2</v>
      </c>
      <c r="G6794" s="1">
        <v>2E-3</v>
      </c>
      <c r="H6794" s="1">
        <v>1.21E-2</v>
      </c>
      <c r="I6794">
        <v>349</v>
      </c>
      <c r="J6794">
        <v>349</v>
      </c>
      <c r="K6794">
        <v>349</v>
      </c>
    </row>
    <row r="6795" spans="1:11">
      <c r="A6795" s="25" t="s">
        <v>192</v>
      </c>
      <c r="B6795" t="s">
        <v>192</v>
      </c>
      <c r="C6795" t="s">
        <v>243</v>
      </c>
      <c r="D6795" s="1">
        <v>1E-3</v>
      </c>
      <c r="E6795" s="1">
        <v>5.0000000000000001E-4</v>
      </c>
      <c r="F6795" s="1">
        <v>4.0000000000000001E-3</v>
      </c>
      <c r="I6795">
        <v>349</v>
      </c>
      <c r="J6795">
        <v>349</v>
      </c>
      <c r="K6795">
        <v>349</v>
      </c>
    </row>
    <row r="6796" spans="1:11">
      <c r="A6796" s="25" t="s">
        <v>192</v>
      </c>
      <c r="B6796" t="s">
        <v>192</v>
      </c>
      <c r="C6796" t="s">
        <v>1711</v>
      </c>
      <c r="D6796" s="1">
        <v>0.34150000000000003</v>
      </c>
      <c r="E6796" s="1">
        <v>0.23230000000000001</v>
      </c>
      <c r="F6796" s="1">
        <v>0.37459999999999999</v>
      </c>
      <c r="G6796" s="1">
        <v>0.14949999999999999</v>
      </c>
      <c r="H6796" s="1">
        <v>0.30499999999999999</v>
      </c>
      <c r="I6796">
        <v>349</v>
      </c>
      <c r="J6796">
        <v>349</v>
      </c>
      <c r="K6796">
        <v>349</v>
      </c>
    </row>
    <row r="6797" spans="1:11">
      <c r="A6797" s="25" t="s">
        <v>192</v>
      </c>
      <c r="B6797" t="s">
        <v>192</v>
      </c>
      <c r="C6797" t="s">
        <v>1712</v>
      </c>
      <c r="D6797" s="1">
        <v>0.60750000000000004</v>
      </c>
      <c r="E6797" s="1">
        <v>0.74629999999999996</v>
      </c>
      <c r="F6797" s="1">
        <v>0.57950000000000002</v>
      </c>
      <c r="G6797" s="1">
        <v>0.1263</v>
      </c>
      <c r="H6797" s="1">
        <v>0.66600000000000004</v>
      </c>
      <c r="I6797">
        <v>349</v>
      </c>
      <c r="J6797">
        <v>349</v>
      </c>
      <c r="K6797">
        <v>349</v>
      </c>
    </row>
    <row r="6798" spans="1:11">
      <c r="A6798" s="25" t="s">
        <v>192</v>
      </c>
      <c r="B6798" t="s">
        <v>192</v>
      </c>
      <c r="C6798" t="s">
        <v>1713</v>
      </c>
      <c r="D6798" s="1">
        <v>3.7400000000000003E-2</v>
      </c>
      <c r="E6798" s="1">
        <v>4.0000000000000002E-4</v>
      </c>
      <c r="F6798" s="1">
        <v>2.2100000000000002E-2</v>
      </c>
      <c r="G6798" s="1">
        <v>0.72209999999999996</v>
      </c>
      <c r="H6798" s="1">
        <v>1.6400000000000001E-2</v>
      </c>
      <c r="I6798">
        <v>349</v>
      </c>
      <c r="J6798">
        <v>349</v>
      </c>
      <c r="K6798">
        <v>349</v>
      </c>
    </row>
    <row r="6800" spans="1:11" ht="57.95">
      <c r="A6800" s="25" t="s">
        <v>1726</v>
      </c>
    </row>
    <row r="6801" spans="1:12">
      <c r="A6801" s="25" t="s">
        <v>182</v>
      </c>
      <c r="B6801" t="s">
        <v>219</v>
      </c>
      <c r="C6801" t="s">
        <v>181</v>
      </c>
      <c r="D6801" t="s">
        <v>188</v>
      </c>
      <c r="E6801" t="s">
        <v>1715</v>
      </c>
      <c r="F6801" t="s">
        <v>1716</v>
      </c>
      <c r="G6801" t="s">
        <v>1717</v>
      </c>
      <c r="H6801" t="s">
        <v>241</v>
      </c>
      <c r="I6801" t="s">
        <v>1718</v>
      </c>
      <c r="J6801" t="s">
        <v>1719</v>
      </c>
      <c r="K6801" t="s">
        <v>1720</v>
      </c>
      <c r="L6801" t="s">
        <v>243</v>
      </c>
    </row>
    <row r="6802" spans="1:12" ht="29.1">
      <c r="A6802" s="25" t="s">
        <v>194</v>
      </c>
      <c r="B6802">
        <v>5954</v>
      </c>
      <c r="C6802" t="s">
        <v>189</v>
      </c>
      <c r="D6802">
        <v>10433</v>
      </c>
      <c r="E6802" s="1">
        <v>3.3300000000000003E-2</v>
      </c>
      <c r="F6802" s="1">
        <v>2.6100000000000002E-2</v>
      </c>
      <c r="G6802" s="1">
        <v>2.7E-2</v>
      </c>
      <c r="H6802" s="1">
        <v>4.3E-3</v>
      </c>
      <c r="I6802" s="1">
        <v>1.72E-2</v>
      </c>
      <c r="J6802" s="1">
        <v>0.159</v>
      </c>
      <c r="K6802" s="1">
        <v>0.73070000000000002</v>
      </c>
      <c r="L6802" s="1">
        <v>2.3999999999999998E-3</v>
      </c>
    </row>
    <row r="6803" spans="1:12" ht="29.1">
      <c r="A6803" s="25" t="s">
        <v>195</v>
      </c>
      <c r="B6803">
        <v>2703</v>
      </c>
      <c r="C6803" t="s">
        <v>189</v>
      </c>
      <c r="D6803">
        <v>10433</v>
      </c>
      <c r="E6803" s="1">
        <v>8.3400000000000002E-2</v>
      </c>
      <c r="F6803" s="1">
        <v>8.2799999999999999E-2</v>
      </c>
      <c r="G6803" s="1">
        <v>6.1199999999999997E-2</v>
      </c>
      <c r="H6803" s="1">
        <v>5.1000000000000004E-3</v>
      </c>
      <c r="I6803" s="1">
        <v>7.9000000000000001E-2</v>
      </c>
      <c r="J6803" s="1">
        <v>0.245</v>
      </c>
      <c r="K6803" s="1">
        <v>0.4425</v>
      </c>
      <c r="L6803" s="1">
        <v>1E-3</v>
      </c>
    </row>
    <row r="6804" spans="1:12" ht="29.1">
      <c r="A6804" s="25" t="s">
        <v>196</v>
      </c>
      <c r="B6804">
        <v>1719</v>
      </c>
      <c r="C6804" t="s">
        <v>189</v>
      </c>
      <c r="D6804">
        <v>10433</v>
      </c>
      <c r="E6804" s="1">
        <v>0.16</v>
      </c>
      <c r="F6804" s="1">
        <v>8.7599999999999997E-2</v>
      </c>
      <c r="G6804" s="1">
        <v>7.9699999999999993E-2</v>
      </c>
      <c r="H6804" s="1">
        <v>3.2000000000000002E-3</v>
      </c>
      <c r="I6804" s="1">
        <v>0.1867</v>
      </c>
      <c r="J6804" s="1">
        <v>0.29909999999999998</v>
      </c>
      <c r="K6804" s="1">
        <v>0.18360000000000001</v>
      </c>
    </row>
    <row r="6805" spans="1:12">
      <c r="A6805" s="25" t="s">
        <v>192</v>
      </c>
      <c r="B6805">
        <v>10433</v>
      </c>
      <c r="C6805" t="s">
        <v>192</v>
      </c>
      <c r="D6805">
        <v>10433</v>
      </c>
      <c r="E6805" s="1">
        <v>5.4899999999999997E-2</v>
      </c>
      <c r="F6805" s="1">
        <v>4.2799999999999998E-2</v>
      </c>
      <c r="G6805" s="1">
        <v>3.8600000000000002E-2</v>
      </c>
      <c r="H6805" s="1">
        <v>4.4000000000000003E-3</v>
      </c>
      <c r="I6805" s="1">
        <v>4.53E-2</v>
      </c>
      <c r="J6805" s="1">
        <v>0.18870000000000001</v>
      </c>
      <c r="K6805" s="1">
        <v>0.62329999999999997</v>
      </c>
      <c r="L6805" s="1">
        <v>1.9E-3</v>
      </c>
    </row>
    <row r="6807" spans="1:12" ht="43.5">
      <c r="A6807" s="25" t="s">
        <v>1727</v>
      </c>
    </row>
    <row r="6808" spans="1:12">
      <c r="A6808" s="25" t="s">
        <v>181</v>
      </c>
      <c r="B6808" t="s">
        <v>182</v>
      </c>
      <c r="C6808" t="s">
        <v>1015</v>
      </c>
      <c r="D6808" t="s">
        <v>1706</v>
      </c>
      <c r="E6808" t="s">
        <v>1707</v>
      </c>
      <c r="F6808" t="s">
        <v>1708</v>
      </c>
      <c r="G6808" t="s">
        <v>1709</v>
      </c>
      <c r="H6808" t="s">
        <v>1710</v>
      </c>
      <c r="I6808" t="s">
        <v>1026</v>
      </c>
      <c r="J6808" t="s">
        <v>219</v>
      </c>
      <c r="K6808" t="s">
        <v>188</v>
      </c>
    </row>
    <row r="6809" spans="1:12">
      <c r="A6809" s="25" t="s">
        <v>189</v>
      </c>
      <c r="B6809" t="s">
        <v>198</v>
      </c>
      <c r="C6809" t="s">
        <v>241</v>
      </c>
      <c r="D6809" s="1">
        <v>2.4400000000000002E-2</v>
      </c>
      <c r="E6809" s="1">
        <v>3.5999999999999997E-2</v>
      </c>
      <c r="F6809" s="1">
        <v>2.4400000000000002E-2</v>
      </c>
      <c r="G6809" s="1">
        <v>1.9800000000000002E-2</v>
      </c>
      <c r="H6809" s="1">
        <v>1.7000000000000001E-2</v>
      </c>
      <c r="I6809">
        <v>50</v>
      </c>
      <c r="J6809">
        <v>88</v>
      </c>
      <c r="K6809">
        <v>349</v>
      </c>
    </row>
    <row r="6810" spans="1:12">
      <c r="A6810" s="25" t="s">
        <v>189</v>
      </c>
      <c r="B6810" t="s">
        <v>198</v>
      </c>
      <c r="C6810" t="s">
        <v>1711</v>
      </c>
      <c r="D6810" s="1">
        <v>0.48399999999999999</v>
      </c>
      <c r="E6810" s="1">
        <v>0.20119999999999999</v>
      </c>
      <c r="F6810" s="1">
        <v>0.40100000000000002</v>
      </c>
      <c r="G6810" s="1">
        <v>0.16120000000000001</v>
      </c>
      <c r="H6810" s="1">
        <v>0.28989999999999999</v>
      </c>
      <c r="I6810">
        <v>50</v>
      </c>
      <c r="J6810">
        <v>88</v>
      </c>
      <c r="K6810">
        <v>349</v>
      </c>
    </row>
    <row r="6811" spans="1:12">
      <c r="A6811" s="25" t="s">
        <v>189</v>
      </c>
      <c r="B6811" t="s">
        <v>198</v>
      </c>
      <c r="C6811" t="s">
        <v>1712</v>
      </c>
      <c r="D6811" s="1">
        <v>0.49159999999999998</v>
      </c>
      <c r="E6811" s="1">
        <v>0.76280000000000003</v>
      </c>
      <c r="F6811" s="1">
        <v>0.5675</v>
      </c>
      <c r="G6811" s="1">
        <v>0.13880000000000001</v>
      </c>
      <c r="H6811" s="1">
        <v>0.67679999999999996</v>
      </c>
      <c r="I6811">
        <v>50</v>
      </c>
      <c r="J6811">
        <v>88</v>
      </c>
      <c r="K6811">
        <v>349</v>
      </c>
    </row>
    <row r="6812" spans="1:12">
      <c r="A6812" s="25" t="s">
        <v>189</v>
      </c>
      <c r="B6812" t="s">
        <v>199</v>
      </c>
      <c r="C6812" t="s">
        <v>241</v>
      </c>
      <c r="D6812" s="1">
        <v>9.4999999999999998E-3</v>
      </c>
      <c r="E6812" s="1">
        <v>1.3899999999999999E-2</v>
      </c>
      <c r="F6812" s="1">
        <v>1.7999999999999999E-2</v>
      </c>
      <c r="G6812" s="1">
        <v>2.9999999999999997E-4</v>
      </c>
      <c r="H6812" s="1">
        <v>9.4999999999999998E-3</v>
      </c>
      <c r="I6812">
        <v>182</v>
      </c>
      <c r="J6812">
        <v>261</v>
      </c>
      <c r="K6812">
        <v>349</v>
      </c>
    </row>
    <row r="6813" spans="1:12">
      <c r="A6813" s="25" t="s">
        <v>189</v>
      </c>
      <c r="B6813" t="s">
        <v>199</v>
      </c>
      <c r="C6813" t="s">
        <v>243</v>
      </c>
      <c r="D6813" s="1">
        <v>1.2999999999999999E-3</v>
      </c>
      <c r="E6813" s="1">
        <v>6.9999999999999999E-4</v>
      </c>
      <c r="F6813" s="1">
        <v>5.5999999999999999E-3</v>
      </c>
      <c r="I6813">
        <v>182</v>
      </c>
      <c r="J6813">
        <v>261</v>
      </c>
      <c r="K6813">
        <v>349</v>
      </c>
    </row>
    <row r="6814" spans="1:12">
      <c r="A6814" s="25" t="s">
        <v>189</v>
      </c>
      <c r="B6814" t="s">
        <v>199</v>
      </c>
      <c r="C6814" t="s">
        <v>1711</v>
      </c>
      <c r="D6814" s="1">
        <v>0.3024</v>
      </c>
      <c r="E6814" s="1">
        <v>0.2457</v>
      </c>
      <c r="F6814" s="1">
        <v>0.36459999999999998</v>
      </c>
      <c r="G6814" s="1">
        <v>0.1484</v>
      </c>
      <c r="H6814" s="1">
        <v>0.31290000000000001</v>
      </c>
      <c r="I6814">
        <v>182</v>
      </c>
      <c r="J6814">
        <v>261</v>
      </c>
      <c r="K6814">
        <v>349</v>
      </c>
    </row>
    <row r="6815" spans="1:12">
      <c r="A6815" s="25" t="s">
        <v>189</v>
      </c>
      <c r="B6815" t="s">
        <v>199</v>
      </c>
      <c r="C6815" t="s">
        <v>1712</v>
      </c>
      <c r="D6815" s="1">
        <v>0.63919999999999999</v>
      </c>
      <c r="E6815" s="1">
        <v>0.73909999999999998</v>
      </c>
      <c r="F6815" s="1">
        <v>0.58409999999999995</v>
      </c>
      <c r="G6815" s="1">
        <v>0.12509999999999999</v>
      </c>
      <c r="H6815" s="1">
        <v>0.66039999999999999</v>
      </c>
      <c r="I6815">
        <v>182</v>
      </c>
      <c r="J6815">
        <v>261</v>
      </c>
      <c r="K6815">
        <v>349</v>
      </c>
    </row>
    <row r="6816" spans="1:12">
      <c r="A6816" s="25" t="s">
        <v>189</v>
      </c>
      <c r="B6816" t="s">
        <v>199</v>
      </c>
      <c r="C6816" t="s">
        <v>1713</v>
      </c>
      <c r="D6816" s="1">
        <v>4.7600000000000003E-2</v>
      </c>
      <c r="E6816" s="1">
        <v>5.9999999999999995E-4</v>
      </c>
      <c r="F6816" s="1">
        <v>2.7799999999999998E-2</v>
      </c>
      <c r="G6816" s="1">
        <v>0.72619999999999996</v>
      </c>
      <c r="H6816" s="1">
        <v>1.7299999999999999E-2</v>
      </c>
      <c r="I6816">
        <v>182</v>
      </c>
      <c r="J6816">
        <v>261</v>
      </c>
      <c r="K6816">
        <v>349</v>
      </c>
    </row>
    <row r="6817" spans="1:12">
      <c r="A6817" s="25" t="s">
        <v>192</v>
      </c>
      <c r="B6817" t="s">
        <v>192</v>
      </c>
      <c r="C6817" t="s">
        <v>241</v>
      </c>
      <c r="D6817" s="1">
        <v>1.2699999999999999E-2</v>
      </c>
      <c r="E6817" s="1">
        <v>2.0500000000000001E-2</v>
      </c>
      <c r="F6817" s="1">
        <v>1.9800000000000002E-2</v>
      </c>
      <c r="G6817" s="1">
        <v>2E-3</v>
      </c>
      <c r="H6817" s="1">
        <v>1.21E-2</v>
      </c>
      <c r="I6817">
        <v>349</v>
      </c>
      <c r="J6817">
        <v>349</v>
      </c>
      <c r="K6817">
        <v>349</v>
      </c>
    </row>
    <row r="6818" spans="1:12">
      <c r="A6818" s="25" t="s">
        <v>192</v>
      </c>
      <c r="B6818" t="s">
        <v>192</v>
      </c>
      <c r="C6818" t="s">
        <v>243</v>
      </c>
      <c r="D6818" s="1">
        <v>1E-3</v>
      </c>
      <c r="E6818" s="1">
        <v>5.0000000000000001E-4</v>
      </c>
      <c r="F6818" s="1">
        <v>4.0000000000000001E-3</v>
      </c>
      <c r="I6818">
        <v>349</v>
      </c>
      <c r="J6818">
        <v>349</v>
      </c>
      <c r="K6818">
        <v>349</v>
      </c>
    </row>
    <row r="6819" spans="1:12">
      <c r="A6819" s="25" t="s">
        <v>192</v>
      </c>
      <c r="B6819" t="s">
        <v>192</v>
      </c>
      <c r="C6819" t="s">
        <v>1711</v>
      </c>
      <c r="D6819" s="1">
        <v>0.34150000000000003</v>
      </c>
      <c r="E6819" s="1">
        <v>0.23230000000000001</v>
      </c>
      <c r="F6819" s="1">
        <v>0.37459999999999999</v>
      </c>
      <c r="G6819" s="1">
        <v>0.14949999999999999</v>
      </c>
      <c r="H6819" s="1">
        <v>0.30499999999999999</v>
      </c>
      <c r="I6819">
        <v>349</v>
      </c>
      <c r="J6819">
        <v>349</v>
      </c>
      <c r="K6819">
        <v>349</v>
      </c>
    </row>
    <row r="6820" spans="1:12">
      <c r="A6820" s="25" t="s">
        <v>192</v>
      </c>
      <c r="B6820" t="s">
        <v>192</v>
      </c>
      <c r="C6820" t="s">
        <v>1712</v>
      </c>
      <c r="D6820" s="1">
        <v>0.60750000000000004</v>
      </c>
      <c r="E6820" s="1">
        <v>0.74629999999999996</v>
      </c>
      <c r="F6820" s="1">
        <v>0.57950000000000002</v>
      </c>
      <c r="G6820" s="1">
        <v>0.1263</v>
      </c>
      <c r="H6820" s="1">
        <v>0.66600000000000004</v>
      </c>
      <c r="I6820">
        <v>349</v>
      </c>
      <c r="J6820">
        <v>349</v>
      </c>
      <c r="K6820">
        <v>349</v>
      </c>
    </row>
    <row r="6821" spans="1:12">
      <c r="A6821" s="25" t="s">
        <v>192</v>
      </c>
      <c r="B6821" t="s">
        <v>192</v>
      </c>
      <c r="C6821" t="s">
        <v>1713</v>
      </c>
      <c r="D6821" s="1">
        <v>3.7400000000000003E-2</v>
      </c>
      <c r="E6821" s="1">
        <v>4.0000000000000002E-4</v>
      </c>
      <c r="F6821" s="1">
        <v>2.2100000000000002E-2</v>
      </c>
      <c r="G6821" s="1">
        <v>0.72209999999999996</v>
      </c>
      <c r="H6821" s="1">
        <v>1.6400000000000001E-2</v>
      </c>
      <c r="I6821">
        <v>349</v>
      </c>
      <c r="J6821">
        <v>349</v>
      </c>
      <c r="K6821">
        <v>349</v>
      </c>
    </row>
    <row r="6823" spans="1:12" ht="57.95">
      <c r="A6823" s="25" t="s">
        <v>1728</v>
      </c>
    </row>
    <row r="6824" spans="1:12">
      <c r="A6824" s="25" t="s">
        <v>182</v>
      </c>
      <c r="B6824" t="s">
        <v>219</v>
      </c>
      <c r="C6824" t="s">
        <v>181</v>
      </c>
      <c r="D6824" t="s">
        <v>188</v>
      </c>
      <c r="E6824" t="s">
        <v>1715</v>
      </c>
      <c r="F6824" t="s">
        <v>1716</v>
      </c>
      <c r="G6824" t="s">
        <v>1717</v>
      </c>
      <c r="H6824" t="s">
        <v>241</v>
      </c>
      <c r="I6824" t="s">
        <v>1718</v>
      </c>
      <c r="J6824" t="s">
        <v>1719</v>
      </c>
      <c r="K6824" t="s">
        <v>1720</v>
      </c>
      <c r="L6824" t="s">
        <v>243</v>
      </c>
    </row>
    <row r="6825" spans="1:12">
      <c r="A6825" s="25" t="s">
        <v>198</v>
      </c>
      <c r="B6825">
        <v>2264</v>
      </c>
      <c r="C6825" t="s">
        <v>189</v>
      </c>
      <c r="D6825">
        <v>10433</v>
      </c>
      <c r="E6825" s="1">
        <v>9.98E-2</v>
      </c>
      <c r="F6825" s="1">
        <v>4.9299999999999997E-2</v>
      </c>
      <c r="G6825" s="1">
        <v>5.2400000000000002E-2</v>
      </c>
      <c r="H6825" s="1">
        <v>2.8E-3</v>
      </c>
      <c r="I6825" s="1">
        <v>8.0600000000000005E-2</v>
      </c>
      <c r="J6825" s="1">
        <v>0.22620000000000001</v>
      </c>
      <c r="K6825" s="1">
        <v>0.48730000000000001</v>
      </c>
      <c r="L6825" s="1">
        <v>1.6000000000000001E-3</v>
      </c>
    </row>
    <row r="6826" spans="1:12">
      <c r="A6826" s="25" t="s">
        <v>199</v>
      </c>
      <c r="B6826">
        <v>8169</v>
      </c>
      <c r="C6826" t="s">
        <v>189</v>
      </c>
      <c r="D6826">
        <v>10433</v>
      </c>
      <c r="E6826" s="1">
        <v>4.48E-2</v>
      </c>
      <c r="F6826" s="1">
        <v>4.1300000000000003E-2</v>
      </c>
      <c r="G6826" s="1">
        <v>3.56E-2</v>
      </c>
      <c r="H6826" s="1">
        <v>4.7999999999999996E-3</v>
      </c>
      <c r="I6826" s="1">
        <v>3.7400000000000003E-2</v>
      </c>
      <c r="J6826" s="1">
        <v>0.18029999999999999</v>
      </c>
      <c r="K6826" s="1">
        <v>0.65380000000000005</v>
      </c>
      <c r="L6826" s="1">
        <v>2E-3</v>
      </c>
    </row>
    <row r="6827" spans="1:12">
      <c r="A6827" s="25" t="s">
        <v>192</v>
      </c>
      <c r="B6827">
        <v>10433</v>
      </c>
      <c r="C6827" t="s">
        <v>192</v>
      </c>
      <c r="D6827">
        <v>10433</v>
      </c>
      <c r="E6827" s="1">
        <v>5.4899999999999997E-2</v>
      </c>
      <c r="F6827" s="1">
        <v>4.2799999999999998E-2</v>
      </c>
      <c r="G6827" s="1">
        <v>3.8600000000000002E-2</v>
      </c>
      <c r="H6827" s="1">
        <v>4.4000000000000003E-3</v>
      </c>
      <c r="I6827" s="1">
        <v>4.53E-2</v>
      </c>
      <c r="J6827" s="1">
        <v>0.18870000000000001</v>
      </c>
      <c r="K6827" s="1">
        <v>0.62329999999999997</v>
      </c>
      <c r="L6827" s="1">
        <v>1.9E-3</v>
      </c>
    </row>
    <row r="6829" spans="1:12" ht="43.5">
      <c r="A6829" s="25" t="s">
        <v>1729</v>
      </c>
    </row>
    <row r="6830" spans="1:12">
      <c r="A6830" s="25" t="s">
        <v>181</v>
      </c>
      <c r="B6830" t="s">
        <v>182</v>
      </c>
      <c r="C6830" t="s">
        <v>1015</v>
      </c>
      <c r="D6830" t="s">
        <v>1706</v>
      </c>
      <c r="E6830" t="s">
        <v>1707</v>
      </c>
      <c r="F6830" t="s">
        <v>1708</v>
      </c>
      <c r="G6830" t="s">
        <v>1709</v>
      </c>
      <c r="H6830" t="s">
        <v>1710</v>
      </c>
      <c r="I6830" t="s">
        <v>1026</v>
      </c>
      <c r="J6830" t="s">
        <v>219</v>
      </c>
      <c r="K6830" t="s">
        <v>188</v>
      </c>
    </row>
    <row r="6831" spans="1:12">
      <c r="A6831" s="25" t="s">
        <v>189</v>
      </c>
      <c r="B6831" t="s">
        <v>201</v>
      </c>
      <c r="C6831" t="s">
        <v>241</v>
      </c>
      <c r="D6831" s="1">
        <v>2.1899999999999999E-2</v>
      </c>
      <c r="E6831" s="1">
        <v>1.3299999999999999E-2</v>
      </c>
      <c r="H6831" s="1">
        <v>7.9500000000000001E-2</v>
      </c>
      <c r="I6831">
        <v>56</v>
      </c>
      <c r="J6831">
        <v>61</v>
      </c>
      <c r="K6831">
        <v>349</v>
      </c>
    </row>
    <row r="6832" spans="1:12">
      <c r="A6832" s="25" t="s">
        <v>189</v>
      </c>
      <c r="B6832" t="s">
        <v>201</v>
      </c>
      <c r="C6832" t="s">
        <v>243</v>
      </c>
      <c r="D6832" s="1">
        <v>4.1000000000000003E-3</v>
      </c>
      <c r="I6832">
        <v>56</v>
      </c>
      <c r="J6832">
        <v>61</v>
      </c>
      <c r="K6832">
        <v>349</v>
      </c>
    </row>
    <row r="6833" spans="1:11">
      <c r="A6833" s="25" t="s">
        <v>189</v>
      </c>
      <c r="B6833" t="s">
        <v>201</v>
      </c>
      <c r="C6833" t="s">
        <v>1711</v>
      </c>
      <c r="D6833" s="1">
        <v>0.33439999999999998</v>
      </c>
      <c r="E6833" s="1">
        <v>0.29749999999999999</v>
      </c>
      <c r="F6833" s="1">
        <v>0.4985</v>
      </c>
      <c r="G6833" s="1">
        <v>0.2495</v>
      </c>
      <c r="H6833" s="1">
        <v>0.32779999999999998</v>
      </c>
      <c r="I6833">
        <v>56</v>
      </c>
      <c r="J6833">
        <v>61</v>
      </c>
      <c r="K6833">
        <v>349</v>
      </c>
    </row>
    <row r="6834" spans="1:11">
      <c r="A6834" s="25" t="s">
        <v>189</v>
      </c>
      <c r="B6834" t="s">
        <v>201</v>
      </c>
      <c r="C6834" t="s">
        <v>1712</v>
      </c>
      <c r="D6834" s="1">
        <v>0.50949999999999995</v>
      </c>
      <c r="E6834" s="1">
        <v>0.68920000000000003</v>
      </c>
      <c r="F6834" s="1">
        <v>0.40610000000000002</v>
      </c>
      <c r="G6834" s="1">
        <v>9.1800000000000007E-2</v>
      </c>
      <c r="H6834" s="1">
        <v>0.58579999999999999</v>
      </c>
      <c r="I6834">
        <v>56</v>
      </c>
      <c r="J6834">
        <v>61</v>
      </c>
      <c r="K6834">
        <v>349</v>
      </c>
    </row>
    <row r="6835" spans="1:11">
      <c r="A6835" s="25" t="s">
        <v>189</v>
      </c>
      <c r="B6835" t="s">
        <v>201</v>
      </c>
      <c r="C6835" t="s">
        <v>1713</v>
      </c>
      <c r="D6835" s="1">
        <v>0.13009999999999999</v>
      </c>
      <c r="F6835" s="1">
        <v>9.5399999999999999E-2</v>
      </c>
      <c r="G6835" s="1">
        <v>0.65869999999999995</v>
      </c>
      <c r="H6835" s="1">
        <v>6.8999999999999999E-3</v>
      </c>
      <c r="I6835">
        <v>56</v>
      </c>
      <c r="J6835">
        <v>61</v>
      </c>
      <c r="K6835">
        <v>349</v>
      </c>
    </row>
    <row r="6836" spans="1:11">
      <c r="A6836" s="25" t="s">
        <v>189</v>
      </c>
      <c r="B6836" t="s">
        <v>202</v>
      </c>
      <c r="C6836" t="s">
        <v>1711</v>
      </c>
      <c r="D6836" s="1">
        <v>0.48980000000000001</v>
      </c>
      <c r="E6836" s="1">
        <v>0.36370000000000002</v>
      </c>
      <c r="F6836" s="1">
        <v>0.4723</v>
      </c>
      <c r="G6836" s="1">
        <v>1</v>
      </c>
      <c r="H6836" s="1">
        <v>0.1971</v>
      </c>
      <c r="I6836">
        <v>3</v>
      </c>
      <c r="J6836">
        <v>4</v>
      </c>
      <c r="K6836">
        <v>349</v>
      </c>
    </row>
    <row r="6837" spans="1:11">
      <c r="A6837" s="25" t="s">
        <v>189</v>
      </c>
      <c r="B6837" t="s">
        <v>202</v>
      </c>
      <c r="C6837" t="s">
        <v>1712</v>
      </c>
      <c r="D6837" s="1">
        <v>0.51019999999999999</v>
      </c>
      <c r="E6837" s="1">
        <v>0.63629999999999998</v>
      </c>
      <c r="F6837" s="1">
        <v>0.52769999999999995</v>
      </c>
      <c r="H6837" s="1">
        <v>0.80289999999999995</v>
      </c>
      <c r="I6837">
        <v>3</v>
      </c>
      <c r="J6837">
        <v>4</v>
      </c>
      <c r="K6837">
        <v>349</v>
      </c>
    </row>
    <row r="6838" spans="1:11">
      <c r="A6838" s="25" t="s">
        <v>189</v>
      </c>
      <c r="B6838" t="s">
        <v>203</v>
      </c>
      <c r="C6838" t="s">
        <v>241</v>
      </c>
      <c r="D6838" s="1">
        <v>1.3100000000000001E-2</v>
      </c>
      <c r="E6838" s="1">
        <v>1.9199999999999998E-2</v>
      </c>
      <c r="F6838" s="1">
        <v>2.7400000000000001E-2</v>
      </c>
      <c r="H6838" s="1">
        <v>7.6E-3</v>
      </c>
      <c r="I6838">
        <v>132</v>
      </c>
      <c r="J6838">
        <v>209</v>
      </c>
      <c r="K6838">
        <v>349</v>
      </c>
    </row>
    <row r="6839" spans="1:11">
      <c r="A6839" s="25" t="s">
        <v>189</v>
      </c>
      <c r="B6839" t="s">
        <v>203</v>
      </c>
      <c r="C6839" t="s">
        <v>1711</v>
      </c>
      <c r="D6839" s="1">
        <v>0.33579999999999999</v>
      </c>
      <c r="E6839" s="1">
        <v>0.2109</v>
      </c>
      <c r="F6839" s="1">
        <v>0.34939999999999999</v>
      </c>
      <c r="G6839" s="1">
        <v>0.1133</v>
      </c>
      <c r="H6839" s="1">
        <v>0.31059999999999999</v>
      </c>
      <c r="I6839">
        <v>132</v>
      </c>
      <c r="J6839">
        <v>209</v>
      </c>
      <c r="K6839">
        <v>349</v>
      </c>
    </row>
    <row r="6840" spans="1:11">
      <c r="A6840" s="25" t="s">
        <v>189</v>
      </c>
      <c r="B6840" t="s">
        <v>203</v>
      </c>
      <c r="C6840" t="s">
        <v>1712</v>
      </c>
      <c r="D6840" s="1">
        <v>0.64039999999999997</v>
      </c>
      <c r="E6840" s="1">
        <v>0.76870000000000005</v>
      </c>
      <c r="F6840" s="1">
        <v>0.61070000000000002</v>
      </c>
      <c r="G6840" s="1">
        <v>0.13980000000000001</v>
      </c>
      <c r="H6840" s="1">
        <v>0.6633</v>
      </c>
      <c r="I6840">
        <v>132</v>
      </c>
      <c r="J6840">
        <v>209</v>
      </c>
      <c r="K6840">
        <v>349</v>
      </c>
    </row>
    <row r="6841" spans="1:11">
      <c r="A6841" s="25" t="s">
        <v>189</v>
      </c>
      <c r="B6841" t="s">
        <v>203</v>
      </c>
      <c r="C6841" t="s">
        <v>1713</v>
      </c>
      <c r="D6841" s="1">
        <v>1.0699999999999999E-2</v>
      </c>
      <c r="E6841" s="1">
        <v>5.9999999999999995E-4</v>
      </c>
      <c r="F6841" s="1">
        <v>6.7000000000000002E-3</v>
      </c>
      <c r="G6841" s="1">
        <v>0.74690000000000001</v>
      </c>
      <c r="H6841" s="1">
        <v>1.78E-2</v>
      </c>
      <c r="I6841">
        <v>132</v>
      </c>
      <c r="J6841">
        <v>209</v>
      </c>
      <c r="K6841">
        <v>349</v>
      </c>
    </row>
    <row r="6842" spans="1:11">
      <c r="A6842" s="25" t="s">
        <v>189</v>
      </c>
      <c r="B6842" t="s">
        <v>204</v>
      </c>
      <c r="C6842" t="s">
        <v>1712</v>
      </c>
      <c r="D6842" s="1">
        <v>1</v>
      </c>
      <c r="E6842" s="1">
        <v>0.751</v>
      </c>
      <c r="F6842" s="1">
        <v>0.73540000000000005</v>
      </c>
      <c r="H6842" s="1">
        <v>1</v>
      </c>
      <c r="I6842">
        <v>0</v>
      </c>
      <c r="J6842">
        <v>2</v>
      </c>
      <c r="K6842">
        <v>349</v>
      </c>
    </row>
    <row r="6843" spans="1:11">
      <c r="A6843" s="25" t="s">
        <v>189</v>
      </c>
      <c r="B6843" t="s">
        <v>205</v>
      </c>
      <c r="C6843" t="s">
        <v>1711</v>
      </c>
      <c r="D6843" s="1">
        <v>0.36330000000000001</v>
      </c>
      <c r="E6843" s="1">
        <v>0.24590000000000001</v>
      </c>
      <c r="F6843" s="1">
        <v>0.33160000000000001</v>
      </c>
      <c r="G6843" s="1">
        <v>0.1618</v>
      </c>
      <c r="H6843" s="1">
        <v>0.23319999999999999</v>
      </c>
      <c r="I6843">
        <v>41</v>
      </c>
      <c r="J6843">
        <v>73</v>
      </c>
      <c r="K6843">
        <v>349</v>
      </c>
    </row>
    <row r="6844" spans="1:11">
      <c r="A6844" s="25" t="s">
        <v>189</v>
      </c>
      <c r="B6844" t="s">
        <v>205</v>
      </c>
      <c r="C6844" t="s">
        <v>1712</v>
      </c>
      <c r="D6844" s="1">
        <v>0.63670000000000004</v>
      </c>
      <c r="E6844" s="1">
        <v>0.71479999999999999</v>
      </c>
      <c r="F6844" s="1">
        <v>0.66090000000000004</v>
      </c>
      <c r="G6844" s="1">
        <v>0.1137</v>
      </c>
      <c r="H6844" s="1">
        <v>0.75619999999999998</v>
      </c>
      <c r="I6844">
        <v>41</v>
      </c>
      <c r="J6844">
        <v>73</v>
      </c>
      <c r="K6844">
        <v>349</v>
      </c>
    </row>
    <row r="6845" spans="1:11">
      <c r="A6845" s="25" t="s">
        <v>192</v>
      </c>
      <c r="B6845" t="s">
        <v>192</v>
      </c>
      <c r="C6845" t="s">
        <v>241</v>
      </c>
      <c r="D6845" s="1">
        <v>1.2699999999999999E-2</v>
      </c>
      <c r="E6845" s="1">
        <v>2.0500000000000001E-2</v>
      </c>
      <c r="F6845" s="1">
        <v>1.9800000000000002E-2</v>
      </c>
      <c r="G6845" s="1">
        <v>2E-3</v>
      </c>
      <c r="H6845" s="1">
        <v>1.21E-2</v>
      </c>
      <c r="I6845">
        <v>349</v>
      </c>
      <c r="J6845">
        <v>349</v>
      </c>
      <c r="K6845">
        <v>349</v>
      </c>
    </row>
    <row r="6846" spans="1:11">
      <c r="A6846" s="25" t="s">
        <v>192</v>
      </c>
      <c r="B6846" t="s">
        <v>192</v>
      </c>
      <c r="C6846" t="s">
        <v>243</v>
      </c>
      <c r="D6846" s="1">
        <v>1E-3</v>
      </c>
      <c r="E6846" s="1">
        <v>5.0000000000000001E-4</v>
      </c>
      <c r="F6846" s="1">
        <v>4.0000000000000001E-3</v>
      </c>
      <c r="I6846">
        <v>349</v>
      </c>
      <c r="J6846">
        <v>349</v>
      </c>
      <c r="K6846">
        <v>349</v>
      </c>
    </row>
    <row r="6847" spans="1:11">
      <c r="A6847" s="25" t="s">
        <v>192</v>
      </c>
      <c r="B6847" t="s">
        <v>192</v>
      </c>
      <c r="C6847" t="s">
        <v>1711</v>
      </c>
      <c r="D6847" s="1">
        <v>0.34150000000000003</v>
      </c>
      <c r="E6847" s="1">
        <v>0.23230000000000001</v>
      </c>
      <c r="F6847" s="1">
        <v>0.37459999999999999</v>
      </c>
      <c r="G6847" s="1">
        <v>0.14949999999999999</v>
      </c>
      <c r="H6847" s="1">
        <v>0.30499999999999999</v>
      </c>
      <c r="I6847">
        <v>349</v>
      </c>
      <c r="J6847">
        <v>349</v>
      </c>
      <c r="K6847">
        <v>349</v>
      </c>
    </row>
    <row r="6848" spans="1:11">
      <c r="A6848" s="25" t="s">
        <v>192</v>
      </c>
      <c r="B6848" t="s">
        <v>192</v>
      </c>
      <c r="C6848" t="s">
        <v>1712</v>
      </c>
      <c r="D6848" s="1">
        <v>0.60750000000000004</v>
      </c>
      <c r="E6848" s="1">
        <v>0.74629999999999996</v>
      </c>
      <c r="F6848" s="1">
        <v>0.57950000000000002</v>
      </c>
      <c r="G6848" s="1">
        <v>0.1263</v>
      </c>
      <c r="H6848" s="1">
        <v>0.66600000000000004</v>
      </c>
      <c r="I6848">
        <v>349</v>
      </c>
      <c r="J6848">
        <v>349</v>
      </c>
      <c r="K6848">
        <v>349</v>
      </c>
    </row>
    <row r="6849" spans="1:12">
      <c r="A6849" s="25" t="s">
        <v>192</v>
      </c>
      <c r="B6849" t="s">
        <v>192</v>
      </c>
      <c r="C6849" t="s">
        <v>1713</v>
      </c>
      <c r="D6849" s="1">
        <v>3.7400000000000003E-2</v>
      </c>
      <c r="E6849" s="1">
        <v>4.0000000000000002E-4</v>
      </c>
      <c r="F6849" s="1">
        <v>2.2100000000000002E-2</v>
      </c>
      <c r="G6849" s="1">
        <v>0.72209999999999996</v>
      </c>
      <c r="H6849" s="1">
        <v>1.6400000000000001E-2</v>
      </c>
      <c r="I6849">
        <v>349</v>
      </c>
      <c r="J6849">
        <v>349</v>
      </c>
      <c r="K6849">
        <v>349</v>
      </c>
    </row>
    <row r="6851" spans="1:12" ht="57.95">
      <c r="A6851" s="25" t="s">
        <v>1730</v>
      </c>
    </row>
    <row r="6852" spans="1:12">
      <c r="A6852" s="25" t="s">
        <v>182</v>
      </c>
      <c r="B6852" t="s">
        <v>219</v>
      </c>
      <c r="C6852" t="s">
        <v>181</v>
      </c>
      <c r="D6852" t="s">
        <v>188</v>
      </c>
      <c r="E6852" t="s">
        <v>1715</v>
      </c>
      <c r="F6852" t="s">
        <v>1716</v>
      </c>
      <c r="G6852" t="s">
        <v>1717</v>
      </c>
      <c r="H6852" t="s">
        <v>241</v>
      </c>
      <c r="I6852" t="s">
        <v>1718</v>
      </c>
      <c r="J6852" t="s">
        <v>1719</v>
      </c>
      <c r="K6852" t="s">
        <v>1720</v>
      </c>
      <c r="L6852" t="s">
        <v>243</v>
      </c>
    </row>
    <row r="6853" spans="1:12">
      <c r="A6853" s="25" t="s">
        <v>201</v>
      </c>
      <c r="B6853">
        <v>766</v>
      </c>
      <c r="C6853" t="s">
        <v>189</v>
      </c>
      <c r="D6853">
        <v>10433</v>
      </c>
      <c r="E6853" s="1">
        <v>0.2266</v>
      </c>
      <c r="F6853" s="1">
        <v>0.14630000000000001</v>
      </c>
      <c r="G6853" s="1">
        <v>0.1246</v>
      </c>
      <c r="H6853" s="1">
        <v>6.0000000000000001E-3</v>
      </c>
      <c r="I6853" s="1">
        <v>0.21659999999999999</v>
      </c>
      <c r="J6853" s="1">
        <v>0.18190000000000001</v>
      </c>
      <c r="K6853" s="1">
        <v>9.5799999999999996E-2</v>
      </c>
      <c r="L6853" s="1">
        <v>2.2000000000000001E-3</v>
      </c>
    </row>
    <row r="6854" spans="1:12">
      <c r="A6854" s="25" t="s">
        <v>202</v>
      </c>
      <c r="B6854">
        <v>110</v>
      </c>
      <c r="C6854" t="s">
        <v>189</v>
      </c>
      <c r="D6854">
        <v>10433</v>
      </c>
      <c r="E6854" s="1">
        <v>0.1547</v>
      </c>
      <c r="F6854" s="1">
        <v>8.3699999999999997E-2</v>
      </c>
      <c r="G6854" s="1">
        <v>0.1178</v>
      </c>
      <c r="I6854" s="1">
        <v>0.16259999999999999</v>
      </c>
      <c r="J6854" s="1">
        <v>0.15670000000000001</v>
      </c>
      <c r="K6854" s="1">
        <v>0.3246</v>
      </c>
    </row>
    <row r="6855" spans="1:12">
      <c r="A6855" s="25" t="s">
        <v>203</v>
      </c>
      <c r="B6855">
        <v>8042</v>
      </c>
      <c r="C6855" t="s">
        <v>189</v>
      </c>
      <c r="D6855">
        <v>10433</v>
      </c>
      <c r="E6855" s="1">
        <v>3.8600000000000002E-2</v>
      </c>
      <c r="F6855" s="1">
        <v>3.2000000000000001E-2</v>
      </c>
      <c r="G6855" s="1">
        <v>3.04E-2</v>
      </c>
      <c r="H6855" s="1">
        <v>4.7000000000000002E-3</v>
      </c>
      <c r="I6855" s="1">
        <v>2.8799999999999999E-2</v>
      </c>
      <c r="J6855" s="1">
        <v>0.1676</v>
      </c>
      <c r="K6855" s="1">
        <v>0.69579999999999997</v>
      </c>
      <c r="L6855" s="1">
        <v>2E-3</v>
      </c>
    </row>
    <row r="6856" spans="1:12">
      <c r="A6856" s="25" t="s">
        <v>204</v>
      </c>
      <c r="B6856">
        <v>31</v>
      </c>
      <c r="C6856" t="s">
        <v>189</v>
      </c>
      <c r="D6856">
        <v>10433</v>
      </c>
      <c r="E6856" s="1">
        <v>3.5200000000000002E-2</v>
      </c>
      <c r="F6856" s="1">
        <v>2.2499999999999999E-2</v>
      </c>
      <c r="G6856" s="1">
        <v>6.0999999999999999E-2</v>
      </c>
      <c r="H6856" s="1">
        <v>1.1599999999999999E-2</v>
      </c>
      <c r="I6856" s="1">
        <v>9.2200000000000004E-2</v>
      </c>
      <c r="J6856" s="1">
        <v>0.11210000000000001</v>
      </c>
      <c r="K6856" s="1">
        <v>0.66539999999999999</v>
      </c>
    </row>
    <row r="6857" spans="1:12">
      <c r="A6857" s="25" t="s">
        <v>205</v>
      </c>
      <c r="B6857">
        <v>1484</v>
      </c>
      <c r="C6857" t="s">
        <v>189</v>
      </c>
      <c r="D6857">
        <v>10433</v>
      </c>
      <c r="E6857" s="1">
        <v>5.7500000000000002E-2</v>
      </c>
      <c r="F6857" s="1">
        <v>5.0299999999999997E-2</v>
      </c>
      <c r="G6857" s="1">
        <v>3.85E-2</v>
      </c>
      <c r="H6857" s="1">
        <v>2.2000000000000001E-3</v>
      </c>
      <c r="I6857" s="1">
        <v>4.7800000000000002E-2</v>
      </c>
      <c r="J6857" s="1">
        <v>0.31480000000000002</v>
      </c>
      <c r="K6857" s="1">
        <v>0.48770000000000002</v>
      </c>
      <c r="L6857" s="1">
        <v>1.2999999999999999E-3</v>
      </c>
    </row>
    <row r="6858" spans="1:12">
      <c r="A6858" s="25" t="s">
        <v>192</v>
      </c>
      <c r="B6858">
        <v>10433</v>
      </c>
      <c r="C6858" t="s">
        <v>192</v>
      </c>
      <c r="D6858">
        <v>10433</v>
      </c>
      <c r="E6858" s="1">
        <v>5.4899999999999997E-2</v>
      </c>
      <c r="F6858" s="1">
        <v>4.2799999999999998E-2</v>
      </c>
      <c r="G6858" s="1">
        <v>3.8600000000000002E-2</v>
      </c>
      <c r="H6858" s="1">
        <v>4.4000000000000003E-3</v>
      </c>
      <c r="I6858" s="1">
        <v>4.53E-2</v>
      </c>
      <c r="J6858" s="1">
        <v>0.18870000000000001</v>
      </c>
      <c r="K6858" s="1">
        <v>0.62329999999999997</v>
      </c>
      <c r="L6858" s="1">
        <v>1.9E-3</v>
      </c>
    </row>
    <row r="6860" spans="1:12" ht="29.1">
      <c r="A6860" s="25" t="s">
        <v>1731</v>
      </c>
    </row>
    <row r="6861" spans="1:12">
      <c r="A6861" s="25" t="s">
        <v>181</v>
      </c>
      <c r="B6861" t="s">
        <v>182</v>
      </c>
      <c r="C6861" t="s">
        <v>1015</v>
      </c>
      <c r="D6861" t="s">
        <v>1706</v>
      </c>
      <c r="E6861" t="s">
        <v>1707</v>
      </c>
      <c r="F6861" t="s">
        <v>1708</v>
      </c>
      <c r="G6861" t="s">
        <v>1709</v>
      </c>
      <c r="H6861" t="s">
        <v>1710</v>
      </c>
      <c r="I6861" t="s">
        <v>1026</v>
      </c>
      <c r="J6861" t="s">
        <v>219</v>
      </c>
      <c r="K6861" t="s">
        <v>188</v>
      </c>
    </row>
    <row r="6862" spans="1:12">
      <c r="A6862" s="25" t="s">
        <v>189</v>
      </c>
      <c r="B6862" t="s">
        <v>207</v>
      </c>
      <c r="C6862" t="s">
        <v>241</v>
      </c>
      <c r="D6862" s="1">
        <v>1.8700000000000001E-2</v>
      </c>
      <c r="E6862" s="1">
        <v>1.7299999999999999E-2</v>
      </c>
      <c r="F6862" s="1">
        <v>2.1000000000000001E-2</v>
      </c>
      <c r="G6862" s="1">
        <v>2.8E-3</v>
      </c>
      <c r="H6862" s="1">
        <v>9.7000000000000003E-3</v>
      </c>
      <c r="I6862">
        <v>158</v>
      </c>
      <c r="J6862">
        <v>246</v>
      </c>
      <c r="K6862">
        <v>349</v>
      </c>
    </row>
    <row r="6863" spans="1:12">
      <c r="A6863" s="25" t="s">
        <v>189</v>
      </c>
      <c r="B6863" t="s">
        <v>207</v>
      </c>
      <c r="C6863" t="s">
        <v>243</v>
      </c>
      <c r="D6863" s="1">
        <v>1.4E-3</v>
      </c>
      <c r="E6863" s="1">
        <v>6.9999999999999999E-4</v>
      </c>
      <c r="F6863" s="1">
        <v>6.3E-3</v>
      </c>
      <c r="I6863">
        <v>158</v>
      </c>
      <c r="J6863">
        <v>246</v>
      </c>
      <c r="K6863">
        <v>349</v>
      </c>
    </row>
    <row r="6864" spans="1:12">
      <c r="A6864" s="25" t="s">
        <v>189</v>
      </c>
      <c r="B6864" t="s">
        <v>207</v>
      </c>
      <c r="C6864" t="s">
        <v>1711</v>
      </c>
      <c r="D6864" s="1">
        <v>0.33429999999999999</v>
      </c>
      <c r="E6864" s="1">
        <v>0.26319999999999999</v>
      </c>
      <c r="F6864" s="1">
        <v>0.40179999999999999</v>
      </c>
      <c r="G6864" s="1">
        <v>0.1331</v>
      </c>
      <c r="H6864" s="1">
        <v>0.32400000000000001</v>
      </c>
      <c r="I6864">
        <v>158</v>
      </c>
      <c r="J6864">
        <v>246</v>
      </c>
      <c r="K6864">
        <v>349</v>
      </c>
    </row>
    <row r="6865" spans="1:12">
      <c r="A6865" s="25" t="s">
        <v>189</v>
      </c>
      <c r="B6865" t="s">
        <v>207</v>
      </c>
      <c r="C6865" t="s">
        <v>1712</v>
      </c>
      <c r="D6865" s="1">
        <v>0.59960000000000002</v>
      </c>
      <c r="E6865" s="1">
        <v>0.71870000000000001</v>
      </c>
      <c r="F6865" s="1">
        <v>0.53869999999999996</v>
      </c>
      <c r="G6865" s="1">
        <v>0.1045</v>
      </c>
      <c r="H6865" s="1">
        <v>0.65559999999999996</v>
      </c>
      <c r="I6865">
        <v>158</v>
      </c>
      <c r="J6865">
        <v>246</v>
      </c>
      <c r="K6865">
        <v>349</v>
      </c>
    </row>
    <row r="6866" spans="1:12">
      <c r="A6866" s="25" t="s">
        <v>189</v>
      </c>
      <c r="B6866" t="s">
        <v>207</v>
      </c>
      <c r="C6866" t="s">
        <v>1713</v>
      </c>
      <c r="D6866" s="1">
        <v>4.5999999999999999E-2</v>
      </c>
      <c r="F6866" s="1">
        <v>3.2099999999999997E-2</v>
      </c>
      <c r="G6866" s="1">
        <v>0.75960000000000005</v>
      </c>
      <c r="H6866" s="1">
        <v>9.7999999999999997E-3</v>
      </c>
      <c r="I6866">
        <v>158</v>
      </c>
      <c r="J6866">
        <v>246</v>
      </c>
      <c r="K6866">
        <v>349</v>
      </c>
    </row>
    <row r="6867" spans="1:12">
      <c r="A6867" s="25" t="s">
        <v>189</v>
      </c>
      <c r="B6867" t="s">
        <v>208</v>
      </c>
      <c r="C6867" t="s">
        <v>1711</v>
      </c>
      <c r="D6867" s="1">
        <v>0.44900000000000001</v>
      </c>
      <c r="E6867" s="1">
        <v>0.14599999999999999</v>
      </c>
      <c r="F6867" s="1">
        <v>0.32290000000000002</v>
      </c>
      <c r="H6867" s="1">
        <v>0.22270000000000001</v>
      </c>
      <c r="I6867">
        <v>44</v>
      </c>
      <c r="J6867">
        <v>52</v>
      </c>
      <c r="K6867">
        <v>349</v>
      </c>
    </row>
    <row r="6868" spans="1:12">
      <c r="A6868" s="25" t="s">
        <v>189</v>
      </c>
      <c r="B6868" t="s">
        <v>208</v>
      </c>
      <c r="C6868" t="s">
        <v>1712</v>
      </c>
      <c r="D6868" s="1">
        <v>0.51910000000000001</v>
      </c>
      <c r="E6868" s="1">
        <v>0.81720000000000004</v>
      </c>
      <c r="F6868" s="1">
        <v>0.64659999999999995</v>
      </c>
      <c r="H6868" s="1">
        <v>0.72</v>
      </c>
      <c r="I6868">
        <v>44</v>
      </c>
      <c r="J6868">
        <v>52</v>
      </c>
      <c r="K6868">
        <v>349</v>
      </c>
    </row>
    <row r="6869" spans="1:12">
      <c r="A6869" s="25" t="s">
        <v>189</v>
      </c>
      <c r="B6869" t="s">
        <v>208</v>
      </c>
      <c r="C6869" t="s">
        <v>1713</v>
      </c>
      <c r="D6869" s="1">
        <v>3.1899999999999998E-2</v>
      </c>
      <c r="E6869" s="1">
        <v>1.6000000000000001E-3</v>
      </c>
      <c r="F6869" s="1">
        <v>6.3E-3</v>
      </c>
      <c r="H6869" s="1">
        <v>3.5099999999999999E-2</v>
      </c>
      <c r="I6869">
        <v>44</v>
      </c>
      <c r="J6869">
        <v>52</v>
      </c>
      <c r="K6869">
        <v>349</v>
      </c>
    </row>
    <row r="6870" spans="1:12">
      <c r="A6870" s="25" t="s">
        <v>189</v>
      </c>
      <c r="B6870" t="s">
        <v>209</v>
      </c>
      <c r="C6870" t="s">
        <v>1711</v>
      </c>
      <c r="D6870" s="1">
        <v>0.2195</v>
      </c>
      <c r="E6870" s="1">
        <v>0.23910000000000001</v>
      </c>
      <c r="F6870" s="1">
        <v>0.3377</v>
      </c>
      <c r="G6870" s="1">
        <v>0.19220000000000001</v>
      </c>
      <c r="H6870" s="1">
        <v>0.40429999999999999</v>
      </c>
      <c r="I6870">
        <v>30</v>
      </c>
      <c r="J6870">
        <v>51</v>
      </c>
      <c r="K6870">
        <v>349</v>
      </c>
    </row>
    <row r="6871" spans="1:12">
      <c r="A6871" s="25" t="s">
        <v>189</v>
      </c>
      <c r="B6871" t="s">
        <v>209</v>
      </c>
      <c r="C6871" t="s">
        <v>1712</v>
      </c>
      <c r="D6871" s="1">
        <v>0.78049999999999997</v>
      </c>
      <c r="E6871" s="1">
        <v>0.75790000000000002</v>
      </c>
      <c r="F6871" s="1">
        <v>0.6623</v>
      </c>
      <c r="G6871" s="1">
        <v>0.1835</v>
      </c>
      <c r="H6871" s="1">
        <v>0.58689999999999998</v>
      </c>
      <c r="I6871">
        <v>30</v>
      </c>
      <c r="J6871">
        <v>51</v>
      </c>
      <c r="K6871">
        <v>349</v>
      </c>
    </row>
    <row r="6872" spans="1:12">
      <c r="A6872" s="25" t="s">
        <v>192</v>
      </c>
      <c r="B6872" t="s">
        <v>192</v>
      </c>
      <c r="C6872" t="s">
        <v>241</v>
      </c>
      <c r="D6872" s="1">
        <v>1.2699999999999999E-2</v>
      </c>
      <c r="E6872" s="1">
        <v>2.0500000000000001E-2</v>
      </c>
      <c r="F6872" s="1">
        <v>1.9800000000000002E-2</v>
      </c>
      <c r="G6872" s="1">
        <v>2E-3</v>
      </c>
      <c r="H6872" s="1">
        <v>1.21E-2</v>
      </c>
      <c r="I6872">
        <v>349</v>
      </c>
      <c r="J6872">
        <v>349</v>
      </c>
      <c r="K6872">
        <v>349</v>
      </c>
    </row>
    <row r="6873" spans="1:12">
      <c r="A6873" s="25" t="s">
        <v>192</v>
      </c>
      <c r="B6873" t="s">
        <v>192</v>
      </c>
      <c r="C6873" t="s">
        <v>243</v>
      </c>
      <c r="D6873" s="1">
        <v>1E-3</v>
      </c>
      <c r="E6873" s="1">
        <v>5.0000000000000001E-4</v>
      </c>
      <c r="F6873" s="1">
        <v>4.0000000000000001E-3</v>
      </c>
      <c r="I6873">
        <v>349</v>
      </c>
      <c r="J6873">
        <v>349</v>
      </c>
      <c r="K6873">
        <v>349</v>
      </c>
    </row>
    <row r="6874" spans="1:12">
      <c r="A6874" s="25" t="s">
        <v>192</v>
      </c>
      <c r="B6874" t="s">
        <v>192</v>
      </c>
      <c r="C6874" t="s">
        <v>1711</v>
      </c>
      <c r="D6874" s="1">
        <v>0.34150000000000003</v>
      </c>
      <c r="E6874" s="1">
        <v>0.23230000000000001</v>
      </c>
      <c r="F6874" s="1">
        <v>0.37459999999999999</v>
      </c>
      <c r="G6874" s="1">
        <v>0.14949999999999999</v>
      </c>
      <c r="H6874" s="1">
        <v>0.30499999999999999</v>
      </c>
      <c r="I6874">
        <v>349</v>
      </c>
      <c r="J6874">
        <v>349</v>
      </c>
      <c r="K6874">
        <v>349</v>
      </c>
    </row>
    <row r="6875" spans="1:12">
      <c r="A6875" s="25" t="s">
        <v>192</v>
      </c>
      <c r="B6875" t="s">
        <v>192</v>
      </c>
      <c r="C6875" t="s">
        <v>1712</v>
      </c>
      <c r="D6875" s="1">
        <v>0.60750000000000004</v>
      </c>
      <c r="E6875" s="1">
        <v>0.74629999999999996</v>
      </c>
      <c r="F6875" s="1">
        <v>0.57950000000000002</v>
      </c>
      <c r="G6875" s="1">
        <v>0.1263</v>
      </c>
      <c r="H6875" s="1">
        <v>0.66600000000000004</v>
      </c>
      <c r="I6875">
        <v>349</v>
      </c>
      <c r="J6875">
        <v>349</v>
      </c>
      <c r="K6875">
        <v>349</v>
      </c>
    </row>
    <row r="6876" spans="1:12">
      <c r="A6876" s="25" t="s">
        <v>192</v>
      </c>
      <c r="B6876" t="s">
        <v>192</v>
      </c>
      <c r="C6876" t="s">
        <v>1713</v>
      </c>
      <c r="D6876" s="1">
        <v>3.7400000000000003E-2</v>
      </c>
      <c r="E6876" s="1">
        <v>4.0000000000000002E-4</v>
      </c>
      <c r="F6876" s="1">
        <v>2.2100000000000002E-2</v>
      </c>
      <c r="G6876" s="1">
        <v>0.72209999999999996</v>
      </c>
      <c r="H6876" s="1">
        <v>1.6400000000000001E-2</v>
      </c>
      <c r="I6876">
        <v>349</v>
      </c>
      <c r="J6876">
        <v>349</v>
      </c>
      <c r="K6876">
        <v>349</v>
      </c>
    </row>
    <row r="6878" spans="1:12" ht="57.95">
      <c r="A6878" s="25" t="s">
        <v>1732</v>
      </c>
    </row>
    <row r="6879" spans="1:12">
      <c r="A6879" s="25" t="s">
        <v>182</v>
      </c>
      <c r="B6879" t="s">
        <v>219</v>
      </c>
      <c r="C6879" t="s">
        <v>181</v>
      </c>
      <c r="D6879" t="s">
        <v>188</v>
      </c>
      <c r="E6879" t="s">
        <v>1715</v>
      </c>
      <c r="F6879" t="s">
        <v>1716</v>
      </c>
      <c r="G6879" t="s">
        <v>1717</v>
      </c>
      <c r="H6879" t="s">
        <v>241</v>
      </c>
      <c r="I6879" t="s">
        <v>1718</v>
      </c>
      <c r="J6879" t="s">
        <v>1719</v>
      </c>
      <c r="K6879" t="s">
        <v>1720</v>
      </c>
      <c r="L6879" t="s">
        <v>243</v>
      </c>
    </row>
    <row r="6880" spans="1:12">
      <c r="A6880" s="25" t="s">
        <v>207</v>
      </c>
      <c r="B6880">
        <v>7253</v>
      </c>
      <c r="C6880" t="s">
        <v>189</v>
      </c>
      <c r="D6880">
        <v>10433</v>
      </c>
      <c r="E6880" s="1">
        <v>5.8000000000000003E-2</v>
      </c>
      <c r="F6880" s="1">
        <v>4.0599999999999997E-2</v>
      </c>
      <c r="G6880" s="1">
        <v>3.6600000000000001E-2</v>
      </c>
      <c r="H6880" s="1">
        <v>4.1999999999999997E-3</v>
      </c>
      <c r="I6880" s="1">
        <v>4.5499999999999999E-2</v>
      </c>
      <c r="J6880" s="1">
        <v>0.18279999999999999</v>
      </c>
      <c r="K6880" s="1">
        <v>0.63060000000000005</v>
      </c>
      <c r="L6880" s="1">
        <v>1.6999999999999999E-3</v>
      </c>
    </row>
    <row r="6881" spans="1:12">
      <c r="A6881" s="25" t="s">
        <v>208</v>
      </c>
      <c r="B6881">
        <v>2245</v>
      </c>
      <c r="C6881" t="s">
        <v>189</v>
      </c>
      <c r="D6881">
        <v>10433</v>
      </c>
      <c r="E6881" s="1">
        <v>3.5900000000000001E-2</v>
      </c>
      <c r="F6881" s="1">
        <v>4.4299999999999999E-2</v>
      </c>
      <c r="G6881" s="1">
        <v>4.3400000000000001E-2</v>
      </c>
      <c r="H6881" s="1">
        <v>5.3E-3</v>
      </c>
      <c r="I6881" s="1">
        <v>4.0099999999999997E-2</v>
      </c>
      <c r="J6881" s="1">
        <v>0.19570000000000001</v>
      </c>
      <c r="K6881" s="1">
        <v>0.63329999999999997</v>
      </c>
      <c r="L6881" s="1">
        <v>1.9E-3</v>
      </c>
    </row>
    <row r="6882" spans="1:12">
      <c r="A6882" s="25" t="s">
        <v>209</v>
      </c>
      <c r="B6882">
        <v>935</v>
      </c>
      <c r="C6882" t="s">
        <v>189</v>
      </c>
      <c r="D6882">
        <v>10433</v>
      </c>
      <c r="E6882" s="1">
        <v>8.2000000000000003E-2</v>
      </c>
      <c r="F6882" s="1">
        <v>5.7500000000000002E-2</v>
      </c>
      <c r="G6882" s="1">
        <v>4.3099999999999999E-2</v>
      </c>
      <c r="H6882" s="1">
        <v>3.8E-3</v>
      </c>
      <c r="I6882" s="1">
        <v>5.8700000000000002E-2</v>
      </c>
      <c r="J6882" s="1">
        <v>0.22040000000000001</v>
      </c>
      <c r="K6882" s="1">
        <v>0.53</v>
      </c>
      <c r="L6882" s="1">
        <v>4.3E-3</v>
      </c>
    </row>
    <row r="6883" spans="1:12">
      <c r="A6883" s="25" t="s">
        <v>192</v>
      </c>
      <c r="B6883">
        <v>10433</v>
      </c>
      <c r="C6883" t="s">
        <v>192</v>
      </c>
      <c r="D6883">
        <v>10433</v>
      </c>
      <c r="E6883" s="1">
        <v>5.4899999999999997E-2</v>
      </c>
      <c r="F6883" s="1">
        <v>4.2799999999999998E-2</v>
      </c>
      <c r="G6883" s="1">
        <v>3.8600000000000002E-2</v>
      </c>
      <c r="H6883" s="1">
        <v>4.4000000000000003E-3</v>
      </c>
      <c r="I6883" s="1">
        <v>4.53E-2</v>
      </c>
      <c r="J6883" s="1">
        <v>0.18870000000000001</v>
      </c>
      <c r="K6883" s="1">
        <v>0.62329999999999997</v>
      </c>
      <c r="L6883" s="1">
        <v>1.9E-3</v>
      </c>
    </row>
    <row r="6885" spans="1:12" ht="43.5">
      <c r="A6885" s="25" t="s">
        <v>1733</v>
      </c>
    </row>
    <row r="6886" spans="1:12">
      <c r="A6886" s="25" t="s">
        <v>181</v>
      </c>
      <c r="B6886" t="s">
        <v>182</v>
      </c>
      <c r="C6886" t="s">
        <v>1015</v>
      </c>
      <c r="D6886" t="s">
        <v>1706</v>
      </c>
      <c r="E6886" t="s">
        <v>1707</v>
      </c>
      <c r="F6886" t="s">
        <v>1708</v>
      </c>
      <c r="G6886" t="s">
        <v>1709</v>
      </c>
      <c r="H6886" t="s">
        <v>1710</v>
      </c>
      <c r="I6886" t="s">
        <v>1026</v>
      </c>
      <c r="J6886" t="s">
        <v>219</v>
      </c>
      <c r="K6886" t="s">
        <v>188</v>
      </c>
    </row>
    <row r="6887" spans="1:12">
      <c r="A6887" s="25" t="s">
        <v>189</v>
      </c>
      <c r="B6887" t="s">
        <v>211</v>
      </c>
      <c r="C6887" t="s">
        <v>241</v>
      </c>
      <c r="D6887" s="1">
        <v>1.77E-2</v>
      </c>
      <c r="E6887" s="1">
        <v>1.12E-2</v>
      </c>
      <c r="F6887" s="1">
        <v>1.4800000000000001E-2</v>
      </c>
      <c r="G6887" s="1">
        <v>5.0000000000000001E-4</v>
      </c>
      <c r="H6887" s="1">
        <v>6.8999999999999999E-3</v>
      </c>
      <c r="I6887">
        <v>97</v>
      </c>
      <c r="J6887">
        <v>158</v>
      </c>
      <c r="K6887">
        <v>349</v>
      </c>
    </row>
    <row r="6888" spans="1:12">
      <c r="A6888" s="25" t="s">
        <v>189</v>
      </c>
      <c r="B6888" t="s">
        <v>211</v>
      </c>
      <c r="C6888" t="s">
        <v>1711</v>
      </c>
      <c r="D6888" s="1">
        <v>0.2848</v>
      </c>
      <c r="E6888" s="1">
        <v>0.22670000000000001</v>
      </c>
      <c r="F6888" s="1">
        <v>0.39910000000000001</v>
      </c>
      <c r="G6888" s="1">
        <v>0.13400000000000001</v>
      </c>
      <c r="H6888" s="1">
        <v>0.28249999999999997</v>
      </c>
      <c r="I6888">
        <v>97</v>
      </c>
      <c r="J6888">
        <v>158</v>
      </c>
      <c r="K6888">
        <v>349</v>
      </c>
    </row>
    <row r="6889" spans="1:12">
      <c r="A6889" s="25" t="s">
        <v>189</v>
      </c>
      <c r="B6889" t="s">
        <v>211</v>
      </c>
      <c r="C6889" t="s">
        <v>1712</v>
      </c>
      <c r="D6889" s="1">
        <v>0.69750000000000001</v>
      </c>
      <c r="E6889" s="1">
        <v>0.76090000000000002</v>
      </c>
      <c r="F6889" s="1">
        <v>0.57750000000000001</v>
      </c>
      <c r="G6889" s="1">
        <v>8.2000000000000003E-2</v>
      </c>
      <c r="H6889" s="1">
        <v>0.70120000000000005</v>
      </c>
      <c r="I6889">
        <v>97</v>
      </c>
      <c r="J6889">
        <v>158</v>
      </c>
      <c r="K6889">
        <v>349</v>
      </c>
    </row>
    <row r="6890" spans="1:12">
      <c r="A6890" s="25" t="s">
        <v>189</v>
      </c>
      <c r="B6890" t="s">
        <v>212</v>
      </c>
      <c r="C6890" t="s">
        <v>241</v>
      </c>
      <c r="D6890" s="1">
        <v>1.03E-2</v>
      </c>
      <c r="E6890" s="1">
        <v>2.92E-2</v>
      </c>
      <c r="F6890" s="1">
        <v>2.3300000000000001E-2</v>
      </c>
      <c r="G6890" s="1">
        <v>4.7000000000000002E-3</v>
      </c>
      <c r="H6890" s="1">
        <v>1.72E-2</v>
      </c>
      <c r="I6890">
        <v>118</v>
      </c>
      <c r="J6890">
        <v>161</v>
      </c>
      <c r="K6890">
        <v>349</v>
      </c>
    </row>
    <row r="6891" spans="1:12">
      <c r="A6891" s="25" t="s">
        <v>189</v>
      </c>
      <c r="B6891" t="s">
        <v>212</v>
      </c>
      <c r="C6891" t="s">
        <v>243</v>
      </c>
      <c r="D6891" s="1">
        <v>1.9E-3</v>
      </c>
      <c r="F6891" s="1">
        <v>7.6E-3</v>
      </c>
      <c r="I6891">
        <v>118</v>
      </c>
      <c r="J6891">
        <v>161</v>
      </c>
      <c r="K6891">
        <v>349</v>
      </c>
    </row>
    <row r="6892" spans="1:12">
      <c r="A6892" s="25" t="s">
        <v>189</v>
      </c>
      <c r="B6892" t="s">
        <v>212</v>
      </c>
      <c r="C6892" t="s">
        <v>1711</v>
      </c>
      <c r="D6892" s="1">
        <v>0.39450000000000002</v>
      </c>
      <c r="E6892" s="1">
        <v>0.23300000000000001</v>
      </c>
      <c r="F6892" s="1">
        <v>0.37669999999999998</v>
      </c>
      <c r="G6892" s="1">
        <v>0.19869999999999999</v>
      </c>
      <c r="H6892" s="1">
        <v>0.35220000000000001</v>
      </c>
      <c r="I6892">
        <v>118</v>
      </c>
      <c r="J6892">
        <v>161</v>
      </c>
      <c r="K6892">
        <v>349</v>
      </c>
    </row>
    <row r="6893" spans="1:12">
      <c r="A6893" s="25" t="s">
        <v>189</v>
      </c>
      <c r="B6893" t="s">
        <v>212</v>
      </c>
      <c r="C6893" t="s">
        <v>1712</v>
      </c>
      <c r="D6893" s="1">
        <v>0.51980000000000004</v>
      </c>
      <c r="E6893" s="1">
        <v>0.73699999999999999</v>
      </c>
      <c r="F6893" s="1">
        <v>0.5524</v>
      </c>
      <c r="G6893" s="1">
        <v>0.15029999999999999</v>
      </c>
      <c r="H6893" s="1">
        <v>0.60350000000000004</v>
      </c>
      <c r="I6893">
        <v>118</v>
      </c>
      <c r="J6893">
        <v>161</v>
      </c>
      <c r="K6893">
        <v>349</v>
      </c>
    </row>
    <row r="6894" spans="1:12">
      <c r="A6894" s="25" t="s">
        <v>189</v>
      </c>
      <c r="B6894" t="s">
        <v>212</v>
      </c>
      <c r="C6894" t="s">
        <v>1713</v>
      </c>
      <c r="D6894" s="1">
        <v>7.3499999999999996E-2</v>
      </c>
      <c r="E6894" s="1">
        <v>8.0000000000000004E-4</v>
      </c>
      <c r="F6894" s="1">
        <v>0.04</v>
      </c>
      <c r="G6894" s="1">
        <v>0.64629999999999999</v>
      </c>
      <c r="H6894" s="1">
        <v>2.5499999999999998E-2</v>
      </c>
      <c r="I6894">
        <v>118</v>
      </c>
      <c r="J6894">
        <v>161</v>
      </c>
      <c r="K6894">
        <v>349</v>
      </c>
    </row>
    <row r="6895" spans="1:12">
      <c r="A6895" s="25" t="s">
        <v>189</v>
      </c>
      <c r="B6895" t="s">
        <v>213</v>
      </c>
      <c r="C6895" t="s">
        <v>1711</v>
      </c>
      <c r="D6895" s="1">
        <v>0.29720000000000002</v>
      </c>
      <c r="E6895" s="1">
        <v>0.25159999999999999</v>
      </c>
      <c r="F6895" s="1">
        <v>0.3039</v>
      </c>
      <c r="G6895" s="1">
        <v>3.4299999999999997E-2</v>
      </c>
      <c r="H6895" s="1">
        <v>0.2702</v>
      </c>
      <c r="I6895">
        <v>16</v>
      </c>
      <c r="J6895">
        <v>30</v>
      </c>
      <c r="K6895">
        <v>349</v>
      </c>
    </row>
    <row r="6896" spans="1:12">
      <c r="A6896" s="25" t="s">
        <v>189</v>
      </c>
      <c r="B6896" t="s">
        <v>213</v>
      </c>
      <c r="C6896" t="s">
        <v>1712</v>
      </c>
      <c r="D6896" s="1">
        <v>0.70279999999999998</v>
      </c>
      <c r="E6896" s="1">
        <v>0.72919999999999996</v>
      </c>
      <c r="F6896" s="1">
        <v>0.66249999999999998</v>
      </c>
      <c r="G6896" s="1">
        <v>0.30359999999999998</v>
      </c>
      <c r="H6896" s="1">
        <v>0.69869999999999999</v>
      </c>
      <c r="I6896">
        <v>16</v>
      </c>
      <c r="J6896">
        <v>30</v>
      </c>
      <c r="K6896">
        <v>349</v>
      </c>
    </row>
    <row r="6897" spans="1:23">
      <c r="A6897" s="25" t="s">
        <v>192</v>
      </c>
      <c r="B6897" t="s">
        <v>192</v>
      </c>
      <c r="C6897" t="s">
        <v>241</v>
      </c>
      <c r="D6897" s="1">
        <v>1.2699999999999999E-2</v>
      </c>
      <c r="E6897" s="1">
        <v>2.0500000000000001E-2</v>
      </c>
      <c r="F6897" s="1">
        <v>1.9800000000000002E-2</v>
      </c>
      <c r="G6897" s="1">
        <v>2E-3</v>
      </c>
      <c r="H6897" s="1">
        <v>1.21E-2</v>
      </c>
      <c r="I6897">
        <v>349</v>
      </c>
      <c r="J6897">
        <v>349</v>
      </c>
      <c r="K6897">
        <v>349</v>
      </c>
    </row>
    <row r="6898" spans="1:23">
      <c r="A6898" s="25" t="s">
        <v>192</v>
      </c>
      <c r="B6898" t="s">
        <v>192</v>
      </c>
      <c r="C6898" t="s">
        <v>243</v>
      </c>
      <c r="D6898" s="1">
        <v>1E-3</v>
      </c>
      <c r="E6898" s="1">
        <v>5.0000000000000001E-4</v>
      </c>
      <c r="F6898" s="1">
        <v>4.0000000000000001E-3</v>
      </c>
      <c r="I6898">
        <v>349</v>
      </c>
      <c r="J6898">
        <v>349</v>
      </c>
      <c r="K6898">
        <v>349</v>
      </c>
    </row>
    <row r="6899" spans="1:23">
      <c r="A6899" s="25" t="s">
        <v>192</v>
      </c>
      <c r="B6899" t="s">
        <v>192</v>
      </c>
      <c r="C6899" t="s">
        <v>1711</v>
      </c>
      <c r="D6899" s="1">
        <v>0.34150000000000003</v>
      </c>
      <c r="E6899" s="1">
        <v>0.23230000000000001</v>
      </c>
      <c r="F6899" s="1">
        <v>0.37459999999999999</v>
      </c>
      <c r="G6899" s="1">
        <v>0.14949999999999999</v>
      </c>
      <c r="H6899" s="1">
        <v>0.30499999999999999</v>
      </c>
      <c r="I6899">
        <v>349</v>
      </c>
      <c r="J6899">
        <v>349</v>
      </c>
      <c r="K6899">
        <v>349</v>
      </c>
    </row>
    <row r="6900" spans="1:23">
      <c r="A6900" s="25" t="s">
        <v>192</v>
      </c>
      <c r="B6900" t="s">
        <v>192</v>
      </c>
      <c r="C6900" t="s">
        <v>1712</v>
      </c>
      <c r="D6900" s="1">
        <v>0.60750000000000004</v>
      </c>
      <c r="E6900" s="1">
        <v>0.74629999999999996</v>
      </c>
      <c r="F6900" s="1">
        <v>0.57950000000000002</v>
      </c>
      <c r="G6900" s="1">
        <v>0.1263</v>
      </c>
      <c r="H6900" s="1">
        <v>0.66600000000000004</v>
      </c>
      <c r="I6900">
        <v>349</v>
      </c>
      <c r="J6900">
        <v>349</v>
      </c>
      <c r="K6900">
        <v>349</v>
      </c>
    </row>
    <row r="6901" spans="1:23">
      <c r="A6901" s="25" t="s">
        <v>192</v>
      </c>
      <c r="B6901" t="s">
        <v>192</v>
      </c>
      <c r="C6901" t="s">
        <v>1713</v>
      </c>
      <c r="D6901" s="1">
        <v>3.7400000000000003E-2</v>
      </c>
      <c r="E6901" s="1">
        <v>4.0000000000000002E-4</v>
      </c>
      <c r="F6901" s="1">
        <v>2.2100000000000002E-2</v>
      </c>
      <c r="G6901" s="1">
        <v>0.72209999999999996</v>
      </c>
      <c r="H6901" s="1">
        <v>1.6400000000000001E-2</v>
      </c>
      <c r="I6901">
        <v>349</v>
      </c>
      <c r="J6901">
        <v>349</v>
      </c>
      <c r="K6901">
        <v>349</v>
      </c>
    </row>
    <row r="6903" spans="1:23" ht="57.95">
      <c r="A6903" s="25" t="s">
        <v>1734</v>
      </c>
    </row>
    <row r="6904" spans="1:23">
      <c r="A6904" s="25" t="s">
        <v>182</v>
      </c>
      <c r="B6904" t="s">
        <v>219</v>
      </c>
      <c r="C6904" t="s">
        <v>181</v>
      </c>
      <c r="D6904" t="s">
        <v>188</v>
      </c>
      <c r="E6904" t="s">
        <v>1715</v>
      </c>
      <c r="F6904" t="s">
        <v>1716</v>
      </c>
      <c r="G6904" t="s">
        <v>1717</v>
      </c>
      <c r="H6904" t="s">
        <v>241</v>
      </c>
      <c r="I6904" t="s">
        <v>1718</v>
      </c>
      <c r="J6904" t="s">
        <v>1719</v>
      </c>
      <c r="K6904" t="s">
        <v>1720</v>
      </c>
      <c r="L6904" t="s">
        <v>243</v>
      </c>
    </row>
    <row r="6905" spans="1:23">
      <c r="A6905" s="25" t="s">
        <v>211</v>
      </c>
      <c r="B6905">
        <v>4971</v>
      </c>
      <c r="C6905" t="s">
        <v>189</v>
      </c>
      <c r="D6905">
        <v>10433</v>
      </c>
      <c r="E6905" s="1">
        <v>6.3899999999999998E-2</v>
      </c>
      <c r="F6905" s="1">
        <v>3.9E-2</v>
      </c>
      <c r="G6905" s="1">
        <v>0.04</v>
      </c>
      <c r="H6905" s="1">
        <v>3.5000000000000001E-3</v>
      </c>
      <c r="I6905" s="1">
        <v>3.6499999999999998E-2</v>
      </c>
      <c r="J6905" s="1">
        <v>0.2009</v>
      </c>
      <c r="K6905" s="1">
        <v>0.61509999999999998</v>
      </c>
      <c r="L6905" s="1">
        <v>1.1000000000000001E-3</v>
      </c>
    </row>
    <row r="6906" spans="1:23">
      <c r="A6906" s="25" t="s">
        <v>212</v>
      </c>
      <c r="B6906">
        <v>3376</v>
      </c>
      <c r="C6906" t="s">
        <v>189</v>
      </c>
      <c r="D6906">
        <v>10433</v>
      </c>
      <c r="E6906" s="1">
        <v>6.0900000000000003E-2</v>
      </c>
      <c r="F6906" s="1">
        <v>5.5E-2</v>
      </c>
      <c r="G6906" s="1">
        <v>4.41E-2</v>
      </c>
      <c r="H6906" s="1">
        <v>3.5000000000000001E-3</v>
      </c>
      <c r="I6906" s="1">
        <v>5.79E-2</v>
      </c>
      <c r="J6906" s="1">
        <v>0.191</v>
      </c>
      <c r="K6906" s="1">
        <v>0.58620000000000005</v>
      </c>
      <c r="L6906" s="1">
        <v>1.4E-3</v>
      </c>
    </row>
    <row r="6907" spans="1:23">
      <c r="A6907" s="25" t="s">
        <v>213</v>
      </c>
      <c r="B6907">
        <v>2086</v>
      </c>
      <c r="C6907" t="s">
        <v>189</v>
      </c>
      <c r="D6907">
        <v>10433</v>
      </c>
      <c r="E6907" s="1">
        <v>2.7199999999999998E-2</v>
      </c>
      <c r="F6907" s="1">
        <v>3.3599999999999998E-2</v>
      </c>
      <c r="G6907" s="1">
        <v>2.7900000000000001E-2</v>
      </c>
      <c r="H6907" s="1">
        <v>7.9000000000000008E-3</v>
      </c>
      <c r="I6907" s="1">
        <v>4.6399999999999997E-2</v>
      </c>
      <c r="J6907" s="1">
        <v>0.159</v>
      </c>
      <c r="K6907" s="1">
        <v>0.69369999999999998</v>
      </c>
      <c r="L6907" s="1">
        <v>4.4000000000000003E-3</v>
      </c>
    </row>
    <row r="6908" spans="1:23">
      <c r="A6908" s="25" t="s">
        <v>192</v>
      </c>
      <c r="B6908">
        <v>10433</v>
      </c>
      <c r="C6908" t="s">
        <v>192</v>
      </c>
      <c r="D6908">
        <v>10433</v>
      </c>
      <c r="E6908" s="1">
        <v>5.4899999999999997E-2</v>
      </c>
      <c r="F6908" s="1">
        <v>4.2799999999999998E-2</v>
      </c>
      <c r="G6908" s="1">
        <v>3.8600000000000002E-2</v>
      </c>
      <c r="H6908" s="1">
        <v>4.4000000000000003E-3</v>
      </c>
      <c r="I6908" s="1">
        <v>4.53E-2</v>
      </c>
      <c r="J6908" s="1">
        <v>0.18870000000000001</v>
      </c>
      <c r="K6908" s="1">
        <v>0.62329999999999997</v>
      </c>
      <c r="L6908" s="1">
        <v>1.9E-3</v>
      </c>
    </row>
    <row r="6910" spans="1:23" ht="43.5">
      <c r="A6910" s="25" t="s">
        <v>1735</v>
      </c>
    </row>
    <row r="6911" spans="1:23">
      <c r="A6911" s="25" t="s">
        <v>182</v>
      </c>
      <c r="B6911" t="s">
        <v>219</v>
      </c>
      <c r="C6911" t="s">
        <v>181</v>
      </c>
      <c r="D6911" t="s">
        <v>188</v>
      </c>
      <c r="E6911" t="s">
        <v>1736</v>
      </c>
      <c r="F6911" t="s">
        <v>579</v>
      </c>
      <c r="G6911" t="s">
        <v>324</v>
      </c>
      <c r="H6911" t="s">
        <v>269</v>
      </c>
      <c r="I6911" t="s">
        <v>243</v>
      </c>
      <c r="J6911" t="s">
        <v>1737</v>
      </c>
      <c r="K6911" t="s">
        <v>1738</v>
      </c>
      <c r="L6911" t="s">
        <v>1739</v>
      </c>
      <c r="M6911" t="s">
        <v>1740</v>
      </c>
      <c r="N6911" t="s">
        <v>1741</v>
      </c>
      <c r="O6911" t="s">
        <v>1742</v>
      </c>
      <c r="P6911" t="s">
        <v>1743</v>
      </c>
      <c r="Q6911" t="s">
        <v>1744</v>
      </c>
      <c r="R6911" t="s">
        <v>1745</v>
      </c>
      <c r="S6911" t="s">
        <v>1746</v>
      </c>
      <c r="T6911" t="s">
        <v>1747</v>
      </c>
      <c r="U6911" t="s">
        <v>1748</v>
      </c>
      <c r="V6911" t="s">
        <v>1749</v>
      </c>
      <c r="W6911" t="s">
        <v>1750</v>
      </c>
    </row>
    <row r="6912" spans="1:23">
      <c r="A6912" s="25" t="s">
        <v>215</v>
      </c>
      <c r="B6912">
        <v>3306</v>
      </c>
      <c r="C6912" t="s">
        <v>189</v>
      </c>
      <c r="D6912">
        <v>10430</v>
      </c>
      <c r="E6912" s="1">
        <v>0.50580000000000003</v>
      </c>
      <c r="F6912" s="1">
        <v>2.18E-2</v>
      </c>
      <c r="G6912" s="1">
        <v>0.25590000000000002</v>
      </c>
      <c r="H6912" s="1">
        <v>2.0000000000000001E-4</v>
      </c>
      <c r="I6912" s="1">
        <v>2.3E-3</v>
      </c>
      <c r="J6912" s="1">
        <v>7.2499999999999995E-2</v>
      </c>
      <c r="K6912" s="1">
        <v>5.3E-3</v>
      </c>
      <c r="L6912" s="1">
        <v>5.3E-3</v>
      </c>
      <c r="M6912" s="1">
        <v>1.9E-3</v>
      </c>
      <c r="N6912" s="1">
        <v>9.9199999999999997E-2</v>
      </c>
      <c r="O6912" s="1">
        <v>0.11990000000000001</v>
      </c>
      <c r="P6912" s="1">
        <v>2.8E-3</v>
      </c>
      <c r="Q6912" s="1">
        <v>6.3E-3</v>
      </c>
      <c r="R6912" s="1">
        <v>5.0000000000000001E-4</v>
      </c>
      <c r="S6912" s="1">
        <v>2.8E-3</v>
      </c>
      <c r="T6912" s="1">
        <v>3.8100000000000002E-2</v>
      </c>
      <c r="U6912" s="1">
        <v>6.4999999999999997E-3</v>
      </c>
      <c r="V6912" s="1">
        <v>8.2000000000000007E-3</v>
      </c>
      <c r="W6912" s="1">
        <v>6.9999999999999999E-4</v>
      </c>
    </row>
    <row r="6913" spans="1:23">
      <c r="A6913" s="25" t="s">
        <v>216</v>
      </c>
      <c r="B6913">
        <v>2</v>
      </c>
      <c r="C6913" t="s">
        <v>189</v>
      </c>
      <c r="D6913">
        <v>10430</v>
      </c>
      <c r="G6913" s="1">
        <v>1</v>
      </c>
    </row>
    <row r="6914" spans="1:23">
      <c r="A6914" s="25" t="s">
        <v>217</v>
      </c>
      <c r="B6914">
        <v>7122</v>
      </c>
      <c r="C6914" t="s">
        <v>189</v>
      </c>
      <c r="D6914">
        <v>10430</v>
      </c>
      <c r="E6914" s="1">
        <v>0.45269999999999999</v>
      </c>
      <c r="F6914" s="1">
        <v>1.4999999999999999E-2</v>
      </c>
      <c r="G6914" s="1">
        <v>0.27250000000000002</v>
      </c>
      <c r="H6914" s="1">
        <v>4.0000000000000002E-4</v>
      </c>
      <c r="I6914" s="1">
        <v>2.3E-3</v>
      </c>
      <c r="J6914" s="1">
        <v>7.8100000000000003E-2</v>
      </c>
      <c r="K6914" s="1">
        <v>1.0500000000000001E-2</v>
      </c>
      <c r="L6914" s="1">
        <v>9.1000000000000004E-3</v>
      </c>
      <c r="M6914" s="1">
        <v>3.3E-3</v>
      </c>
      <c r="N6914" s="1">
        <v>0.1211</v>
      </c>
      <c r="O6914" s="1">
        <v>0.1331</v>
      </c>
      <c r="P6914" s="1">
        <v>2.0999999999999999E-3</v>
      </c>
      <c r="Q6914" s="1">
        <v>1.1000000000000001E-3</v>
      </c>
      <c r="R6914" s="1">
        <v>2.8999999999999998E-3</v>
      </c>
      <c r="S6914" s="1">
        <v>4.7999999999999996E-3</v>
      </c>
      <c r="T6914" s="1">
        <v>4.3999999999999997E-2</v>
      </c>
      <c r="U6914" s="1">
        <v>1.0200000000000001E-2</v>
      </c>
      <c r="V6914" s="1">
        <v>1.2999999999999999E-2</v>
      </c>
      <c r="W6914" s="1">
        <v>1.4E-3</v>
      </c>
    </row>
    <row r="6915" spans="1:23">
      <c r="A6915" s="25" t="s">
        <v>192</v>
      </c>
      <c r="B6915">
        <v>10430</v>
      </c>
      <c r="C6915" t="s">
        <v>192</v>
      </c>
      <c r="D6915">
        <v>10430</v>
      </c>
      <c r="E6915" s="1">
        <v>0.47070000000000001</v>
      </c>
      <c r="F6915" s="1">
        <v>1.7299999999999999E-2</v>
      </c>
      <c r="G6915" s="1">
        <v>0.26690000000000003</v>
      </c>
      <c r="H6915" s="1">
        <v>2.9999999999999997E-4</v>
      </c>
      <c r="I6915" s="1">
        <v>2.3E-3</v>
      </c>
      <c r="J6915" s="1">
        <v>7.6200000000000004E-2</v>
      </c>
      <c r="K6915" s="1">
        <v>8.6999999999999994E-3</v>
      </c>
      <c r="L6915" s="1">
        <v>7.7999999999999996E-3</v>
      </c>
      <c r="M6915" s="1">
        <v>2.8999999999999998E-3</v>
      </c>
      <c r="N6915" s="1">
        <v>0.11360000000000001</v>
      </c>
      <c r="O6915" s="1">
        <v>0.12859999999999999</v>
      </c>
      <c r="P6915" s="1">
        <v>2.3E-3</v>
      </c>
      <c r="Q6915" s="1">
        <v>2.8999999999999998E-3</v>
      </c>
      <c r="R6915" s="1">
        <v>2.0999999999999999E-3</v>
      </c>
      <c r="S6915" s="1">
        <v>4.1000000000000003E-3</v>
      </c>
      <c r="T6915" s="1">
        <v>4.19E-2</v>
      </c>
      <c r="U6915" s="1">
        <v>8.8999999999999999E-3</v>
      </c>
      <c r="V6915" s="1">
        <v>1.1299999999999999E-2</v>
      </c>
      <c r="W6915" s="1">
        <v>1.1999999999999999E-3</v>
      </c>
    </row>
    <row r="6917" spans="1:23" ht="43.5">
      <c r="A6917" s="25" t="s">
        <v>1751</v>
      </c>
    </row>
    <row r="6918" spans="1:23">
      <c r="A6918" s="25" t="s">
        <v>182</v>
      </c>
      <c r="B6918" t="s">
        <v>219</v>
      </c>
      <c r="C6918" t="s">
        <v>181</v>
      </c>
      <c r="D6918" t="s">
        <v>188</v>
      </c>
      <c r="E6918" t="s">
        <v>1736</v>
      </c>
      <c r="F6918" t="s">
        <v>579</v>
      </c>
      <c r="G6918" t="s">
        <v>324</v>
      </c>
      <c r="H6918" t="s">
        <v>269</v>
      </c>
      <c r="I6918" t="s">
        <v>243</v>
      </c>
      <c r="J6918" t="s">
        <v>1737</v>
      </c>
      <c r="K6918" t="s">
        <v>1738</v>
      </c>
      <c r="L6918" t="s">
        <v>1739</v>
      </c>
      <c r="M6918" t="s">
        <v>1740</v>
      </c>
      <c r="N6918" t="s">
        <v>1741</v>
      </c>
      <c r="O6918" t="s">
        <v>1742</v>
      </c>
      <c r="P6918" t="s">
        <v>1743</v>
      </c>
      <c r="Q6918" t="s">
        <v>1744</v>
      </c>
      <c r="R6918" t="s">
        <v>1745</v>
      </c>
      <c r="S6918" t="s">
        <v>1746</v>
      </c>
      <c r="T6918" t="s">
        <v>1747</v>
      </c>
      <c r="U6918" t="s">
        <v>1748</v>
      </c>
      <c r="V6918" t="s">
        <v>1749</v>
      </c>
      <c r="W6918" t="s">
        <v>1750</v>
      </c>
    </row>
    <row r="6919" spans="1:23">
      <c r="A6919" s="25" t="s">
        <v>223</v>
      </c>
      <c r="B6919">
        <v>882</v>
      </c>
      <c r="C6919" t="s">
        <v>189</v>
      </c>
      <c r="D6919">
        <v>10430</v>
      </c>
      <c r="E6919" s="1">
        <v>0.58169999999999999</v>
      </c>
      <c r="F6919" s="1">
        <v>1.5699999999999999E-2</v>
      </c>
      <c r="G6919" s="1">
        <v>0.24360000000000001</v>
      </c>
      <c r="I6919" s="1">
        <v>6.6E-3</v>
      </c>
      <c r="J6919" s="1">
        <v>3.7100000000000001E-2</v>
      </c>
      <c r="K6919" s="1">
        <v>3.0999999999999999E-3</v>
      </c>
      <c r="L6919" s="1">
        <v>1.2999999999999999E-3</v>
      </c>
      <c r="M6919" s="1">
        <v>2.3E-3</v>
      </c>
      <c r="N6919" s="1">
        <v>6.4699999999999994E-2</v>
      </c>
      <c r="O6919" s="1">
        <v>7.2599999999999998E-2</v>
      </c>
      <c r="P6919" s="1">
        <v>2.3E-3</v>
      </c>
      <c r="Q6919" s="1">
        <v>5.7999999999999996E-3</v>
      </c>
      <c r="S6919" s="1">
        <v>3.3999999999999998E-3</v>
      </c>
      <c r="T6919" s="1">
        <v>3.6600000000000001E-2</v>
      </c>
      <c r="U6919" s="1">
        <v>5.4000000000000003E-3</v>
      </c>
      <c r="V6919" s="1">
        <v>1.8200000000000001E-2</v>
      </c>
    </row>
    <row r="6920" spans="1:23">
      <c r="A6920" s="25" t="s">
        <v>224</v>
      </c>
      <c r="B6920">
        <v>2875</v>
      </c>
      <c r="C6920" t="s">
        <v>189</v>
      </c>
      <c r="D6920">
        <v>10430</v>
      </c>
      <c r="E6920" s="1">
        <v>0.46339999999999998</v>
      </c>
      <c r="F6920" s="1">
        <v>1.4999999999999999E-2</v>
      </c>
      <c r="G6920" s="1">
        <v>0.30359999999999998</v>
      </c>
      <c r="H6920" s="1">
        <v>1E-4</v>
      </c>
      <c r="I6920" s="1">
        <v>1.1000000000000001E-3</v>
      </c>
      <c r="J6920" s="1">
        <v>6.5600000000000006E-2</v>
      </c>
      <c r="K6920" s="1">
        <v>1.01E-2</v>
      </c>
      <c r="L6920" s="1">
        <v>5.0000000000000001E-4</v>
      </c>
      <c r="M6920" s="1">
        <v>2.7000000000000001E-3</v>
      </c>
      <c r="N6920" s="1">
        <v>9.3600000000000003E-2</v>
      </c>
      <c r="O6920" s="1">
        <v>0.10680000000000001</v>
      </c>
      <c r="P6920" s="1">
        <v>2.8E-3</v>
      </c>
      <c r="Q6920" s="1">
        <v>6.0000000000000001E-3</v>
      </c>
      <c r="R6920" s="1">
        <v>1.9E-3</v>
      </c>
      <c r="S6920" s="1">
        <v>4.1999999999999997E-3</v>
      </c>
      <c r="T6920" s="1">
        <v>5.0700000000000002E-2</v>
      </c>
      <c r="U6920" s="1">
        <v>7.7999999999999996E-3</v>
      </c>
      <c r="V6920" s="1">
        <v>5.1000000000000004E-3</v>
      </c>
      <c r="W6920" s="1">
        <v>2.7000000000000001E-3</v>
      </c>
    </row>
    <row r="6921" spans="1:23">
      <c r="A6921" s="25" t="s">
        <v>225</v>
      </c>
      <c r="B6921">
        <v>2814</v>
      </c>
      <c r="C6921" t="s">
        <v>189</v>
      </c>
      <c r="D6921">
        <v>10430</v>
      </c>
      <c r="E6921" s="1">
        <v>0.47010000000000002</v>
      </c>
      <c r="F6921" s="1">
        <v>1.72E-2</v>
      </c>
      <c r="G6921" s="1">
        <v>0.27429999999999999</v>
      </c>
      <c r="H6921" s="1">
        <v>1.2999999999999999E-3</v>
      </c>
      <c r="I6921" s="1">
        <v>2.2000000000000001E-3</v>
      </c>
      <c r="J6921" s="1">
        <v>6.7699999999999996E-2</v>
      </c>
      <c r="K6921" s="1">
        <v>8.8999999999999999E-3</v>
      </c>
      <c r="L6921" s="1">
        <v>7.1999999999999998E-3</v>
      </c>
      <c r="M6921" s="1">
        <v>6.0000000000000001E-3</v>
      </c>
      <c r="N6921" s="1">
        <v>9.9400000000000002E-2</v>
      </c>
      <c r="O6921" s="1">
        <v>0.11840000000000001</v>
      </c>
      <c r="P6921" s="1">
        <v>3.8999999999999998E-3</v>
      </c>
      <c r="Q6921" s="1">
        <v>2.3E-3</v>
      </c>
      <c r="R6921" s="1">
        <v>1.5E-3</v>
      </c>
      <c r="S6921" s="1">
        <v>2.5000000000000001E-3</v>
      </c>
      <c r="T6921" s="1">
        <v>5.3800000000000001E-2</v>
      </c>
      <c r="U6921" s="1">
        <v>8.3000000000000001E-3</v>
      </c>
      <c r="V6921" s="1">
        <v>1.04E-2</v>
      </c>
      <c r="W6921" s="1">
        <v>4.0000000000000002E-4</v>
      </c>
    </row>
    <row r="6922" spans="1:23">
      <c r="A6922" s="25" t="s">
        <v>226</v>
      </c>
      <c r="B6922">
        <v>3859</v>
      </c>
      <c r="C6922" t="s">
        <v>189</v>
      </c>
      <c r="D6922">
        <v>10430</v>
      </c>
      <c r="E6922" s="1">
        <v>0.43940000000000001</v>
      </c>
      <c r="F6922" s="1">
        <v>1.95E-2</v>
      </c>
      <c r="G6922" s="1">
        <v>0.24390000000000001</v>
      </c>
      <c r="I6922" s="1">
        <v>1.8E-3</v>
      </c>
      <c r="J6922" s="1">
        <v>0.1023</v>
      </c>
      <c r="K6922" s="1">
        <v>9.4999999999999998E-3</v>
      </c>
      <c r="L6922" s="1">
        <v>1.5599999999999999E-2</v>
      </c>
      <c r="M6922" s="1">
        <v>1E-3</v>
      </c>
      <c r="N6922" s="1">
        <v>0.15340000000000001</v>
      </c>
      <c r="O6922" s="1">
        <v>0.1694</v>
      </c>
      <c r="P6922" s="1">
        <v>8.9999999999999998E-4</v>
      </c>
      <c r="Q6922" s="1">
        <v>1E-4</v>
      </c>
      <c r="R6922" s="1">
        <v>3.3E-3</v>
      </c>
      <c r="S6922" s="1">
        <v>5.4000000000000003E-3</v>
      </c>
      <c r="T6922" s="1">
        <v>2.9700000000000001E-2</v>
      </c>
      <c r="U6922" s="1">
        <v>1.1299999999999999E-2</v>
      </c>
      <c r="V6922" s="1">
        <v>1.41E-2</v>
      </c>
      <c r="W6922" s="1">
        <v>1E-3</v>
      </c>
    </row>
    <row r="6923" spans="1:23">
      <c r="A6923" s="25" t="s">
        <v>192</v>
      </c>
      <c r="B6923">
        <v>10430</v>
      </c>
      <c r="C6923" t="s">
        <v>192</v>
      </c>
      <c r="D6923">
        <v>10430</v>
      </c>
      <c r="E6923" s="1">
        <v>0.47070000000000001</v>
      </c>
      <c r="F6923" s="1">
        <v>1.7299999999999999E-2</v>
      </c>
      <c r="G6923" s="1">
        <v>0.26690000000000003</v>
      </c>
      <c r="H6923" s="1">
        <v>2.9999999999999997E-4</v>
      </c>
      <c r="I6923" s="1">
        <v>2.3E-3</v>
      </c>
      <c r="J6923" s="1">
        <v>7.6200000000000004E-2</v>
      </c>
      <c r="K6923" s="1">
        <v>8.6999999999999994E-3</v>
      </c>
      <c r="L6923" s="1">
        <v>7.7999999999999996E-3</v>
      </c>
      <c r="M6923" s="1">
        <v>2.8999999999999998E-3</v>
      </c>
      <c r="N6923" s="1">
        <v>0.11360000000000001</v>
      </c>
      <c r="O6923" s="1">
        <v>0.12859999999999999</v>
      </c>
      <c r="P6923" s="1">
        <v>2.3E-3</v>
      </c>
      <c r="Q6923" s="1">
        <v>2.8999999999999998E-3</v>
      </c>
      <c r="R6923" s="1">
        <v>2.0999999999999999E-3</v>
      </c>
      <c r="S6923" s="1">
        <v>4.1000000000000003E-3</v>
      </c>
      <c r="T6923" s="1">
        <v>4.19E-2</v>
      </c>
      <c r="U6923" s="1">
        <v>8.8999999999999999E-3</v>
      </c>
      <c r="V6923" s="1">
        <v>1.1299999999999999E-2</v>
      </c>
      <c r="W6923" s="1">
        <v>1.1999999999999999E-3</v>
      </c>
    </row>
    <row r="6925" spans="1:23" ht="43.5">
      <c r="A6925" s="25" t="s">
        <v>1752</v>
      </c>
    </row>
    <row r="6926" spans="1:23">
      <c r="A6926" s="25" t="s">
        <v>182</v>
      </c>
      <c r="B6926" t="s">
        <v>219</v>
      </c>
      <c r="C6926" t="s">
        <v>181</v>
      </c>
      <c r="D6926" t="s">
        <v>188</v>
      </c>
      <c r="E6926" t="s">
        <v>1736</v>
      </c>
      <c r="F6926" t="s">
        <v>579</v>
      </c>
      <c r="G6926" t="s">
        <v>324</v>
      </c>
      <c r="H6926" t="s">
        <v>269</v>
      </c>
      <c r="I6926" t="s">
        <v>243</v>
      </c>
      <c r="J6926" t="s">
        <v>1737</v>
      </c>
      <c r="K6926" t="s">
        <v>1738</v>
      </c>
      <c r="L6926" t="s">
        <v>1739</v>
      </c>
      <c r="M6926" t="s">
        <v>1740</v>
      </c>
      <c r="N6926" t="s">
        <v>1741</v>
      </c>
      <c r="O6926" t="s">
        <v>1742</v>
      </c>
      <c r="P6926" t="s">
        <v>1743</v>
      </c>
      <c r="Q6926" t="s">
        <v>1744</v>
      </c>
      <c r="R6926" t="s">
        <v>1745</v>
      </c>
      <c r="S6926" t="s">
        <v>1746</v>
      </c>
      <c r="T6926" t="s">
        <v>1747</v>
      </c>
      <c r="U6926" t="s">
        <v>1748</v>
      </c>
      <c r="V6926" t="s">
        <v>1749</v>
      </c>
      <c r="W6926" t="s">
        <v>1750</v>
      </c>
    </row>
    <row r="6927" spans="1:23">
      <c r="A6927" s="25" t="s">
        <v>190</v>
      </c>
      <c r="B6927">
        <v>4902</v>
      </c>
      <c r="C6927" t="s">
        <v>189</v>
      </c>
      <c r="D6927">
        <v>10430</v>
      </c>
      <c r="E6927" s="1">
        <v>0.47239999999999999</v>
      </c>
      <c r="F6927" s="1">
        <v>1.3899999999999999E-2</v>
      </c>
      <c r="G6927" s="1">
        <v>0.25619999999999998</v>
      </c>
      <c r="I6927" s="1">
        <v>3.0000000000000001E-3</v>
      </c>
      <c r="J6927" s="1">
        <v>9.4799999999999995E-2</v>
      </c>
      <c r="K6927" s="1">
        <v>9.1000000000000004E-3</v>
      </c>
      <c r="L6927" s="1">
        <v>6.6E-3</v>
      </c>
      <c r="M6927" s="1">
        <v>3.5000000000000001E-3</v>
      </c>
      <c r="N6927" s="1">
        <v>0.1226</v>
      </c>
      <c r="O6927" s="1">
        <v>0.14099999999999999</v>
      </c>
      <c r="P6927" s="1">
        <v>2.2000000000000001E-3</v>
      </c>
      <c r="Q6927" s="1">
        <v>1.2999999999999999E-3</v>
      </c>
      <c r="R6927" s="1">
        <v>6.9999999999999999E-4</v>
      </c>
      <c r="S6927" s="1">
        <v>5.4999999999999997E-3</v>
      </c>
      <c r="T6927" s="1">
        <v>2.92E-2</v>
      </c>
      <c r="U6927" s="1">
        <v>8.8999999999999999E-3</v>
      </c>
      <c r="V6927" s="1">
        <v>6.3E-3</v>
      </c>
      <c r="W6927" s="1">
        <v>2.5000000000000001E-3</v>
      </c>
    </row>
    <row r="6928" spans="1:23">
      <c r="A6928" s="25" t="s">
        <v>191</v>
      </c>
      <c r="B6928">
        <v>5471</v>
      </c>
      <c r="C6928" t="s">
        <v>189</v>
      </c>
      <c r="D6928">
        <v>10430</v>
      </c>
      <c r="E6928" s="1">
        <v>0.47039999999999998</v>
      </c>
      <c r="F6928" s="1">
        <v>1.9400000000000001E-2</v>
      </c>
      <c r="G6928" s="1">
        <v>0.2727</v>
      </c>
      <c r="H6928" s="1">
        <v>5.9999999999999995E-4</v>
      </c>
      <c r="I6928" s="1">
        <v>1.9E-3</v>
      </c>
      <c r="J6928" s="1">
        <v>6.4799999999999996E-2</v>
      </c>
      <c r="K6928" s="1">
        <v>8.5000000000000006E-3</v>
      </c>
      <c r="L6928" s="1">
        <v>8.5000000000000006E-3</v>
      </c>
      <c r="M6928" s="1">
        <v>2.5000000000000001E-3</v>
      </c>
      <c r="N6928" s="1">
        <v>0.1082</v>
      </c>
      <c r="O6928" s="1">
        <v>0.1211</v>
      </c>
      <c r="P6928" s="1">
        <v>2.3999999999999998E-3</v>
      </c>
      <c r="Q6928" s="1">
        <v>3.8E-3</v>
      </c>
      <c r="R6928" s="1">
        <v>2.8999999999999998E-3</v>
      </c>
      <c r="S6928" s="1">
        <v>3.3E-3</v>
      </c>
      <c r="T6928" s="1">
        <v>4.9700000000000001E-2</v>
      </c>
      <c r="U6928" s="1">
        <v>8.9999999999999993E-3</v>
      </c>
      <c r="V6928" s="1">
        <v>1.4500000000000001E-2</v>
      </c>
      <c r="W6928" s="1">
        <v>4.0000000000000002E-4</v>
      </c>
    </row>
    <row r="6929" spans="1:23">
      <c r="A6929" s="25" t="s">
        <v>192</v>
      </c>
      <c r="B6929">
        <v>10430</v>
      </c>
      <c r="C6929" t="s">
        <v>192</v>
      </c>
      <c r="D6929">
        <v>10430</v>
      </c>
      <c r="E6929" s="1">
        <v>0.47070000000000001</v>
      </c>
      <c r="F6929" s="1">
        <v>1.7299999999999999E-2</v>
      </c>
      <c r="G6929" s="1">
        <v>0.26690000000000003</v>
      </c>
      <c r="H6929" s="1">
        <v>2.9999999999999997E-4</v>
      </c>
      <c r="I6929" s="1">
        <v>2.3E-3</v>
      </c>
      <c r="J6929" s="1">
        <v>7.6200000000000004E-2</v>
      </c>
      <c r="K6929" s="1">
        <v>8.6999999999999994E-3</v>
      </c>
      <c r="L6929" s="1">
        <v>7.7999999999999996E-3</v>
      </c>
      <c r="M6929" s="1">
        <v>2.8999999999999998E-3</v>
      </c>
      <c r="N6929" s="1">
        <v>0.11360000000000001</v>
      </c>
      <c r="O6929" s="1">
        <v>0.12859999999999999</v>
      </c>
      <c r="P6929" s="1">
        <v>2.3E-3</v>
      </c>
      <c r="Q6929" s="1">
        <v>2.8999999999999998E-3</v>
      </c>
      <c r="R6929" s="1">
        <v>2.0999999999999999E-3</v>
      </c>
      <c r="S6929" s="1">
        <v>4.1000000000000003E-3</v>
      </c>
      <c r="T6929" s="1">
        <v>4.19E-2</v>
      </c>
      <c r="U6929" s="1">
        <v>8.8999999999999999E-3</v>
      </c>
      <c r="V6929" s="1">
        <v>1.1299999999999999E-2</v>
      </c>
      <c r="W6929" s="1">
        <v>1.1999999999999999E-3</v>
      </c>
    </row>
    <row r="6931" spans="1:23" ht="43.5">
      <c r="A6931" s="25" t="s">
        <v>1753</v>
      </c>
    </row>
    <row r="6932" spans="1:23">
      <c r="A6932" s="25" t="s">
        <v>182</v>
      </c>
      <c r="B6932" t="s">
        <v>219</v>
      </c>
      <c r="C6932" t="s">
        <v>181</v>
      </c>
      <c r="D6932" t="s">
        <v>188</v>
      </c>
      <c r="E6932" t="s">
        <v>1736</v>
      </c>
      <c r="F6932" t="s">
        <v>579</v>
      </c>
      <c r="G6932" t="s">
        <v>324</v>
      </c>
      <c r="H6932" t="s">
        <v>269</v>
      </c>
      <c r="I6932" t="s">
        <v>243</v>
      </c>
      <c r="J6932" t="s">
        <v>1737</v>
      </c>
      <c r="K6932" t="s">
        <v>1738</v>
      </c>
      <c r="L6932" t="s">
        <v>1739</v>
      </c>
      <c r="M6932" t="s">
        <v>1740</v>
      </c>
      <c r="N6932" t="s">
        <v>1741</v>
      </c>
      <c r="O6932" t="s">
        <v>1742</v>
      </c>
      <c r="P6932" t="s">
        <v>1743</v>
      </c>
      <c r="Q6932" t="s">
        <v>1744</v>
      </c>
      <c r="R6932" t="s">
        <v>1745</v>
      </c>
      <c r="S6932" t="s">
        <v>1746</v>
      </c>
      <c r="T6932" t="s">
        <v>1747</v>
      </c>
      <c r="U6932" t="s">
        <v>1748</v>
      </c>
      <c r="V6932" t="s">
        <v>1749</v>
      </c>
      <c r="W6932" t="s">
        <v>1750</v>
      </c>
    </row>
    <row r="6933" spans="1:23" ht="29.1">
      <c r="A6933" s="25" t="s">
        <v>194</v>
      </c>
      <c r="B6933">
        <v>5952</v>
      </c>
      <c r="C6933" t="s">
        <v>189</v>
      </c>
      <c r="D6933">
        <v>10430</v>
      </c>
      <c r="E6933" s="1">
        <v>0.5222</v>
      </c>
      <c r="F6933" s="1">
        <v>1.8200000000000001E-2</v>
      </c>
      <c r="G6933" s="1">
        <v>0.2374</v>
      </c>
      <c r="I6933" s="1">
        <v>2.5000000000000001E-3</v>
      </c>
      <c r="J6933" s="1">
        <v>6.6900000000000001E-2</v>
      </c>
      <c r="K6933" s="1">
        <v>6.1999999999999998E-3</v>
      </c>
      <c r="L6933" s="1">
        <v>4.7999999999999996E-3</v>
      </c>
      <c r="M6933" s="1">
        <v>1.6000000000000001E-3</v>
      </c>
      <c r="N6933" s="1">
        <v>0.11020000000000001</v>
      </c>
      <c r="O6933" s="1">
        <v>0.1225</v>
      </c>
      <c r="P6933" s="1">
        <v>1.8E-3</v>
      </c>
      <c r="Q6933" s="1">
        <v>2.8E-3</v>
      </c>
      <c r="R6933" s="1">
        <v>5.9999999999999995E-4</v>
      </c>
      <c r="S6933" s="1">
        <v>2.7000000000000001E-3</v>
      </c>
      <c r="T6933" s="1">
        <v>3.09E-2</v>
      </c>
      <c r="U6933" s="1">
        <v>5.4999999999999997E-3</v>
      </c>
      <c r="V6933" s="1">
        <v>7.7000000000000002E-3</v>
      </c>
      <c r="W6933" s="1">
        <v>1.2999999999999999E-3</v>
      </c>
    </row>
    <row r="6934" spans="1:23" ht="29.1">
      <c r="A6934" s="25" t="s">
        <v>195</v>
      </c>
      <c r="B6934">
        <v>2703</v>
      </c>
      <c r="C6934" t="s">
        <v>189</v>
      </c>
      <c r="D6934">
        <v>10430</v>
      </c>
      <c r="E6934" s="1">
        <v>0.41520000000000001</v>
      </c>
      <c r="F6934" s="1">
        <v>1.6199999999999999E-2</v>
      </c>
      <c r="G6934" s="1">
        <v>0.2752</v>
      </c>
      <c r="H6934" s="1">
        <v>1.5E-3</v>
      </c>
      <c r="I6934" s="1">
        <v>2.8E-3</v>
      </c>
      <c r="J6934" s="1">
        <v>0.1</v>
      </c>
      <c r="K6934" s="1">
        <v>1.7500000000000002E-2</v>
      </c>
      <c r="L6934" s="1">
        <v>1.34E-2</v>
      </c>
      <c r="M6934" s="1">
        <v>2.5999999999999999E-3</v>
      </c>
      <c r="N6934" s="1">
        <v>0.12920000000000001</v>
      </c>
      <c r="O6934" s="1">
        <v>0.1394</v>
      </c>
      <c r="P6934" s="1">
        <v>3.8999999999999998E-3</v>
      </c>
      <c r="Q6934" s="1">
        <v>3.7000000000000002E-3</v>
      </c>
      <c r="R6934" s="1">
        <v>1E-4</v>
      </c>
      <c r="S6934" s="1">
        <v>8.9999999999999993E-3</v>
      </c>
      <c r="T6934" s="1">
        <v>7.0900000000000005E-2</v>
      </c>
      <c r="U6934" s="1">
        <v>1.6500000000000001E-2</v>
      </c>
      <c r="V6934" s="1">
        <v>1.4E-2</v>
      </c>
      <c r="W6934" s="1">
        <v>1E-3</v>
      </c>
    </row>
    <row r="6935" spans="1:23" ht="29.1">
      <c r="A6935" s="25" t="s">
        <v>196</v>
      </c>
      <c r="B6935">
        <v>1718</v>
      </c>
      <c r="C6935" t="s">
        <v>189</v>
      </c>
      <c r="D6935">
        <v>10430</v>
      </c>
      <c r="E6935" s="1">
        <v>0.1976</v>
      </c>
      <c r="F6935" s="1">
        <v>1.2699999999999999E-2</v>
      </c>
      <c r="G6935" s="1">
        <v>0.46920000000000001</v>
      </c>
      <c r="H6935" s="1">
        <v>5.9999999999999995E-4</v>
      </c>
      <c r="I6935" s="1">
        <v>2.0000000000000001E-4</v>
      </c>
      <c r="J6935" s="1">
        <v>9.8299999999999998E-2</v>
      </c>
      <c r="K6935" s="1">
        <v>1.01E-2</v>
      </c>
      <c r="L6935" s="1">
        <v>1.9199999999999998E-2</v>
      </c>
      <c r="M6935" s="1">
        <v>1.3299999999999999E-2</v>
      </c>
      <c r="N6935" s="1">
        <v>0.1086</v>
      </c>
      <c r="O6935" s="1">
        <v>0.15390000000000001</v>
      </c>
      <c r="P6935" s="1">
        <v>3.0999999999999999E-3</v>
      </c>
      <c r="Q6935" s="1">
        <v>1.2999999999999999E-3</v>
      </c>
      <c r="R6935" s="1">
        <v>1.7500000000000002E-2</v>
      </c>
      <c r="S6935" s="1">
        <v>4.8999999999999998E-3</v>
      </c>
      <c r="T6935" s="1">
        <v>6.6199999999999995E-2</v>
      </c>
      <c r="U6935" s="1">
        <v>1.95E-2</v>
      </c>
      <c r="V6935" s="1">
        <v>3.3399999999999999E-2</v>
      </c>
      <c r="W6935" s="1">
        <v>2.9999999999999997E-4</v>
      </c>
    </row>
    <row r="6936" spans="1:23">
      <c r="A6936" s="25" t="s">
        <v>192</v>
      </c>
      <c r="B6936">
        <v>10430</v>
      </c>
      <c r="C6936" t="s">
        <v>192</v>
      </c>
      <c r="D6936">
        <v>10430</v>
      </c>
      <c r="E6936" s="1">
        <v>0.47070000000000001</v>
      </c>
      <c r="F6936" s="1">
        <v>1.7299999999999999E-2</v>
      </c>
      <c r="G6936" s="1">
        <v>0.26690000000000003</v>
      </c>
      <c r="H6936" s="1">
        <v>2.9999999999999997E-4</v>
      </c>
      <c r="I6936" s="1">
        <v>2.3E-3</v>
      </c>
      <c r="J6936" s="1">
        <v>7.6200000000000004E-2</v>
      </c>
      <c r="K6936" s="1">
        <v>8.6999999999999994E-3</v>
      </c>
      <c r="L6936" s="1">
        <v>7.7999999999999996E-3</v>
      </c>
      <c r="M6936" s="1">
        <v>2.8999999999999998E-3</v>
      </c>
      <c r="N6936" s="1">
        <v>0.11360000000000001</v>
      </c>
      <c r="O6936" s="1">
        <v>0.12859999999999999</v>
      </c>
      <c r="P6936" s="1">
        <v>2.3E-3</v>
      </c>
      <c r="Q6936" s="1">
        <v>2.8999999999999998E-3</v>
      </c>
      <c r="R6936" s="1">
        <v>2.0999999999999999E-3</v>
      </c>
      <c r="S6936" s="1">
        <v>4.1000000000000003E-3</v>
      </c>
      <c r="T6936" s="1">
        <v>4.19E-2</v>
      </c>
      <c r="U6936" s="1">
        <v>8.8999999999999999E-3</v>
      </c>
      <c r="V6936" s="1">
        <v>1.1299999999999999E-2</v>
      </c>
      <c r="W6936" s="1">
        <v>1.1999999999999999E-3</v>
      </c>
    </row>
    <row r="6938" spans="1:23" ht="43.5">
      <c r="A6938" s="25" t="s">
        <v>1754</v>
      </c>
    </row>
    <row r="6939" spans="1:23">
      <c r="A6939" s="25" t="s">
        <v>182</v>
      </c>
      <c r="B6939" t="s">
        <v>219</v>
      </c>
      <c r="C6939" t="s">
        <v>181</v>
      </c>
      <c r="D6939" t="s">
        <v>188</v>
      </c>
      <c r="E6939" t="s">
        <v>1736</v>
      </c>
      <c r="F6939" t="s">
        <v>579</v>
      </c>
      <c r="G6939" t="s">
        <v>324</v>
      </c>
      <c r="H6939" t="s">
        <v>269</v>
      </c>
      <c r="I6939" t="s">
        <v>243</v>
      </c>
      <c r="J6939" t="s">
        <v>1737</v>
      </c>
      <c r="K6939" t="s">
        <v>1738</v>
      </c>
      <c r="L6939" t="s">
        <v>1739</v>
      </c>
      <c r="M6939" t="s">
        <v>1740</v>
      </c>
      <c r="N6939" t="s">
        <v>1741</v>
      </c>
      <c r="O6939" t="s">
        <v>1742</v>
      </c>
      <c r="P6939" t="s">
        <v>1743</v>
      </c>
      <c r="Q6939" t="s">
        <v>1744</v>
      </c>
      <c r="R6939" t="s">
        <v>1745</v>
      </c>
      <c r="S6939" t="s">
        <v>1746</v>
      </c>
      <c r="T6939" t="s">
        <v>1747</v>
      </c>
      <c r="U6939" t="s">
        <v>1748</v>
      </c>
      <c r="V6939" t="s">
        <v>1749</v>
      </c>
      <c r="W6939" t="s">
        <v>1750</v>
      </c>
    </row>
    <row r="6940" spans="1:23">
      <c r="A6940" s="25" t="s">
        <v>198</v>
      </c>
      <c r="B6940">
        <v>2264</v>
      </c>
      <c r="C6940" t="s">
        <v>189</v>
      </c>
      <c r="D6940">
        <v>10430</v>
      </c>
      <c r="E6940" s="1">
        <v>0.34060000000000001</v>
      </c>
      <c r="F6940" s="1">
        <v>2.3199999999999998E-2</v>
      </c>
      <c r="G6940" s="1">
        <v>0.24940000000000001</v>
      </c>
      <c r="H6940" s="1">
        <v>1.6999999999999999E-3</v>
      </c>
      <c r="I6940" s="1">
        <v>2E-3</v>
      </c>
      <c r="J6940" s="1">
        <v>0.14929999999999999</v>
      </c>
      <c r="K6940" s="1">
        <v>1.5100000000000001E-2</v>
      </c>
      <c r="L6940" s="1">
        <v>3.4500000000000003E-2</v>
      </c>
      <c r="M6940" s="1">
        <v>3.0000000000000001E-3</v>
      </c>
      <c r="N6940" s="1">
        <v>0.18229999999999999</v>
      </c>
      <c r="O6940" s="1">
        <v>0.1961</v>
      </c>
      <c r="P6940" s="1">
        <v>2.8E-3</v>
      </c>
      <c r="Q6940" s="1">
        <v>1E-3</v>
      </c>
      <c r="R6940" s="1">
        <v>1.2999999999999999E-3</v>
      </c>
      <c r="S6940" s="1">
        <v>8.6999999999999994E-3</v>
      </c>
      <c r="T6940" s="1">
        <v>4.7699999999999999E-2</v>
      </c>
      <c r="U6940" s="1">
        <v>1.5800000000000002E-2</v>
      </c>
      <c r="V6940" s="1">
        <v>1.9699999999999999E-2</v>
      </c>
      <c r="W6940" s="1">
        <v>1E-3</v>
      </c>
    </row>
    <row r="6941" spans="1:23">
      <c r="A6941" s="25" t="s">
        <v>199</v>
      </c>
      <c r="B6941">
        <v>8166</v>
      </c>
      <c r="C6941" t="s">
        <v>189</v>
      </c>
      <c r="D6941">
        <v>10430</v>
      </c>
      <c r="E6941" s="1">
        <v>0.49990000000000001</v>
      </c>
      <c r="F6941" s="1">
        <v>1.6E-2</v>
      </c>
      <c r="G6941" s="1">
        <v>0.27089999999999997</v>
      </c>
      <c r="H6941" s="1">
        <v>0</v>
      </c>
      <c r="I6941" s="1">
        <v>2.3999999999999998E-3</v>
      </c>
      <c r="J6941" s="1">
        <v>5.9799999999999999E-2</v>
      </c>
      <c r="K6941" s="1">
        <v>7.3000000000000001E-3</v>
      </c>
      <c r="L6941" s="1">
        <v>1.8E-3</v>
      </c>
      <c r="M6941" s="1">
        <v>2.8E-3</v>
      </c>
      <c r="N6941" s="1">
        <v>9.8199999999999996E-2</v>
      </c>
      <c r="O6941" s="1">
        <v>0.1135</v>
      </c>
      <c r="P6941" s="1">
        <v>2.2000000000000001E-3</v>
      </c>
      <c r="Q6941" s="1">
        <v>3.3E-3</v>
      </c>
      <c r="R6941" s="1">
        <v>2.3E-3</v>
      </c>
      <c r="S6941" s="1">
        <v>3.0999999999999999E-3</v>
      </c>
      <c r="T6941" s="1">
        <v>4.07E-2</v>
      </c>
      <c r="U6941" s="1">
        <v>7.4000000000000003E-3</v>
      </c>
      <c r="V6941" s="1">
        <v>9.4999999999999998E-3</v>
      </c>
      <c r="W6941" s="1">
        <v>1.1999999999999999E-3</v>
      </c>
    </row>
    <row r="6942" spans="1:23">
      <c r="A6942" s="25" t="s">
        <v>192</v>
      </c>
      <c r="B6942">
        <v>10430</v>
      </c>
      <c r="C6942" t="s">
        <v>192</v>
      </c>
      <c r="D6942">
        <v>10430</v>
      </c>
      <c r="E6942" s="1">
        <v>0.47070000000000001</v>
      </c>
      <c r="F6942" s="1">
        <v>1.7299999999999999E-2</v>
      </c>
      <c r="G6942" s="1">
        <v>0.26690000000000003</v>
      </c>
      <c r="H6942" s="1">
        <v>2.9999999999999997E-4</v>
      </c>
      <c r="I6942" s="1">
        <v>2.3E-3</v>
      </c>
      <c r="J6942" s="1">
        <v>7.6200000000000004E-2</v>
      </c>
      <c r="K6942" s="1">
        <v>8.6999999999999994E-3</v>
      </c>
      <c r="L6942" s="1">
        <v>7.7999999999999996E-3</v>
      </c>
      <c r="M6942" s="1">
        <v>2.8999999999999998E-3</v>
      </c>
      <c r="N6942" s="1">
        <v>0.11360000000000001</v>
      </c>
      <c r="O6942" s="1">
        <v>0.12859999999999999</v>
      </c>
      <c r="P6942" s="1">
        <v>2.3E-3</v>
      </c>
      <c r="Q6942" s="1">
        <v>2.8999999999999998E-3</v>
      </c>
      <c r="R6942" s="1">
        <v>2.0999999999999999E-3</v>
      </c>
      <c r="S6942" s="1">
        <v>4.1000000000000003E-3</v>
      </c>
      <c r="T6942" s="1">
        <v>4.19E-2</v>
      </c>
      <c r="U6942" s="1">
        <v>8.8999999999999999E-3</v>
      </c>
      <c r="V6942" s="1">
        <v>1.1299999999999999E-2</v>
      </c>
      <c r="W6942" s="1">
        <v>1.1999999999999999E-3</v>
      </c>
    </row>
    <row r="6944" spans="1:23" ht="43.5">
      <c r="A6944" s="25" t="s">
        <v>1755</v>
      </c>
    </row>
    <row r="6945" spans="1:23">
      <c r="A6945" s="25" t="s">
        <v>182</v>
      </c>
      <c r="B6945" t="s">
        <v>219</v>
      </c>
      <c r="C6945" t="s">
        <v>181</v>
      </c>
      <c r="D6945" t="s">
        <v>188</v>
      </c>
      <c r="E6945" t="s">
        <v>1736</v>
      </c>
      <c r="F6945" t="s">
        <v>579</v>
      </c>
      <c r="G6945" t="s">
        <v>324</v>
      </c>
      <c r="H6945" t="s">
        <v>269</v>
      </c>
      <c r="I6945" t="s">
        <v>243</v>
      </c>
      <c r="J6945" t="s">
        <v>1737</v>
      </c>
      <c r="K6945" t="s">
        <v>1738</v>
      </c>
      <c r="L6945" t="s">
        <v>1739</v>
      </c>
      <c r="M6945" t="s">
        <v>1740</v>
      </c>
      <c r="N6945" t="s">
        <v>1741</v>
      </c>
      <c r="O6945" t="s">
        <v>1742</v>
      </c>
      <c r="P6945" t="s">
        <v>1743</v>
      </c>
      <c r="Q6945" t="s">
        <v>1744</v>
      </c>
      <c r="R6945" t="s">
        <v>1745</v>
      </c>
      <c r="S6945" t="s">
        <v>1746</v>
      </c>
      <c r="T6945" t="s">
        <v>1747</v>
      </c>
      <c r="U6945" t="s">
        <v>1748</v>
      </c>
      <c r="V6945" t="s">
        <v>1749</v>
      </c>
      <c r="W6945" t="s">
        <v>1750</v>
      </c>
    </row>
    <row r="6946" spans="1:23">
      <c r="A6946" s="25" t="s">
        <v>201</v>
      </c>
      <c r="B6946">
        <v>767</v>
      </c>
      <c r="C6946" t="s">
        <v>189</v>
      </c>
      <c r="D6946">
        <v>10430</v>
      </c>
      <c r="E6946" s="1">
        <v>0.1176</v>
      </c>
      <c r="F6946" s="1">
        <v>1.7299999999999999E-2</v>
      </c>
      <c r="G6946" s="1">
        <v>0.46970000000000001</v>
      </c>
      <c r="H6946" s="1">
        <v>4.4999999999999997E-3</v>
      </c>
      <c r="I6946" s="1">
        <v>2E-3</v>
      </c>
      <c r="J6946" s="1">
        <v>0.15620000000000001</v>
      </c>
      <c r="K6946" s="1">
        <v>4.3099999999999999E-2</v>
      </c>
      <c r="L6946" s="1">
        <v>1.84E-2</v>
      </c>
      <c r="M6946" s="1">
        <v>3.3E-3</v>
      </c>
      <c r="N6946" s="1">
        <v>0.12959999999999999</v>
      </c>
      <c r="O6946" s="1">
        <v>0.1328</v>
      </c>
      <c r="P6946" s="1">
        <v>3.8E-3</v>
      </c>
      <c r="Q6946" s="1">
        <v>1.8100000000000002E-2</v>
      </c>
      <c r="R6946" s="1">
        <v>1.6999999999999999E-3</v>
      </c>
      <c r="S6946" s="1">
        <v>1.67E-2</v>
      </c>
      <c r="T6946" s="1">
        <v>9.2600000000000002E-2</v>
      </c>
      <c r="U6946" s="1">
        <v>2.1299999999999999E-2</v>
      </c>
      <c r="V6946" s="1">
        <v>4.2299999999999997E-2</v>
      </c>
      <c r="W6946" s="1">
        <v>2.9999999999999997E-4</v>
      </c>
    </row>
    <row r="6947" spans="1:23">
      <c r="A6947" s="25" t="s">
        <v>202</v>
      </c>
      <c r="B6947">
        <v>110</v>
      </c>
      <c r="C6947" t="s">
        <v>189</v>
      </c>
      <c r="D6947">
        <v>10430</v>
      </c>
      <c r="E6947" s="1">
        <v>0.3417</v>
      </c>
      <c r="F6947" s="1">
        <v>6.7000000000000002E-3</v>
      </c>
      <c r="G6947" s="1">
        <v>0.31</v>
      </c>
      <c r="J6947" s="1">
        <v>7.0800000000000002E-2</v>
      </c>
      <c r="K6947" s="1">
        <v>1.5599999999999999E-2</v>
      </c>
      <c r="M6947" s="1">
        <v>1.47E-2</v>
      </c>
      <c r="N6947" s="1">
        <v>0.1537</v>
      </c>
      <c r="O6947" s="1">
        <v>0.20899999999999999</v>
      </c>
      <c r="P6947" s="1">
        <v>2.1999999999999999E-2</v>
      </c>
      <c r="Q6947" s="1">
        <v>6.4000000000000003E-3</v>
      </c>
      <c r="R6947" s="1">
        <v>1.44E-2</v>
      </c>
      <c r="T6947" s="1">
        <v>7.4499999999999997E-2</v>
      </c>
      <c r="U6947" s="1">
        <v>5.0799999999999998E-2</v>
      </c>
      <c r="V6947" s="1">
        <v>4.0000000000000001E-3</v>
      </c>
    </row>
    <row r="6948" spans="1:23">
      <c r="A6948" s="25" t="s">
        <v>203</v>
      </c>
      <c r="B6948">
        <v>8040</v>
      </c>
      <c r="C6948" t="s">
        <v>189</v>
      </c>
      <c r="D6948">
        <v>10430</v>
      </c>
      <c r="E6948" s="1">
        <v>0.50160000000000005</v>
      </c>
      <c r="F6948" s="1">
        <v>1.54E-2</v>
      </c>
      <c r="G6948" s="1">
        <v>0.24310000000000001</v>
      </c>
      <c r="I6948" s="1">
        <v>2.5999999999999999E-3</v>
      </c>
      <c r="J6948" s="1">
        <v>7.0900000000000005E-2</v>
      </c>
      <c r="K6948" s="1">
        <v>6.1000000000000004E-3</v>
      </c>
      <c r="L6948" s="1">
        <v>8.2000000000000007E-3</v>
      </c>
      <c r="M6948" s="1">
        <v>1.6999999999999999E-3</v>
      </c>
      <c r="N6948" s="1">
        <v>0.11890000000000001</v>
      </c>
      <c r="O6948" s="1">
        <v>0.13469999999999999</v>
      </c>
      <c r="P6948" s="1">
        <v>2.0999999999999999E-3</v>
      </c>
      <c r="Q6948" s="1">
        <v>1.9E-3</v>
      </c>
      <c r="R6948" s="1">
        <v>1.5E-3</v>
      </c>
      <c r="S6948" s="1">
        <v>3.5999999999999999E-3</v>
      </c>
      <c r="T6948" s="1">
        <v>3.5499999999999997E-2</v>
      </c>
      <c r="U6948" s="1">
        <v>7.3000000000000001E-3</v>
      </c>
      <c r="V6948" s="1">
        <v>8.6999999999999994E-3</v>
      </c>
      <c r="W6948" s="1">
        <v>1.1000000000000001E-3</v>
      </c>
    </row>
    <row r="6949" spans="1:23">
      <c r="A6949" s="25" t="s">
        <v>204</v>
      </c>
      <c r="B6949">
        <v>31</v>
      </c>
      <c r="C6949" t="s">
        <v>189</v>
      </c>
      <c r="D6949">
        <v>10430</v>
      </c>
      <c r="E6949" s="1">
        <v>0.26229999999999998</v>
      </c>
      <c r="G6949" s="1">
        <v>0.47089999999999999</v>
      </c>
      <c r="I6949" s="1">
        <v>4.8000000000000001E-2</v>
      </c>
      <c r="J6949" s="1">
        <v>7.4899999999999994E-2</v>
      </c>
      <c r="K6949" s="1">
        <v>2.1700000000000001E-2</v>
      </c>
      <c r="N6949" s="1">
        <v>5.8799999999999998E-2</v>
      </c>
      <c r="O6949" s="1">
        <v>8.0399999999999999E-2</v>
      </c>
      <c r="T6949" s="1">
        <v>8.5099999999999995E-2</v>
      </c>
      <c r="U6949" s="1">
        <v>1.0800000000000001E-2</v>
      </c>
    </row>
    <row r="6950" spans="1:23">
      <c r="A6950" s="25" t="s">
        <v>205</v>
      </c>
      <c r="B6950">
        <v>1482</v>
      </c>
      <c r="C6950" t="s">
        <v>189</v>
      </c>
      <c r="D6950">
        <v>10430</v>
      </c>
      <c r="E6950" s="1">
        <v>0.48120000000000002</v>
      </c>
      <c r="F6950" s="1">
        <v>2.8899999999999999E-2</v>
      </c>
      <c r="G6950" s="1">
        <v>0.29609999999999997</v>
      </c>
      <c r="H6950" s="1">
        <v>2.9999999999999997E-4</v>
      </c>
      <c r="I6950" s="1">
        <v>2.0000000000000001E-4</v>
      </c>
      <c r="J6950" s="1">
        <v>6.6400000000000001E-2</v>
      </c>
      <c r="K6950" s="1">
        <v>6.0000000000000001E-3</v>
      </c>
      <c r="L6950" s="1">
        <v>6.9999999999999999E-4</v>
      </c>
      <c r="M6950" s="1">
        <v>8.8999999999999999E-3</v>
      </c>
      <c r="N6950" s="1">
        <v>7.4399999999999994E-2</v>
      </c>
      <c r="O6950" s="1">
        <v>8.8900000000000007E-2</v>
      </c>
      <c r="P6950" s="1">
        <v>2E-3</v>
      </c>
      <c r="Q6950" s="1">
        <v>8.9999999999999998E-4</v>
      </c>
      <c r="R6950" s="1">
        <v>5.3E-3</v>
      </c>
      <c r="S6950" s="1">
        <v>1.1000000000000001E-3</v>
      </c>
      <c r="T6950" s="1">
        <v>5.1200000000000002E-2</v>
      </c>
      <c r="U6950" s="1">
        <v>1.03E-2</v>
      </c>
      <c r="V6950" s="1">
        <v>1.14E-2</v>
      </c>
      <c r="W6950" s="1">
        <v>1.8E-3</v>
      </c>
    </row>
    <row r="6951" spans="1:23">
      <c r="A6951" s="25" t="s">
        <v>192</v>
      </c>
      <c r="B6951">
        <v>10430</v>
      </c>
      <c r="C6951" t="s">
        <v>192</v>
      </c>
      <c r="D6951">
        <v>10430</v>
      </c>
      <c r="E6951" s="1">
        <v>0.47070000000000001</v>
      </c>
      <c r="F6951" s="1">
        <v>1.7299999999999999E-2</v>
      </c>
      <c r="G6951" s="1">
        <v>0.26690000000000003</v>
      </c>
      <c r="H6951" s="1">
        <v>2.9999999999999997E-4</v>
      </c>
      <c r="I6951" s="1">
        <v>2.3E-3</v>
      </c>
      <c r="J6951" s="1">
        <v>7.6200000000000004E-2</v>
      </c>
      <c r="K6951" s="1">
        <v>8.6999999999999994E-3</v>
      </c>
      <c r="L6951" s="1">
        <v>7.7999999999999996E-3</v>
      </c>
      <c r="M6951" s="1">
        <v>2.8999999999999998E-3</v>
      </c>
      <c r="N6951" s="1">
        <v>0.11360000000000001</v>
      </c>
      <c r="O6951" s="1">
        <v>0.12859999999999999</v>
      </c>
      <c r="P6951" s="1">
        <v>2.3E-3</v>
      </c>
      <c r="Q6951" s="1">
        <v>2.8999999999999998E-3</v>
      </c>
      <c r="R6951" s="1">
        <v>2.0999999999999999E-3</v>
      </c>
      <c r="S6951" s="1">
        <v>4.1000000000000003E-3</v>
      </c>
      <c r="T6951" s="1">
        <v>4.19E-2</v>
      </c>
      <c r="U6951" s="1">
        <v>8.8999999999999999E-3</v>
      </c>
      <c r="V6951" s="1">
        <v>1.1299999999999999E-2</v>
      </c>
      <c r="W6951" s="1">
        <v>1.1999999999999999E-3</v>
      </c>
    </row>
    <row r="6953" spans="1:23" ht="43.5">
      <c r="A6953" s="25" t="s">
        <v>1756</v>
      </c>
    </row>
    <row r="6954" spans="1:23">
      <c r="A6954" s="25" t="s">
        <v>182</v>
      </c>
      <c r="B6954" t="s">
        <v>219</v>
      </c>
      <c r="C6954" t="s">
        <v>181</v>
      </c>
      <c r="D6954" t="s">
        <v>188</v>
      </c>
      <c r="E6954" t="s">
        <v>1736</v>
      </c>
      <c r="F6954" t="s">
        <v>579</v>
      </c>
      <c r="G6954" t="s">
        <v>324</v>
      </c>
      <c r="H6954" t="s">
        <v>269</v>
      </c>
      <c r="I6954" t="s">
        <v>243</v>
      </c>
      <c r="J6954" t="s">
        <v>1737</v>
      </c>
      <c r="K6954" t="s">
        <v>1738</v>
      </c>
      <c r="L6954" t="s">
        <v>1739</v>
      </c>
      <c r="M6954" t="s">
        <v>1740</v>
      </c>
      <c r="N6954" t="s">
        <v>1741</v>
      </c>
      <c r="O6954" t="s">
        <v>1742</v>
      </c>
      <c r="P6954" t="s">
        <v>1743</v>
      </c>
      <c r="Q6954" t="s">
        <v>1744</v>
      </c>
      <c r="R6954" t="s">
        <v>1745</v>
      </c>
      <c r="S6954" t="s">
        <v>1746</v>
      </c>
      <c r="T6954" t="s">
        <v>1747</v>
      </c>
      <c r="U6954" t="s">
        <v>1748</v>
      </c>
      <c r="V6954" t="s">
        <v>1749</v>
      </c>
      <c r="W6954" t="s">
        <v>1750</v>
      </c>
    </row>
    <row r="6955" spans="1:23">
      <c r="A6955" s="25" t="s">
        <v>207</v>
      </c>
      <c r="B6955">
        <v>7251</v>
      </c>
      <c r="C6955" t="s">
        <v>189</v>
      </c>
      <c r="D6955">
        <v>10430</v>
      </c>
      <c r="E6955" s="1">
        <v>0.47849999999999998</v>
      </c>
      <c r="F6955" s="1">
        <v>1.7299999999999999E-2</v>
      </c>
      <c r="G6955" s="1">
        <v>0.26910000000000001</v>
      </c>
      <c r="H6955" s="1">
        <v>4.0000000000000002E-4</v>
      </c>
      <c r="I6955" s="1">
        <v>2.0999999999999999E-3</v>
      </c>
      <c r="J6955" s="1">
        <v>6.6699999999999995E-2</v>
      </c>
      <c r="K6955" s="1">
        <v>9.1000000000000004E-3</v>
      </c>
      <c r="L6955" s="1">
        <v>6.4999999999999997E-3</v>
      </c>
      <c r="M6955" s="1">
        <v>3.0999999999999999E-3</v>
      </c>
      <c r="N6955" s="1">
        <v>0.1045</v>
      </c>
      <c r="O6955" s="1">
        <v>0.1226</v>
      </c>
      <c r="P6955" s="1">
        <v>2.3E-3</v>
      </c>
      <c r="Q6955" s="1">
        <v>3.0000000000000001E-3</v>
      </c>
      <c r="R6955" s="1">
        <v>2.3E-3</v>
      </c>
      <c r="S6955" s="1">
        <v>3.7000000000000002E-3</v>
      </c>
      <c r="T6955" s="1">
        <v>4.6199999999999998E-2</v>
      </c>
      <c r="U6955" s="1">
        <v>9.1000000000000004E-3</v>
      </c>
      <c r="V6955" s="1">
        <v>1.17E-2</v>
      </c>
      <c r="W6955" s="1">
        <v>1.4E-3</v>
      </c>
    </row>
    <row r="6956" spans="1:23">
      <c r="A6956" s="25" t="s">
        <v>208</v>
      </c>
      <c r="B6956">
        <v>2245</v>
      </c>
      <c r="C6956" t="s">
        <v>189</v>
      </c>
      <c r="D6956">
        <v>10430</v>
      </c>
      <c r="E6956" s="1">
        <v>0.45619999999999999</v>
      </c>
      <c r="F6956" s="1">
        <v>1.8499999999999999E-2</v>
      </c>
      <c r="G6956" s="1">
        <v>0.24560000000000001</v>
      </c>
      <c r="H6956" s="1">
        <v>2.0000000000000001E-4</v>
      </c>
      <c r="I6956" s="1">
        <v>3.8E-3</v>
      </c>
      <c r="J6956" s="1">
        <v>0.1061</v>
      </c>
      <c r="K6956" s="1">
        <v>7.7999999999999996E-3</v>
      </c>
      <c r="L6956" s="1">
        <v>1.38E-2</v>
      </c>
      <c r="M6956" s="1">
        <v>2.3999999999999998E-3</v>
      </c>
      <c r="N6956" s="1">
        <v>0.14130000000000001</v>
      </c>
      <c r="O6956" s="1">
        <v>0.1419</v>
      </c>
      <c r="P6956" s="1">
        <v>2.0999999999999999E-3</v>
      </c>
      <c r="Q6956" s="1">
        <v>3.5000000000000001E-3</v>
      </c>
      <c r="R6956" s="1">
        <v>1.5E-3</v>
      </c>
      <c r="S6956" s="1">
        <v>5.4000000000000003E-3</v>
      </c>
      <c r="T6956" s="1">
        <v>3.3000000000000002E-2</v>
      </c>
      <c r="U6956" s="1">
        <v>8.5000000000000006E-3</v>
      </c>
      <c r="V6956" s="1">
        <v>1.17E-2</v>
      </c>
      <c r="W6956" s="1">
        <v>6.9999999999999999E-4</v>
      </c>
    </row>
    <row r="6957" spans="1:23">
      <c r="A6957" s="25" t="s">
        <v>209</v>
      </c>
      <c r="B6957">
        <v>934</v>
      </c>
      <c r="C6957" t="s">
        <v>189</v>
      </c>
      <c r="D6957">
        <v>10430</v>
      </c>
      <c r="E6957" s="1">
        <v>0.443</v>
      </c>
      <c r="F6957" s="1">
        <v>1.38E-2</v>
      </c>
      <c r="G6957" s="1">
        <v>0.30919999999999997</v>
      </c>
      <c r="H6957" s="1">
        <v>2.9999999999999997E-4</v>
      </c>
      <c r="I6957" s="1">
        <v>2.0000000000000001E-4</v>
      </c>
      <c r="J6957" s="1">
        <v>7.4800000000000005E-2</v>
      </c>
      <c r="K6957" s="1">
        <v>8.2000000000000007E-3</v>
      </c>
      <c r="L6957" s="1">
        <v>2.5000000000000001E-3</v>
      </c>
      <c r="M6957" s="1">
        <v>1.8E-3</v>
      </c>
      <c r="N6957" s="1">
        <v>0.11559999999999999</v>
      </c>
      <c r="O6957" s="1">
        <v>0.1434</v>
      </c>
      <c r="P6957" s="1">
        <v>3.3999999999999998E-3</v>
      </c>
      <c r="Q6957" s="1">
        <v>2.0000000000000001E-4</v>
      </c>
      <c r="R6957" s="1">
        <v>1.9E-3</v>
      </c>
      <c r="S6957" s="1">
        <v>4.0000000000000001E-3</v>
      </c>
      <c r="T6957" s="1">
        <v>2.9600000000000001E-2</v>
      </c>
      <c r="U6957" s="1">
        <v>8.6999999999999994E-3</v>
      </c>
      <c r="V6957" s="1">
        <v>7.1999999999999998E-3</v>
      </c>
      <c r="W6957" s="1">
        <v>2.9999999999999997E-4</v>
      </c>
    </row>
    <row r="6958" spans="1:23">
      <c r="A6958" s="25" t="s">
        <v>192</v>
      </c>
      <c r="B6958">
        <v>10430</v>
      </c>
      <c r="C6958" t="s">
        <v>192</v>
      </c>
      <c r="D6958">
        <v>10430</v>
      </c>
      <c r="E6958" s="1">
        <v>0.47070000000000001</v>
      </c>
      <c r="F6958" s="1">
        <v>1.7299999999999999E-2</v>
      </c>
      <c r="G6958" s="1">
        <v>0.26690000000000003</v>
      </c>
      <c r="H6958" s="1">
        <v>2.9999999999999997E-4</v>
      </c>
      <c r="I6958" s="1">
        <v>2.3E-3</v>
      </c>
      <c r="J6958" s="1">
        <v>7.6200000000000004E-2</v>
      </c>
      <c r="K6958" s="1">
        <v>8.6999999999999994E-3</v>
      </c>
      <c r="L6958" s="1">
        <v>7.7999999999999996E-3</v>
      </c>
      <c r="M6958" s="1">
        <v>2.8999999999999998E-3</v>
      </c>
      <c r="N6958" s="1">
        <v>0.11360000000000001</v>
      </c>
      <c r="O6958" s="1">
        <v>0.12859999999999999</v>
      </c>
      <c r="P6958" s="1">
        <v>2.3E-3</v>
      </c>
      <c r="Q6958" s="1">
        <v>2.8999999999999998E-3</v>
      </c>
      <c r="R6958" s="1">
        <v>2.0999999999999999E-3</v>
      </c>
      <c r="S6958" s="1">
        <v>4.1000000000000003E-3</v>
      </c>
      <c r="T6958" s="1">
        <v>4.19E-2</v>
      </c>
      <c r="U6958" s="1">
        <v>8.8999999999999999E-3</v>
      </c>
      <c r="V6958" s="1">
        <v>1.1299999999999999E-2</v>
      </c>
      <c r="W6958" s="1">
        <v>1.1999999999999999E-3</v>
      </c>
    </row>
    <row r="6960" spans="1:23" ht="43.5">
      <c r="A6960" s="25" t="s">
        <v>1757</v>
      </c>
    </row>
    <row r="6961" spans="1:23">
      <c r="A6961" s="25" t="s">
        <v>182</v>
      </c>
      <c r="B6961" t="s">
        <v>219</v>
      </c>
      <c r="C6961" t="s">
        <v>181</v>
      </c>
      <c r="D6961" t="s">
        <v>188</v>
      </c>
      <c r="E6961" t="s">
        <v>1736</v>
      </c>
      <c r="F6961" t="s">
        <v>579</v>
      </c>
      <c r="G6961" t="s">
        <v>324</v>
      </c>
      <c r="H6961" t="s">
        <v>269</v>
      </c>
      <c r="I6961" t="s">
        <v>243</v>
      </c>
      <c r="J6961" t="s">
        <v>1737</v>
      </c>
      <c r="K6961" t="s">
        <v>1738</v>
      </c>
      <c r="L6961" t="s">
        <v>1739</v>
      </c>
      <c r="M6961" t="s">
        <v>1740</v>
      </c>
      <c r="N6961" t="s">
        <v>1741</v>
      </c>
      <c r="O6961" t="s">
        <v>1742</v>
      </c>
      <c r="P6961" t="s">
        <v>1743</v>
      </c>
      <c r="Q6961" t="s">
        <v>1744</v>
      </c>
      <c r="R6961" t="s">
        <v>1745</v>
      </c>
      <c r="S6961" t="s">
        <v>1746</v>
      </c>
      <c r="T6961" t="s">
        <v>1747</v>
      </c>
      <c r="U6961" t="s">
        <v>1748</v>
      </c>
      <c r="V6961" t="s">
        <v>1749</v>
      </c>
      <c r="W6961" t="s">
        <v>1750</v>
      </c>
    </row>
    <row r="6962" spans="1:23">
      <c r="A6962" s="25" t="s">
        <v>211</v>
      </c>
      <c r="B6962">
        <v>4969</v>
      </c>
      <c r="C6962" t="s">
        <v>189</v>
      </c>
      <c r="D6962">
        <v>10430</v>
      </c>
      <c r="E6962" s="1">
        <v>0.4733</v>
      </c>
      <c r="F6962" s="1">
        <v>1.6E-2</v>
      </c>
      <c r="G6962" s="1">
        <v>0.2797</v>
      </c>
      <c r="I6962" s="1">
        <v>1E-3</v>
      </c>
      <c r="J6962" s="1">
        <v>6.3700000000000007E-2</v>
      </c>
      <c r="K6962" s="1">
        <v>7.4000000000000003E-3</v>
      </c>
      <c r="L6962" s="1">
        <v>6.4000000000000003E-3</v>
      </c>
      <c r="M6962" s="1">
        <v>3.5000000000000001E-3</v>
      </c>
      <c r="N6962" s="1">
        <v>0.10639999999999999</v>
      </c>
      <c r="O6962" s="1">
        <v>0.13089999999999999</v>
      </c>
      <c r="P6962" s="1">
        <v>2.3E-3</v>
      </c>
      <c r="Q6962" s="1">
        <v>2.7000000000000001E-3</v>
      </c>
      <c r="R6962" s="1">
        <v>2.5999999999999999E-3</v>
      </c>
      <c r="S6962" s="1">
        <v>2.8E-3</v>
      </c>
      <c r="T6962" s="1">
        <v>4.1000000000000002E-2</v>
      </c>
      <c r="U6962" s="1">
        <v>0.01</v>
      </c>
      <c r="V6962" s="1">
        <v>8.3000000000000001E-3</v>
      </c>
      <c r="W6962" s="1">
        <v>1E-3</v>
      </c>
    </row>
    <row r="6963" spans="1:23">
      <c r="A6963" s="25" t="s">
        <v>212</v>
      </c>
      <c r="B6963">
        <v>3376</v>
      </c>
      <c r="C6963" t="s">
        <v>189</v>
      </c>
      <c r="D6963">
        <v>10430</v>
      </c>
      <c r="E6963" s="1">
        <v>0.42070000000000002</v>
      </c>
      <c r="F6963" s="1">
        <v>1.78E-2</v>
      </c>
      <c r="G6963" s="1">
        <v>0.26590000000000003</v>
      </c>
      <c r="H6963" s="1">
        <v>8.9999999999999998E-4</v>
      </c>
      <c r="I6963" s="1">
        <v>2.7000000000000001E-3</v>
      </c>
      <c r="J6963" s="1">
        <v>9.9500000000000005E-2</v>
      </c>
      <c r="K6963" s="1">
        <v>1.3100000000000001E-2</v>
      </c>
      <c r="L6963" s="1">
        <v>1.38E-2</v>
      </c>
      <c r="M6963" s="1">
        <v>2.3E-3</v>
      </c>
      <c r="N6963" s="1">
        <v>0.1399</v>
      </c>
      <c r="O6963" s="1">
        <v>0.1469</v>
      </c>
      <c r="P6963" s="1">
        <v>1.8E-3</v>
      </c>
      <c r="Q6963" s="1">
        <v>8.0000000000000004E-4</v>
      </c>
      <c r="R6963" s="1">
        <v>2.3E-3</v>
      </c>
      <c r="S6963" s="1">
        <v>7.7999999999999996E-3</v>
      </c>
      <c r="T6963" s="1">
        <v>4.65E-2</v>
      </c>
      <c r="U6963" s="1">
        <v>1.01E-2</v>
      </c>
      <c r="V6963" s="1">
        <v>1.38E-2</v>
      </c>
      <c r="W6963" s="1">
        <v>2.2000000000000001E-3</v>
      </c>
    </row>
    <row r="6964" spans="1:23">
      <c r="A6964" s="25" t="s">
        <v>213</v>
      </c>
      <c r="B6964">
        <v>2085</v>
      </c>
      <c r="C6964" t="s">
        <v>189</v>
      </c>
      <c r="D6964">
        <v>10430</v>
      </c>
      <c r="E6964" s="1">
        <v>0.5363</v>
      </c>
      <c r="F6964" s="1">
        <v>1.95E-2</v>
      </c>
      <c r="G6964" s="1">
        <v>0.24079999999999999</v>
      </c>
      <c r="H6964" s="1">
        <v>2.9999999999999997E-4</v>
      </c>
      <c r="I6964" s="1">
        <v>4.5999999999999999E-3</v>
      </c>
      <c r="J6964" s="1">
        <v>6.9800000000000001E-2</v>
      </c>
      <c r="K6964" s="1">
        <v>5.4000000000000003E-3</v>
      </c>
      <c r="L6964" s="1">
        <v>2.3999999999999998E-3</v>
      </c>
      <c r="M6964" s="1">
        <v>2.2000000000000001E-3</v>
      </c>
      <c r="N6964" s="1">
        <v>9.1700000000000004E-2</v>
      </c>
      <c r="O6964" s="1">
        <v>9.7799999999999998E-2</v>
      </c>
      <c r="P6964" s="1">
        <v>3.0000000000000001E-3</v>
      </c>
      <c r="Q6964" s="1">
        <v>6.1999999999999998E-3</v>
      </c>
      <c r="R6964" s="1">
        <v>5.9999999999999995E-4</v>
      </c>
      <c r="S6964" s="1">
        <v>1.8E-3</v>
      </c>
      <c r="T6964" s="1">
        <v>3.7600000000000001E-2</v>
      </c>
      <c r="U6964" s="1">
        <v>5.0000000000000001E-3</v>
      </c>
      <c r="V6964" s="1">
        <v>1.43E-2</v>
      </c>
      <c r="W6964" s="1">
        <v>1E-4</v>
      </c>
    </row>
    <row r="6965" spans="1:23">
      <c r="A6965" s="25" t="s">
        <v>192</v>
      </c>
      <c r="B6965">
        <v>10430</v>
      </c>
      <c r="C6965" t="s">
        <v>192</v>
      </c>
      <c r="D6965">
        <v>10430</v>
      </c>
      <c r="E6965" s="1">
        <v>0.47070000000000001</v>
      </c>
      <c r="F6965" s="1">
        <v>1.7299999999999999E-2</v>
      </c>
      <c r="G6965" s="1">
        <v>0.26690000000000003</v>
      </c>
      <c r="H6965" s="1">
        <v>2.9999999999999997E-4</v>
      </c>
      <c r="I6965" s="1">
        <v>2.3E-3</v>
      </c>
      <c r="J6965" s="1">
        <v>7.6200000000000004E-2</v>
      </c>
      <c r="K6965" s="1">
        <v>8.6999999999999994E-3</v>
      </c>
      <c r="L6965" s="1">
        <v>7.7999999999999996E-3</v>
      </c>
      <c r="M6965" s="1">
        <v>2.8999999999999998E-3</v>
      </c>
      <c r="N6965" s="1">
        <v>0.11360000000000001</v>
      </c>
      <c r="O6965" s="1">
        <v>0.12859999999999999</v>
      </c>
      <c r="P6965" s="1">
        <v>2.3E-3</v>
      </c>
      <c r="Q6965" s="1">
        <v>2.8999999999999998E-3</v>
      </c>
      <c r="R6965" s="1">
        <v>2.0999999999999999E-3</v>
      </c>
      <c r="S6965" s="1">
        <v>4.1000000000000003E-3</v>
      </c>
      <c r="T6965" s="1">
        <v>4.19E-2</v>
      </c>
      <c r="U6965" s="1">
        <v>8.8999999999999999E-3</v>
      </c>
      <c r="V6965" s="1">
        <v>1.1299999999999999E-2</v>
      </c>
      <c r="W6965" s="1">
        <v>1.1999999999999999E-3</v>
      </c>
    </row>
    <row r="6967" spans="1:23" ht="29.1">
      <c r="A6967" s="25" t="s">
        <v>1758</v>
      </c>
    </row>
    <row r="6968" spans="1:23">
      <c r="A6968" s="25" t="s">
        <v>182</v>
      </c>
      <c r="B6968" t="s">
        <v>219</v>
      </c>
      <c r="C6968" t="s">
        <v>181</v>
      </c>
      <c r="D6968" t="s">
        <v>188</v>
      </c>
      <c r="E6968" t="s">
        <v>1759</v>
      </c>
      <c r="F6968" t="s">
        <v>1760</v>
      </c>
      <c r="G6968" t="s">
        <v>243</v>
      </c>
      <c r="H6968" t="s">
        <v>1761</v>
      </c>
      <c r="I6968" t="s">
        <v>1762</v>
      </c>
      <c r="J6968" t="s">
        <v>1763</v>
      </c>
    </row>
    <row r="6969" spans="1:23">
      <c r="A6969" s="25" t="s">
        <v>215</v>
      </c>
      <c r="B6969">
        <v>799</v>
      </c>
      <c r="C6969" t="s">
        <v>189</v>
      </c>
      <c r="D6969">
        <v>3196</v>
      </c>
      <c r="E6969" s="1">
        <v>4.4699999999999997E-2</v>
      </c>
      <c r="F6969" s="1">
        <v>0.17710000000000001</v>
      </c>
      <c r="G6969" s="1">
        <v>7.9000000000000008E-3</v>
      </c>
      <c r="H6969" s="1">
        <v>0.6</v>
      </c>
      <c r="I6969" s="1">
        <v>7.6E-3</v>
      </c>
      <c r="J6969" s="1">
        <v>0.1628</v>
      </c>
    </row>
    <row r="6970" spans="1:23">
      <c r="A6970" s="25" t="s">
        <v>216</v>
      </c>
      <c r="B6970">
        <v>1</v>
      </c>
      <c r="C6970" t="s">
        <v>189</v>
      </c>
      <c r="D6970">
        <v>3196</v>
      </c>
      <c r="J6970" s="1">
        <v>1</v>
      </c>
    </row>
    <row r="6971" spans="1:23">
      <c r="A6971" s="25" t="s">
        <v>217</v>
      </c>
      <c r="B6971">
        <v>2396</v>
      </c>
      <c r="C6971" t="s">
        <v>189</v>
      </c>
      <c r="D6971">
        <v>3196</v>
      </c>
      <c r="E6971" s="1">
        <v>2.8799999999999999E-2</v>
      </c>
      <c r="F6971" s="1">
        <v>0.1024</v>
      </c>
      <c r="G6971" s="1">
        <v>3.3E-3</v>
      </c>
      <c r="H6971" s="1">
        <v>0.65280000000000005</v>
      </c>
      <c r="I6971" s="1">
        <v>4.5999999999999999E-3</v>
      </c>
      <c r="J6971" s="1">
        <v>0.20810000000000001</v>
      </c>
    </row>
    <row r="6972" spans="1:23">
      <c r="A6972" s="25" t="s">
        <v>192</v>
      </c>
      <c r="B6972">
        <v>3196</v>
      </c>
      <c r="C6972" t="s">
        <v>192</v>
      </c>
      <c r="D6972">
        <v>3196</v>
      </c>
      <c r="E6972" s="1">
        <v>3.3000000000000002E-2</v>
      </c>
      <c r="F6972" s="1">
        <v>0.1221</v>
      </c>
      <c r="G6972" s="1">
        <v>4.4999999999999997E-3</v>
      </c>
      <c r="H6972" s="1">
        <v>0.63880000000000003</v>
      </c>
      <c r="I6972" s="1">
        <v>5.3E-3</v>
      </c>
      <c r="J6972" s="1">
        <v>0.1963</v>
      </c>
    </row>
    <row r="6974" spans="1:23" ht="29.1">
      <c r="A6974" s="25" t="s">
        <v>1764</v>
      </c>
    </row>
    <row r="6975" spans="1:23">
      <c r="A6975" s="25" t="s">
        <v>182</v>
      </c>
      <c r="B6975" t="s">
        <v>219</v>
      </c>
      <c r="C6975" t="s">
        <v>181</v>
      </c>
      <c r="D6975" t="s">
        <v>188</v>
      </c>
      <c r="E6975" t="s">
        <v>1759</v>
      </c>
      <c r="F6975" t="s">
        <v>1760</v>
      </c>
      <c r="G6975" t="s">
        <v>243</v>
      </c>
      <c r="H6975" t="s">
        <v>1761</v>
      </c>
      <c r="I6975" t="s">
        <v>1762</v>
      </c>
      <c r="J6975" t="s">
        <v>1763</v>
      </c>
    </row>
    <row r="6976" spans="1:23">
      <c r="A6976" s="25" t="s">
        <v>223</v>
      </c>
      <c r="B6976">
        <v>157</v>
      </c>
      <c r="C6976" t="s">
        <v>189</v>
      </c>
      <c r="D6976">
        <v>3196</v>
      </c>
      <c r="E6976" s="1">
        <v>5.1799999999999999E-2</v>
      </c>
      <c r="F6976" s="1">
        <v>7.1599999999999997E-2</v>
      </c>
      <c r="H6976" s="1">
        <v>0.65610000000000002</v>
      </c>
      <c r="J6976" s="1">
        <v>0.2205</v>
      </c>
    </row>
    <row r="6977" spans="1:10">
      <c r="A6977" s="25" t="s">
        <v>224</v>
      </c>
      <c r="B6977">
        <v>1008</v>
      </c>
      <c r="C6977" t="s">
        <v>189</v>
      </c>
      <c r="D6977">
        <v>3196</v>
      </c>
      <c r="E6977" s="1">
        <v>3.3300000000000003E-2</v>
      </c>
      <c r="F6977" s="1">
        <v>0.1196</v>
      </c>
      <c r="G6977" s="1">
        <v>2E-3</v>
      </c>
      <c r="H6977" s="1">
        <v>0.64119999999999999</v>
      </c>
      <c r="I6977" s="1">
        <v>3.3E-3</v>
      </c>
      <c r="J6977" s="1">
        <v>0.2006</v>
      </c>
    </row>
    <row r="6978" spans="1:10">
      <c r="A6978" s="25" t="s">
        <v>225</v>
      </c>
      <c r="B6978">
        <v>928</v>
      </c>
      <c r="C6978" t="s">
        <v>189</v>
      </c>
      <c r="D6978">
        <v>3196</v>
      </c>
      <c r="E6978" s="1">
        <v>2.6800000000000001E-2</v>
      </c>
      <c r="F6978" s="1">
        <v>0.1283</v>
      </c>
      <c r="G6978" s="1">
        <v>7.0000000000000001E-3</v>
      </c>
      <c r="H6978" s="1">
        <v>0.67559999999999998</v>
      </c>
      <c r="I6978" s="1">
        <v>1.0800000000000001E-2</v>
      </c>
      <c r="J6978" s="1">
        <v>0.15160000000000001</v>
      </c>
    </row>
    <row r="6979" spans="1:10">
      <c r="A6979" s="25" t="s">
        <v>226</v>
      </c>
      <c r="B6979">
        <v>1103</v>
      </c>
      <c r="C6979" t="s">
        <v>189</v>
      </c>
      <c r="D6979">
        <v>3196</v>
      </c>
      <c r="E6979" s="1">
        <v>3.2899999999999999E-2</v>
      </c>
      <c r="F6979" s="1">
        <v>0.13039999999999999</v>
      </c>
      <c r="G6979" s="1">
        <v>5.7000000000000002E-3</v>
      </c>
      <c r="H6979" s="1">
        <v>0.60929999999999995</v>
      </c>
      <c r="I6979" s="1">
        <v>4.4000000000000003E-3</v>
      </c>
      <c r="J6979" s="1">
        <v>0.21729999999999999</v>
      </c>
    </row>
    <row r="6980" spans="1:10">
      <c r="A6980" s="25" t="s">
        <v>192</v>
      </c>
      <c r="B6980">
        <v>3196</v>
      </c>
      <c r="C6980" t="s">
        <v>192</v>
      </c>
      <c r="D6980">
        <v>3196</v>
      </c>
      <c r="E6980" s="1">
        <v>3.3000000000000002E-2</v>
      </c>
      <c r="F6980" s="1">
        <v>0.1221</v>
      </c>
      <c r="G6980" s="1">
        <v>4.4999999999999997E-3</v>
      </c>
      <c r="H6980" s="1">
        <v>0.63880000000000003</v>
      </c>
      <c r="I6980" s="1">
        <v>5.3E-3</v>
      </c>
      <c r="J6980" s="1">
        <v>0.1963</v>
      </c>
    </row>
    <row r="6982" spans="1:10" ht="29.1">
      <c r="A6982" s="25" t="s">
        <v>1765</v>
      </c>
    </row>
    <row r="6983" spans="1:10">
      <c r="A6983" s="25" t="s">
        <v>182</v>
      </c>
      <c r="B6983" t="s">
        <v>219</v>
      </c>
      <c r="C6983" t="s">
        <v>181</v>
      </c>
      <c r="D6983" t="s">
        <v>188</v>
      </c>
      <c r="E6983" t="s">
        <v>1759</v>
      </c>
      <c r="F6983" t="s">
        <v>1760</v>
      </c>
      <c r="G6983" t="s">
        <v>243</v>
      </c>
      <c r="H6983" t="s">
        <v>1761</v>
      </c>
      <c r="I6983" t="s">
        <v>1762</v>
      </c>
      <c r="J6983" t="s">
        <v>1763</v>
      </c>
    </row>
    <row r="6984" spans="1:10">
      <c r="A6984" s="25" t="s">
        <v>190</v>
      </c>
      <c r="B6984">
        <v>1442</v>
      </c>
      <c r="C6984" t="s">
        <v>189</v>
      </c>
      <c r="D6984">
        <v>3196</v>
      </c>
      <c r="E6984" s="1">
        <v>4.4600000000000001E-2</v>
      </c>
      <c r="F6984" s="1">
        <v>0.1258</v>
      </c>
      <c r="G6984" s="1">
        <v>7.7999999999999996E-3</v>
      </c>
      <c r="H6984" s="1">
        <v>0.59899999999999998</v>
      </c>
      <c r="I6984" s="1">
        <v>1.6000000000000001E-3</v>
      </c>
      <c r="J6984" s="1">
        <v>0.22109999999999999</v>
      </c>
    </row>
    <row r="6985" spans="1:10">
      <c r="A6985" s="25" t="s">
        <v>191</v>
      </c>
      <c r="B6985">
        <v>1711</v>
      </c>
      <c r="C6985" t="s">
        <v>189</v>
      </c>
      <c r="D6985">
        <v>3196</v>
      </c>
      <c r="E6985" s="1">
        <v>2.76E-2</v>
      </c>
      <c r="F6985" s="1">
        <v>0.1205</v>
      </c>
      <c r="G6985" s="1">
        <v>2.8E-3</v>
      </c>
      <c r="H6985" s="1">
        <v>0.65710000000000002</v>
      </c>
      <c r="I6985" s="1">
        <v>7.1000000000000004E-3</v>
      </c>
      <c r="J6985" s="1">
        <v>0.18490000000000001</v>
      </c>
    </row>
    <row r="6986" spans="1:10">
      <c r="A6986" s="25" t="s">
        <v>192</v>
      </c>
      <c r="B6986">
        <v>3196</v>
      </c>
      <c r="C6986" t="s">
        <v>192</v>
      </c>
      <c r="D6986">
        <v>3196</v>
      </c>
      <c r="E6986" s="1">
        <v>3.3000000000000002E-2</v>
      </c>
      <c r="F6986" s="1">
        <v>0.1221</v>
      </c>
      <c r="G6986" s="1">
        <v>4.4999999999999997E-3</v>
      </c>
      <c r="H6986" s="1">
        <v>0.63880000000000003</v>
      </c>
      <c r="I6986" s="1">
        <v>5.3E-3</v>
      </c>
      <c r="J6986" s="1">
        <v>0.1963</v>
      </c>
    </row>
    <row r="6988" spans="1:10" ht="43.5">
      <c r="A6988" s="25" t="s">
        <v>1766</v>
      </c>
    </row>
    <row r="6989" spans="1:10">
      <c r="A6989" s="25" t="s">
        <v>182</v>
      </c>
      <c r="B6989" t="s">
        <v>219</v>
      </c>
      <c r="C6989" t="s">
        <v>181</v>
      </c>
      <c r="D6989" t="s">
        <v>188</v>
      </c>
      <c r="E6989" t="s">
        <v>1759</v>
      </c>
      <c r="F6989" t="s">
        <v>1760</v>
      </c>
      <c r="G6989" t="s">
        <v>243</v>
      </c>
      <c r="H6989" t="s">
        <v>1761</v>
      </c>
      <c r="I6989" t="s">
        <v>1762</v>
      </c>
      <c r="J6989" t="s">
        <v>1763</v>
      </c>
    </row>
    <row r="6990" spans="1:10" ht="29.1">
      <c r="A6990" s="25" t="s">
        <v>194</v>
      </c>
      <c r="B6990">
        <v>758</v>
      </c>
      <c r="C6990" t="s">
        <v>189</v>
      </c>
      <c r="D6990">
        <v>3196</v>
      </c>
      <c r="E6990" s="1">
        <v>2.23E-2</v>
      </c>
      <c r="F6990" s="1">
        <v>0.12590000000000001</v>
      </c>
      <c r="G6990" s="1">
        <v>5.7000000000000002E-3</v>
      </c>
      <c r="H6990" s="1">
        <v>0.60299999999999998</v>
      </c>
      <c r="I6990" s="1">
        <v>6.0000000000000001E-3</v>
      </c>
      <c r="J6990" s="1">
        <v>0.23730000000000001</v>
      </c>
    </row>
    <row r="6991" spans="1:10" ht="29.1">
      <c r="A6991" s="25" t="s">
        <v>195</v>
      </c>
      <c r="B6991">
        <v>1152</v>
      </c>
      <c r="C6991" t="s">
        <v>189</v>
      </c>
      <c r="D6991">
        <v>3196</v>
      </c>
      <c r="E6991" s="1">
        <v>4.1500000000000002E-2</v>
      </c>
      <c r="F6991" s="1">
        <v>9.8900000000000002E-2</v>
      </c>
      <c r="G6991" s="1">
        <v>4.1000000000000003E-3</v>
      </c>
      <c r="H6991" s="1">
        <v>0.68030000000000002</v>
      </c>
      <c r="I6991" s="1">
        <v>8.9999999999999993E-3</v>
      </c>
      <c r="J6991" s="1">
        <v>0.16619999999999999</v>
      </c>
    </row>
    <row r="6992" spans="1:10" ht="29.1">
      <c r="A6992" s="25" t="s">
        <v>196</v>
      </c>
      <c r="B6992">
        <v>1243</v>
      </c>
      <c r="C6992" t="s">
        <v>189</v>
      </c>
      <c r="D6992">
        <v>3196</v>
      </c>
      <c r="E6992" s="1">
        <v>3.9199999999999999E-2</v>
      </c>
      <c r="F6992" s="1">
        <v>0.14499999999999999</v>
      </c>
      <c r="G6992" s="1">
        <v>2.8E-3</v>
      </c>
      <c r="H6992" s="1">
        <v>0.64180000000000004</v>
      </c>
      <c r="J6992" s="1">
        <v>0.17119999999999999</v>
      </c>
    </row>
    <row r="6993" spans="1:10">
      <c r="A6993" s="25" t="s">
        <v>192</v>
      </c>
      <c r="B6993">
        <v>3196</v>
      </c>
      <c r="C6993" t="s">
        <v>192</v>
      </c>
      <c r="D6993">
        <v>3196</v>
      </c>
      <c r="E6993" s="1">
        <v>3.3000000000000002E-2</v>
      </c>
      <c r="F6993" s="1">
        <v>0.1221</v>
      </c>
      <c r="G6993" s="1">
        <v>4.4999999999999997E-3</v>
      </c>
      <c r="H6993" s="1">
        <v>0.63880000000000003</v>
      </c>
      <c r="I6993" s="1">
        <v>5.3E-3</v>
      </c>
      <c r="J6993" s="1">
        <v>0.1963</v>
      </c>
    </row>
    <row r="6995" spans="1:10" ht="43.5">
      <c r="A6995" s="25" t="s">
        <v>1767</v>
      </c>
    </row>
    <row r="6996" spans="1:10">
      <c r="A6996" s="25" t="s">
        <v>182</v>
      </c>
      <c r="B6996" t="s">
        <v>219</v>
      </c>
      <c r="C6996" t="s">
        <v>181</v>
      </c>
      <c r="D6996" t="s">
        <v>188</v>
      </c>
      <c r="E6996" t="s">
        <v>1759</v>
      </c>
      <c r="F6996" t="s">
        <v>1760</v>
      </c>
      <c r="G6996" t="s">
        <v>243</v>
      </c>
      <c r="H6996" t="s">
        <v>1761</v>
      </c>
      <c r="I6996" t="s">
        <v>1762</v>
      </c>
      <c r="J6996" t="s">
        <v>1763</v>
      </c>
    </row>
    <row r="6997" spans="1:10">
      <c r="A6997" s="25" t="s">
        <v>198</v>
      </c>
      <c r="B6997">
        <v>952</v>
      </c>
      <c r="C6997" t="s">
        <v>189</v>
      </c>
      <c r="D6997">
        <v>3196</v>
      </c>
      <c r="E6997" s="1">
        <v>4.58E-2</v>
      </c>
      <c r="F6997" s="1">
        <v>0.1201</v>
      </c>
      <c r="G6997" s="1">
        <v>4.3E-3</v>
      </c>
      <c r="H6997" s="1">
        <v>0.62409999999999999</v>
      </c>
      <c r="I6997" s="1">
        <v>7.9000000000000008E-3</v>
      </c>
      <c r="J6997" s="1">
        <v>0.19789999999999999</v>
      </c>
    </row>
    <row r="6998" spans="1:10">
      <c r="A6998" s="25" t="s">
        <v>199</v>
      </c>
      <c r="B6998">
        <v>2244</v>
      </c>
      <c r="C6998" t="s">
        <v>189</v>
      </c>
      <c r="D6998">
        <v>3196</v>
      </c>
      <c r="E6998" s="1">
        <v>2.7900000000000001E-2</v>
      </c>
      <c r="F6998" s="1">
        <v>0.12280000000000001</v>
      </c>
      <c r="G6998" s="1">
        <v>4.5999999999999999E-3</v>
      </c>
      <c r="H6998" s="1">
        <v>0.64459999999999995</v>
      </c>
      <c r="I6998" s="1">
        <v>4.3E-3</v>
      </c>
      <c r="J6998" s="1">
        <v>0.19570000000000001</v>
      </c>
    </row>
    <row r="6999" spans="1:10">
      <c r="A6999" s="25" t="s">
        <v>192</v>
      </c>
      <c r="B6999">
        <v>3196</v>
      </c>
      <c r="C6999" t="s">
        <v>192</v>
      </c>
      <c r="D6999">
        <v>3196</v>
      </c>
      <c r="E6999" s="1">
        <v>3.3000000000000002E-2</v>
      </c>
      <c r="F6999" s="1">
        <v>0.1221</v>
      </c>
      <c r="G6999" s="1">
        <v>4.4999999999999997E-3</v>
      </c>
      <c r="H6999" s="1">
        <v>0.63880000000000003</v>
      </c>
      <c r="I6999" s="1">
        <v>5.3E-3</v>
      </c>
      <c r="J6999" s="1">
        <v>0.1963</v>
      </c>
    </row>
    <row r="7001" spans="1:10" ht="43.5">
      <c r="A7001" s="25" t="s">
        <v>1768</v>
      </c>
    </row>
    <row r="7002" spans="1:10">
      <c r="A7002" s="25" t="s">
        <v>182</v>
      </c>
      <c r="B7002" t="s">
        <v>219</v>
      </c>
      <c r="C7002" t="s">
        <v>181</v>
      </c>
      <c r="D7002" t="s">
        <v>188</v>
      </c>
      <c r="E7002" t="s">
        <v>1759</v>
      </c>
      <c r="F7002" t="s">
        <v>1760</v>
      </c>
      <c r="G7002" t="s">
        <v>243</v>
      </c>
      <c r="H7002" t="s">
        <v>1761</v>
      </c>
      <c r="I7002" t="s">
        <v>1762</v>
      </c>
      <c r="J7002" t="s">
        <v>1763</v>
      </c>
    </row>
    <row r="7003" spans="1:10">
      <c r="A7003" s="25" t="s">
        <v>201</v>
      </c>
      <c r="B7003">
        <v>575</v>
      </c>
      <c r="C7003" t="s">
        <v>189</v>
      </c>
      <c r="D7003">
        <v>3196</v>
      </c>
      <c r="E7003" s="1">
        <v>2.0400000000000001E-2</v>
      </c>
      <c r="F7003" s="1">
        <v>0.1048</v>
      </c>
      <c r="G7003" s="1">
        <v>3.3999999999999998E-3</v>
      </c>
      <c r="H7003" s="1">
        <v>0.67530000000000001</v>
      </c>
      <c r="I7003" s="1">
        <v>2.8E-3</v>
      </c>
      <c r="J7003" s="1">
        <v>0.1933</v>
      </c>
    </row>
    <row r="7004" spans="1:10">
      <c r="A7004" s="25" t="s">
        <v>202</v>
      </c>
      <c r="B7004">
        <v>74</v>
      </c>
      <c r="C7004" t="s">
        <v>189</v>
      </c>
      <c r="D7004">
        <v>3196</v>
      </c>
      <c r="E7004" s="1">
        <v>5.28E-2</v>
      </c>
      <c r="F7004" s="1">
        <v>4.3499999999999997E-2</v>
      </c>
      <c r="H7004" s="1">
        <v>0.75660000000000005</v>
      </c>
      <c r="J7004" s="1">
        <v>0.14699999999999999</v>
      </c>
    </row>
    <row r="7005" spans="1:10">
      <c r="A7005" s="25" t="s">
        <v>203</v>
      </c>
      <c r="B7005">
        <v>1851</v>
      </c>
      <c r="C7005" t="s">
        <v>189</v>
      </c>
      <c r="D7005">
        <v>3196</v>
      </c>
      <c r="E7005" s="1">
        <v>3.4200000000000001E-2</v>
      </c>
      <c r="F7005" s="1">
        <v>0.12959999999999999</v>
      </c>
      <c r="G7005" s="1">
        <v>4.5999999999999999E-3</v>
      </c>
      <c r="H7005" s="1">
        <v>0.61509999999999998</v>
      </c>
      <c r="I7005" s="1">
        <v>6.7000000000000002E-3</v>
      </c>
      <c r="J7005" s="1">
        <v>0.2099</v>
      </c>
    </row>
    <row r="7006" spans="1:10">
      <c r="A7006" s="25" t="s">
        <v>204</v>
      </c>
      <c r="B7006">
        <v>16</v>
      </c>
      <c r="C7006" t="s">
        <v>189</v>
      </c>
      <c r="D7006">
        <v>3196</v>
      </c>
      <c r="F7006" s="1">
        <v>0.21890000000000001</v>
      </c>
      <c r="H7006" s="1">
        <v>0.66090000000000004</v>
      </c>
      <c r="J7006" s="1">
        <v>0.1202</v>
      </c>
    </row>
    <row r="7007" spans="1:10">
      <c r="A7007" s="25" t="s">
        <v>205</v>
      </c>
      <c r="B7007">
        <v>680</v>
      </c>
      <c r="C7007" t="s">
        <v>189</v>
      </c>
      <c r="D7007">
        <v>3196</v>
      </c>
      <c r="E7007" s="1">
        <v>5.0099999999999999E-2</v>
      </c>
      <c r="F7007" s="1">
        <v>0.1328</v>
      </c>
      <c r="G7007" s="1">
        <v>6.8999999999999999E-3</v>
      </c>
      <c r="H7007" s="1">
        <v>0.64770000000000005</v>
      </c>
      <c r="I7007" s="1">
        <v>5.7999999999999996E-3</v>
      </c>
      <c r="J7007" s="1">
        <v>0.15679999999999999</v>
      </c>
    </row>
    <row r="7008" spans="1:10">
      <c r="A7008" s="25" t="s">
        <v>192</v>
      </c>
      <c r="B7008">
        <v>3196</v>
      </c>
      <c r="C7008" t="s">
        <v>192</v>
      </c>
      <c r="D7008">
        <v>3196</v>
      </c>
      <c r="E7008" s="1">
        <v>3.3000000000000002E-2</v>
      </c>
      <c r="F7008" s="1">
        <v>0.1221</v>
      </c>
      <c r="G7008" s="1">
        <v>4.4999999999999997E-3</v>
      </c>
      <c r="H7008" s="1">
        <v>0.63880000000000003</v>
      </c>
      <c r="I7008" s="1">
        <v>5.3E-3</v>
      </c>
      <c r="J7008" s="1">
        <v>0.1963</v>
      </c>
    </row>
    <row r="7010" spans="1:10" ht="29.1">
      <c r="A7010" s="25" t="s">
        <v>1769</v>
      </c>
    </row>
    <row r="7011" spans="1:10">
      <c r="A7011" s="25" t="s">
        <v>182</v>
      </c>
      <c r="B7011" t="s">
        <v>219</v>
      </c>
      <c r="C7011" t="s">
        <v>181</v>
      </c>
      <c r="D7011" t="s">
        <v>188</v>
      </c>
      <c r="E7011" t="s">
        <v>1759</v>
      </c>
      <c r="F7011" t="s">
        <v>1760</v>
      </c>
      <c r="G7011" t="s">
        <v>243</v>
      </c>
      <c r="H7011" t="s">
        <v>1761</v>
      </c>
      <c r="I7011" t="s">
        <v>1762</v>
      </c>
      <c r="J7011" t="s">
        <v>1763</v>
      </c>
    </row>
    <row r="7012" spans="1:10">
      <c r="A7012" s="25" t="s">
        <v>207</v>
      </c>
      <c r="B7012">
        <v>2164</v>
      </c>
      <c r="C7012" t="s">
        <v>189</v>
      </c>
      <c r="D7012">
        <v>3196</v>
      </c>
      <c r="E7012" s="1">
        <v>3.3599999999999998E-2</v>
      </c>
      <c r="F7012" s="1">
        <v>0.1225</v>
      </c>
      <c r="G7012" s="1">
        <v>5.7000000000000002E-3</v>
      </c>
      <c r="H7012" s="1">
        <v>0.63619999999999999</v>
      </c>
      <c r="I7012" s="1">
        <v>6.7999999999999996E-3</v>
      </c>
      <c r="J7012" s="1">
        <v>0.1953</v>
      </c>
    </row>
    <row r="7013" spans="1:10">
      <c r="A7013" s="25" t="s">
        <v>208</v>
      </c>
      <c r="B7013">
        <v>672</v>
      </c>
      <c r="C7013" t="s">
        <v>189</v>
      </c>
      <c r="D7013">
        <v>3196</v>
      </c>
      <c r="E7013" s="1">
        <v>2.5000000000000001E-2</v>
      </c>
      <c r="F7013" s="1">
        <v>0.13170000000000001</v>
      </c>
      <c r="G7013" s="1">
        <v>1E-3</v>
      </c>
      <c r="H7013" s="1">
        <v>0.63139999999999996</v>
      </c>
      <c r="I7013" s="1">
        <v>2.3E-3</v>
      </c>
      <c r="J7013" s="1">
        <v>0.20860000000000001</v>
      </c>
    </row>
    <row r="7014" spans="1:10">
      <c r="A7014" s="25" t="s">
        <v>209</v>
      </c>
      <c r="B7014">
        <v>360</v>
      </c>
      <c r="C7014" t="s">
        <v>189</v>
      </c>
      <c r="D7014">
        <v>3196</v>
      </c>
      <c r="E7014" s="1">
        <v>4.4699999999999997E-2</v>
      </c>
      <c r="F7014" s="1">
        <v>0.1004</v>
      </c>
      <c r="G7014" s="1">
        <v>3.5000000000000001E-3</v>
      </c>
      <c r="H7014" s="1">
        <v>0.66979999999999995</v>
      </c>
      <c r="I7014" s="1">
        <v>2E-3</v>
      </c>
      <c r="J7014" s="1">
        <v>0.17949999999999999</v>
      </c>
    </row>
    <row r="7015" spans="1:10">
      <c r="A7015" s="25" t="s">
        <v>192</v>
      </c>
      <c r="B7015">
        <v>3196</v>
      </c>
      <c r="C7015" t="s">
        <v>192</v>
      </c>
      <c r="D7015">
        <v>3196</v>
      </c>
      <c r="E7015" s="1">
        <v>3.3000000000000002E-2</v>
      </c>
      <c r="F7015" s="1">
        <v>0.1221</v>
      </c>
      <c r="G7015" s="1">
        <v>4.4999999999999997E-3</v>
      </c>
      <c r="H7015" s="1">
        <v>0.63880000000000003</v>
      </c>
      <c r="I7015" s="1">
        <v>5.3E-3</v>
      </c>
      <c r="J7015" s="1">
        <v>0.1963</v>
      </c>
    </row>
    <row r="7017" spans="1:10" ht="29.1">
      <c r="A7017" s="25" t="s">
        <v>1770</v>
      </c>
    </row>
    <row r="7018" spans="1:10">
      <c r="A7018" s="25" t="s">
        <v>182</v>
      </c>
      <c r="B7018" t="s">
        <v>219</v>
      </c>
      <c r="C7018" t="s">
        <v>181</v>
      </c>
      <c r="D7018" t="s">
        <v>188</v>
      </c>
      <c r="E7018" t="s">
        <v>1759</v>
      </c>
      <c r="F7018" t="s">
        <v>1760</v>
      </c>
      <c r="G7018" t="s">
        <v>243</v>
      </c>
      <c r="H7018" t="s">
        <v>1761</v>
      </c>
      <c r="I7018" t="s">
        <v>1762</v>
      </c>
      <c r="J7018" t="s">
        <v>1763</v>
      </c>
    </row>
    <row r="7019" spans="1:10">
      <c r="A7019" s="25" t="s">
        <v>211</v>
      </c>
      <c r="B7019">
        <v>1408</v>
      </c>
      <c r="C7019" t="s">
        <v>189</v>
      </c>
      <c r="D7019">
        <v>3196</v>
      </c>
      <c r="E7019" s="1">
        <v>3.6700000000000003E-2</v>
      </c>
      <c r="F7019" s="1">
        <v>0.11609999999999999</v>
      </c>
      <c r="G7019" s="1">
        <v>6.1999999999999998E-3</v>
      </c>
      <c r="H7019" s="1">
        <v>0.60799999999999998</v>
      </c>
      <c r="I7019" s="1">
        <v>8.8000000000000005E-3</v>
      </c>
      <c r="J7019" s="1">
        <v>0.2243</v>
      </c>
    </row>
    <row r="7020" spans="1:10">
      <c r="A7020" s="25" t="s">
        <v>212</v>
      </c>
      <c r="B7020">
        <v>1257</v>
      </c>
      <c r="C7020" t="s">
        <v>189</v>
      </c>
      <c r="D7020">
        <v>3196</v>
      </c>
      <c r="E7020" s="1">
        <v>2.7199999999999998E-2</v>
      </c>
      <c r="F7020" s="1">
        <v>0.12039999999999999</v>
      </c>
      <c r="G7020" s="1">
        <v>3.7000000000000002E-3</v>
      </c>
      <c r="H7020" s="1">
        <v>0.67720000000000002</v>
      </c>
      <c r="I7020" s="1">
        <v>3.3999999999999998E-3</v>
      </c>
      <c r="J7020" s="1">
        <v>0.16800000000000001</v>
      </c>
    </row>
    <row r="7021" spans="1:10">
      <c r="A7021" s="25" t="s">
        <v>213</v>
      </c>
      <c r="B7021">
        <v>531</v>
      </c>
      <c r="C7021" t="s">
        <v>189</v>
      </c>
      <c r="D7021">
        <v>3196</v>
      </c>
      <c r="E7021" s="1">
        <v>3.5799999999999998E-2</v>
      </c>
      <c r="F7021" s="1">
        <v>0.1429</v>
      </c>
      <c r="G7021" s="1">
        <v>1.5E-3</v>
      </c>
      <c r="H7021" s="1">
        <v>0.63839999999999997</v>
      </c>
      <c r="J7021" s="1">
        <v>0.18149999999999999</v>
      </c>
    </row>
    <row r="7022" spans="1:10">
      <c r="A7022" s="25" t="s">
        <v>192</v>
      </c>
      <c r="B7022">
        <v>3196</v>
      </c>
      <c r="C7022" t="s">
        <v>192</v>
      </c>
      <c r="D7022">
        <v>3196</v>
      </c>
      <c r="E7022" s="1">
        <v>3.3000000000000002E-2</v>
      </c>
      <c r="F7022" s="1">
        <v>0.1221</v>
      </c>
      <c r="G7022" s="1">
        <v>4.4999999999999997E-3</v>
      </c>
      <c r="H7022" s="1">
        <v>0.63880000000000003</v>
      </c>
      <c r="I7022" s="1">
        <v>5.3E-3</v>
      </c>
      <c r="J7022" s="1">
        <v>0.1963</v>
      </c>
    </row>
    <row r="7024" spans="1:10" ht="43.5">
      <c r="A7024" s="25" t="s">
        <v>1771</v>
      </c>
    </row>
    <row r="7025" spans="1:21">
      <c r="A7025" s="25" t="s">
        <v>182</v>
      </c>
      <c r="B7025" t="s">
        <v>219</v>
      </c>
      <c r="C7025" t="s">
        <v>181</v>
      </c>
      <c r="D7025" t="s">
        <v>188</v>
      </c>
      <c r="E7025" t="s">
        <v>1772</v>
      </c>
      <c r="F7025" t="s">
        <v>1773</v>
      </c>
      <c r="G7025" t="s">
        <v>1774</v>
      </c>
      <c r="H7025" t="s">
        <v>1775</v>
      </c>
      <c r="I7025" t="s">
        <v>1776</v>
      </c>
      <c r="J7025" t="s">
        <v>1777</v>
      </c>
      <c r="K7025" t="s">
        <v>1778</v>
      </c>
      <c r="L7025" t="s">
        <v>1779</v>
      </c>
      <c r="M7025" t="s">
        <v>1780</v>
      </c>
      <c r="N7025" t="s">
        <v>1781</v>
      </c>
      <c r="O7025" t="s">
        <v>1782</v>
      </c>
      <c r="P7025" t="s">
        <v>1783</v>
      </c>
      <c r="Q7025" t="s">
        <v>1784</v>
      </c>
      <c r="R7025" t="s">
        <v>324</v>
      </c>
      <c r="S7025" t="s">
        <v>269</v>
      </c>
      <c r="T7025" t="s">
        <v>243</v>
      </c>
      <c r="U7025" t="s">
        <v>1785</v>
      </c>
    </row>
    <row r="7026" spans="1:21">
      <c r="A7026" s="25" t="s">
        <v>215</v>
      </c>
      <c r="B7026">
        <v>3302</v>
      </c>
      <c r="C7026" t="s">
        <v>189</v>
      </c>
      <c r="D7026">
        <v>10416</v>
      </c>
      <c r="E7026" s="1">
        <v>2.76E-2</v>
      </c>
      <c r="F7026" s="1">
        <v>4.8500000000000001E-2</v>
      </c>
      <c r="G7026" s="1">
        <v>8.2900000000000001E-2</v>
      </c>
      <c r="H7026" s="1">
        <v>2E-3</v>
      </c>
      <c r="I7026" s="1">
        <v>0.16389999999999999</v>
      </c>
      <c r="J7026" s="1">
        <v>3.9800000000000002E-2</v>
      </c>
      <c r="K7026" s="1">
        <v>4.3400000000000001E-2</v>
      </c>
      <c r="L7026" s="1">
        <v>0.19950000000000001</v>
      </c>
      <c r="M7026" s="1">
        <v>1.29E-2</v>
      </c>
      <c r="N7026" s="1">
        <v>9.9000000000000008E-3</v>
      </c>
      <c r="O7026" s="1">
        <v>1.06E-2</v>
      </c>
      <c r="P7026" s="1">
        <v>5.5999999999999999E-3</v>
      </c>
      <c r="Q7026" s="1">
        <v>1.1599999999999999E-2</v>
      </c>
      <c r="R7026" s="1">
        <v>0.55869999999999997</v>
      </c>
      <c r="S7026" s="1">
        <v>7.6E-3</v>
      </c>
      <c r="T7026" s="1">
        <v>1.6899999999999998E-2</v>
      </c>
      <c r="U7026" s="1">
        <v>7.7600000000000002E-2</v>
      </c>
    </row>
    <row r="7027" spans="1:21">
      <c r="A7027" s="25" t="s">
        <v>216</v>
      </c>
      <c r="B7027">
        <v>2</v>
      </c>
      <c r="C7027" t="s">
        <v>189</v>
      </c>
      <c r="D7027">
        <v>10416</v>
      </c>
      <c r="R7027" s="1">
        <v>0.34029999999999999</v>
      </c>
      <c r="T7027" s="1">
        <v>0.65969999999999995</v>
      </c>
    </row>
    <row r="7028" spans="1:21">
      <c r="A7028" s="25" t="s">
        <v>217</v>
      </c>
      <c r="B7028">
        <v>7112</v>
      </c>
      <c r="C7028" t="s">
        <v>189</v>
      </c>
      <c r="D7028">
        <v>10416</v>
      </c>
      <c r="E7028" s="1">
        <v>3.5200000000000002E-2</v>
      </c>
      <c r="F7028" s="1">
        <v>4.2099999999999999E-2</v>
      </c>
      <c r="G7028" s="1">
        <v>0.1119</v>
      </c>
      <c r="H7028" s="1">
        <v>4.1999999999999997E-3</v>
      </c>
      <c r="I7028" s="1">
        <v>0.1976</v>
      </c>
      <c r="J7028" s="1">
        <v>4.1399999999999999E-2</v>
      </c>
      <c r="K7028" s="1">
        <v>6.7199999999999996E-2</v>
      </c>
      <c r="L7028" s="1">
        <v>0.2843</v>
      </c>
      <c r="M7028" s="1">
        <v>6.4000000000000003E-3</v>
      </c>
      <c r="N7028" s="1">
        <v>9.4000000000000004E-3</v>
      </c>
      <c r="O7028" s="1">
        <v>1.5299999999999999E-2</v>
      </c>
      <c r="P7028" s="1">
        <v>7.3000000000000001E-3</v>
      </c>
      <c r="Q7028" s="1">
        <v>1.5800000000000002E-2</v>
      </c>
      <c r="R7028" s="1">
        <v>0.49469999999999997</v>
      </c>
      <c r="S7028" s="1">
        <v>5.7999999999999996E-3</v>
      </c>
      <c r="T7028" s="1">
        <v>1.2999999999999999E-2</v>
      </c>
      <c r="U7028" s="1">
        <v>7.7200000000000005E-2</v>
      </c>
    </row>
    <row r="7029" spans="1:21">
      <c r="A7029" s="25" t="s">
        <v>192</v>
      </c>
      <c r="B7029">
        <v>10416</v>
      </c>
      <c r="C7029" t="s">
        <v>192</v>
      </c>
      <c r="D7029">
        <v>10416</v>
      </c>
      <c r="E7029" s="1">
        <v>3.2599999999999997E-2</v>
      </c>
      <c r="F7029" s="1">
        <v>4.4299999999999999E-2</v>
      </c>
      <c r="G7029" s="1">
        <v>0.10199999999999999</v>
      </c>
      <c r="H7029" s="1">
        <v>3.3999999999999998E-3</v>
      </c>
      <c r="I7029" s="1">
        <v>0.18609999999999999</v>
      </c>
      <c r="J7029" s="1">
        <v>4.0899999999999999E-2</v>
      </c>
      <c r="K7029" s="1">
        <v>5.91E-2</v>
      </c>
      <c r="L7029" s="1">
        <v>0.25540000000000002</v>
      </c>
      <c r="M7029" s="1">
        <v>8.6E-3</v>
      </c>
      <c r="N7029" s="1">
        <v>9.5999999999999992E-3</v>
      </c>
      <c r="O7029" s="1">
        <v>1.37E-2</v>
      </c>
      <c r="P7029" s="1">
        <v>6.7000000000000002E-3</v>
      </c>
      <c r="Q7029" s="1">
        <v>1.44E-2</v>
      </c>
      <c r="R7029" s="1">
        <v>0.51639999999999997</v>
      </c>
      <c r="S7029" s="1">
        <v>6.4000000000000003E-3</v>
      </c>
      <c r="T7029" s="1">
        <v>1.44E-2</v>
      </c>
      <c r="U7029" s="1">
        <v>7.7299999999999994E-2</v>
      </c>
    </row>
    <row r="7031" spans="1:21" ht="43.5">
      <c r="A7031" s="25" t="s">
        <v>1786</v>
      </c>
    </row>
    <row r="7032" spans="1:21">
      <c r="A7032" s="25" t="s">
        <v>182</v>
      </c>
      <c r="B7032" t="s">
        <v>219</v>
      </c>
      <c r="C7032" t="s">
        <v>181</v>
      </c>
      <c r="D7032" t="s">
        <v>188</v>
      </c>
      <c r="E7032" t="s">
        <v>1772</v>
      </c>
      <c r="F7032" t="s">
        <v>1773</v>
      </c>
      <c r="G7032" t="s">
        <v>1774</v>
      </c>
      <c r="H7032" t="s">
        <v>1775</v>
      </c>
      <c r="I7032" t="s">
        <v>1776</v>
      </c>
      <c r="J7032" t="s">
        <v>1777</v>
      </c>
      <c r="K7032" t="s">
        <v>1778</v>
      </c>
      <c r="L7032" t="s">
        <v>1779</v>
      </c>
      <c r="M7032" t="s">
        <v>1780</v>
      </c>
      <c r="N7032" t="s">
        <v>1781</v>
      </c>
      <c r="O7032" t="s">
        <v>1782</v>
      </c>
      <c r="P7032" t="s">
        <v>1783</v>
      </c>
      <c r="Q7032" t="s">
        <v>1784</v>
      </c>
      <c r="R7032" t="s">
        <v>324</v>
      </c>
      <c r="S7032" t="s">
        <v>269</v>
      </c>
      <c r="T7032" t="s">
        <v>243</v>
      </c>
      <c r="U7032" t="s">
        <v>1785</v>
      </c>
    </row>
    <row r="7033" spans="1:21">
      <c r="A7033" s="25" t="s">
        <v>223</v>
      </c>
      <c r="B7033">
        <v>881</v>
      </c>
      <c r="C7033" t="s">
        <v>189</v>
      </c>
      <c r="D7033">
        <v>10416</v>
      </c>
      <c r="E7033" s="1">
        <v>4.1700000000000001E-2</v>
      </c>
      <c r="F7033" s="1">
        <v>5.5899999999999998E-2</v>
      </c>
      <c r="G7033" s="1">
        <v>3.49E-2</v>
      </c>
      <c r="H7033" s="1">
        <v>7.0000000000000001E-3</v>
      </c>
      <c r="I7033" s="1">
        <v>0.1406</v>
      </c>
      <c r="J7033" s="1">
        <v>3.6299999999999999E-2</v>
      </c>
      <c r="K7033" s="1">
        <v>4.2500000000000003E-2</v>
      </c>
      <c r="L7033" s="1">
        <v>0.1487</v>
      </c>
      <c r="M7033" s="1">
        <v>1.1299999999999999E-2</v>
      </c>
      <c r="N7033" s="1">
        <v>1.9900000000000001E-2</v>
      </c>
      <c r="O7033" s="1">
        <v>1.47E-2</v>
      </c>
      <c r="P7033" s="1">
        <v>3.3999999999999998E-3</v>
      </c>
      <c r="Q7033" s="1">
        <v>1.17E-2</v>
      </c>
      <c r="R7033" s="1">
        <v>0.61509999999999998</v>
      </c>
      <c r="S7033" s="1">
        <v>1.5E-3</v>
      </c>
      <c r="T7033" s="1">
        <v>1.7899999999999999E-2</v>
      </c>
      <c r="U7033" s="1">
        <v>9.2299999999999993E-2</v>
      </c>
    </row>
    <row r="7034" spans="1:21">
      <c r="A7034" s="25" t="s">
        <v>224</v>
      </c>
      <c r="B7034">
        <v>2868</v>
      </c>
      <c r="C7034" t="s">
        <v>189</v>
      </c>
      <c r="D7034">
        <v>10416</v>
      </c>
      <c r="E7034" s="1">
        <v>4.7199999999999999E-2</v>
      </c>
      <c r="F7034" s="1">
        <v>6.7100000000000007E-2</v>
      </c>
      <c r="G7034" s="1">
        <v>7.2300000000000003E-2</v>
      </c>
      <c r="H7034" s="1">
        <v>5.0000000000000001E-3</v>
      </c>
      <c r="I7034" s="1">
        <v>0.17929999999999999</v>
      </c>
      <c r="J7034" s="1">
        <v>3.8600000000000002E-2</v>
      </c>
      <c r="K7034" s="1">
        <v>5.21E-2</v>
      </c>
      <c r="L7034" s="1">
        <v>0.2238</v>
      </c>
      <c r="M7034" s="1">
        <v>1.0500000000000001E-2</v>
      </c>
      <c r="N7034" s="1">
        <v>5.5999999999999999E-3</v>
      </c>
      <c r="O7034" s="1">
        <v>2.6200000000000001E-2</v>
      </c>
      <c r="P7034" s="1">
        <v>7.6E-3</v>
      </c>
      <c r="Q7034" s="1">
        <v>1.84E-2</v>
      </c>
      <c r="R7034" s="1">
        <v>0.54269999999999996</v>
      </c>
      <c r="S7034" s="1">
        <v>1.26E-2</v>
      </c>
      <c r="T7034" s="1">
        <v>1.12E-2</v>
      </c>
      <c r="U7034" s="1">
        <v>7.3999999999999996E-2</v>
      </c>
    </row>
    <row r="7035" spans="1:21">
      <c r="A7035" s="25" t="s">
        <v>225</v>
      </c>
      <c r="B7035">
        <v>2810</v>
      </c>
      <c r="C7035" t="s">
        <v>189</v>
      </c>
      <c r="D7035">
        <v>10416</v>
      </c>
      <c r="E7035" s="1">
        <v>3.32E-2</v>
      </c>
      <c r="F7035" s="1">
        <v>6.3500000000000001E-2</v>
      </c>
      <c r="G7035" s="1">
        <v>9.9099999999999994E-2</v>
      </c>
      <c r="H7035" s="1">
        <v>2.8999999999999998E-3</v>
      </c>
      <c r="I7035" s="1">
        <v>0.18909999999999999</v>
      </c>
      <c r="J7035" s="1">
        <v>5.1200000000000002E-2</v>
      </c>
      <c r="K7035" s="1">
        <v>5.0700000000000002E-2</v>
      </c>
      <c r="L7035" s="1">
        <v>0.2414</v>
      </c>
      <c r="M7035" s="1">
        <v>1.23E-2</v>
      </c>
      <c r="N7035" s="1">
        <v>1.5599999999999999E-2</v>
      </c>
      <c r="O7035" s="1">
        <v>1.5599999999999999E-2</v>
      </c>
      <c r="P7035" s="1">
        <v>6.0000000000000001E-3</v>
      </c>
      <c r="Q7035" s="1">
        <v>2.0299999999999999E-2</v>
      </c>
      <c r="R7035" s="1">
        <v>0.52710000000000001</v>
      </c>
      <c r="S7035" s="1">
        <v>4.1000000000000003E-3</v>
      </c>
      <c r="T7035" s="1">
        <v>1.77E-2</v>
      </c>
      <c r="U7035" s="1">
        <v>8.4000000000000005E-2</v>
      </c>
    </row>
    <row r="7036" spans="1:21">
      <c r="A7036" s="25" t="s">
        <v>226</v>
      </c>
      <c r="B7036">
        <v>3857</v>
      </c>
      <c r="C7036" t="s">
        <v>189</v>
      </c>
      <c r="D7036">
        <v>10416</v>
      </c>
      <c r="E7036" s="1">
        <v>1.89E-2</v>
      </c>
      <c r="F7036" s="1">
        <v>1.1599999999999999E-2</v>
      </c>
      <c r="G7036" s="1">
        <v>0.1472</v>
      </c>
      <c r="H7036" s="1">
        <v>1.5E-3</v>
      </c>
      <c r="I7036" s="1">
        <v>0.2041</v>
      </c>
      <c r="J7036" s="1">
        <v>3.7100000000000001E-2</v>
      </c>
      <c r="K7036" s="1">
        <v>7.51E-2</v>
      </c>
      <c r="L7036" s="1">
        <v>0.32240000000000002</v>
      </c>
      <c r="M7036" s="1">
        <v>4.0000000000000001E-3</v>
      </c>
      <c r="N7036" s="1">
        <v>5.0000000000000001E-3</v>
      </c>
      <c r="O7036" s="1">
        <v>3.2000000000000002E-3</v>
      </c>
      <c r="P7036" s="1">
        <v>7.6E-3</v>
      </c>
      <c r="Q7036" s="1">
        <v>8.5000000000000006E-3</v>
      </c>
      <c r="R7036" s="1">
        <v>0.45800000000000002</v>
      </c>
      <c r="S7036" s="1">
        <v>5.1999999999999998E-3</v>
      </c>
      <c r="T7036" s="1">
        <v>1.32E-2</v>
      </c>
      <c r="U7036" s="1">
        <v>7.0300000000000001E-2</v>
      </c>
    </row>
    <row r="7037" spans="1:21">
      <c r="A7037" s="25" t="s">
        <v>192</v>
      </c>
      <c r="B7037">
        <v>10416</v>
      </c>
      <c r="C7037" t="s">
        <v>192</v>
      </c>
      <c r="D7037">
        <v>10416</v>
      </c>
      <c r="E7037" s="1">
        <v>3.2599999999999997E-2</v>
      </c>
      <c r="F7037" s="1">
        <v>4.4299999999999999E-2</v>
      </c>
      <c r="G7037" s="1">
        <v>0.10199999999999999</v>
      </c>
      <c r="H7037" s="1">
        <v>3.3999999999999998E-3</v>
      </c>
      <c r="I7037" s="1">
        <v>0.18609999999999999</v>
      </c>
      <c r="J7037" s="1">
        <v>4.0899999999999999E-2</v>
      </c>
      <c r="K7037" s="1">
        <v>5.91E-2</v>
      </c>
      <c r="L7037" s="1">
        <v>0.25540000000000002</v>
      </c>
      <c r="M7037" s="1">
        <v>8.6E-3</v>
      </c>
      <c r="N7037" s="1">
        <v>9.5999999999999992E-3</v>
      </c>
      <c r="O7037" s="1">
        <v>1.37E-2</v>
      </c>
      <c r="P7037" s="1">
        <v>6.7000000000000002E-3</v>
      </c>
      <c r="Q7037" s="1">
        <v>1.44E-2</v>
      </c>
      <c r="R7037" s="1">
        <v>0.51639999999999997</v>
      </c>
      <c r="S7037" s="1">
        <v>6.4000000000000003E-3</v>
      </c>
      <c r="T7037" s="1">
        <v>1.44E-2</v>
      </c>
      <c r="U7037" s="1">
        <v>7.7299999999999994E-2</v>
      </c>
    </row>
    <row r="7039" spans="1:21" ht="43.5">
      <c r="A7039" s="25" t="s">
        <v>1787</v>
      </c>
    </row>
    <row r="7040" spans="1:21">
      <c r="A7040" s="25" t="s">
        <v>182</v>
      </c>
      <c r="B7040" t="s">
        <v>219</v>
      </c>
      <c r="C7040" t="s">
        <v>181</v>
      </c>
      <c r="D7040" t="s">
        <v>188</v>
      </c>
      <c r="E7040" t="s">
        <v>1772</v>
      </c>
      <c r="F7040" t="s">
        <v>1773</v>
      </c>
      <c r="G7040" t="s">
        <v>1774</v>
      </c>
      <c r="H7040" t="s">
        <v>1775</v>
      </c>
      <c r="I7040" t="s">
        <v>1776</v>
      </c>
      <c r="J7040" t="s">
        <v>1777</v>
      </c>
      <c r="K7040" t="s">
        <v>1778</v>
      </c>
      <c r="L7040" t="s">
        <v>1779</v>
      </c>
      <c r="M7040" t="s">
        <v>1780</v>
      </c>
      <c r="N7040" t="s">
        <v>1781</v>
      </c>
      <c r="O7040" t="s">
        <v>1782</v>
      </c>
      <c r="P7040" t="s">
        <v>1783</v>
      </c>
      <c r="Q7040" t="s">
        <v>1784</v>
      </c>
      <c r="R7040" t="s">
        <v>324</v>
      </c>
      <c r="S7040" t="s">
        <v>269</v>
      </c>
      <c r="T7040" t="s">
        <v>243</v>
      </c>
      <c r="U7040" t="s">
        <v>1785</v>
      </c>
    </row>
    <row r="7041" spans="1:21">
      <c r="A7041" s="25" t="s">
        <v>190</v>
      </c>
      <c r="B7041">
        <v>4896</v>
      </c>
      <c r="C7041" t="s">
        <v>189</v>
      </c>
      <c r="D7041">
        <v>10416</v>
      </c>
      <c r="E7041" s="1">
        <v>2.9899999999999999E-2</v>
      </c>
      <c r="F7041" s="1">
        <v>4.0300000000000002E-2</v>
      </c>
      <c r="G7041" s="1">
        <v>0.10920000000000001</v>
      </c>
      <c r="H7041" s="1">
        <v>2.5000000000000001E-3</v>
      </c>
      <c r="I7041" s="1">
        <v>0.18740000000000001</v>
      </c>
      <c r="J7041" s="1">
        <v>4.0500000000000001E-2</v>
      </c>
      <c r="K7041" s="1">
        <v>5.8799999999999998E-2</v>
      </c>
      <c r="L7041" s="1">
        <v>0.2666</v>
      </c>
      <c r="M7041" s="1">
        <v>3.5999999999999999E-3</v>
      </c>
      <c r="N7041" s="1">
        <v>2.0999999999999999E-3</v>
      </c>
      <c r="O7041" s="1">
        <v>6.4000000000000003E-3</v>
      </c>
      <c r="P7041" s="1">
        <v>7.3000000000000001E-3</v>
      </c>
      <c r="Q7041" s="1">
        <v>1.46E-2</v>
      </c>
      <c r="R7041" s="1">
        <v>0.50919999999999999</v>
      </c>
      <c r="S7041" s="1">
        <v>4.4000000000000003E-3</v>
      </c>
      <c r="T7041" s="1">
        <v>1.5299999999999999E-2</v>
      </c>
      <c r="U7041" s="1">
        <v>8.3799999999999999E-2</v>
      </c>
    </row>
    <row r="7042" spans="1:21">
      <c r="A7042" s="25" t="s">
        <v>191</v>
      </c>
      <c r="B7042">
        <v>5464</v>
      </c>
      <c r="C7042" t="s">
        <v>189</v>
      </c>
      <c r="D7042">
        <v>10416</v>
      </c>
      <c r="E7042" s="1">
        <v>3.4299999999999997E-2</v>
      </c>
      <c r="F7042" s="1">
        <v>4.6699999999999998E-2</v>
      </c>
      <c r="G7042" s="1">
        <v>9.7500000000000003E-2</v>
      </c>
      <c r="H7042" s="1">
        <v>4.0000000000000001E-3</v>
      </c>
      <c r="I7042" s="1">
        <v>0.18540000000000001</v>
      </c>
      <c r="J7042" s="1">
        <v>4.1099999999999998E-2</v>
      </c>
      <c r="K7042" s="1">
        <v>5.9400000000000001E-2</v>
      </c>
      <c r="L7042" s="1">
        <v>0.24840000000000001</v>
      </c>
      <c r="M7042" s="1">
        <v>1.17E-2</v>
      </c>
      <c r="N7042" s="1">
        <v>1.4200000000000001E-2</v>
      </c>
      <c r="O7042" s="1">
        <v>1.8100000000000002E-2</v>
      </c>
      <c r="P7042" s="1">
        <v>6.3E-3</v>
      </c>
      <c r="Q7042" s="1">
        <v>1.4200000000000001E-2</v>
      </c>
      <c r="R7042" s="1">
        <v>0.52090000000000003</v>
      </c>
      <c r="S7042" s="1">
        <v>7.7000000000000002E-3</v>
      </c>
      <c r="T7042" s="1">
        <v>1.38E-2</v>
      </c>
      <c r="U7042" s="1">
        <v>7.3499999999999996E-2</v>
      </c>
    </row>
    <row r="7043" spans="1:21">
      <c r="A7043" s="25" t="s">
        <v>192</v>
      </c>
      <c r="B7043">
        <v>10416</v>
      </c>
      <c r="C7043" t="s">
        <v>192</v>
      </c>
      <c r="D7043">
        <v>10416</v>
      </c>
      <c r="E7043" s="1">
        <v>3.2599999999999997E-2</v>
      </c>
      <c r="F7043" s="1">
        <v>4.4299999999999999E-2</v>
      </c>
      <c r="G7043" s="1">
        <v>0.10199999999999999</v>
      </c>
      <c r="H7043" s="1">
        <v>3.3999999999999998E-3</v>
      </c>
      <c r="I7043" s="1">
        <v>0.18609999999999999</v>
      </c>
      <c r="J7043" s="1">
        <v>4.0899999999999999E-2</v>
      </c>
      <c r="K7043" s="1">
        <v>5.91E-2</v>
      </c>
      <c r="L7043" s="1">
        <v>0.25540000000000002</v>
      </c>
      <c r="M7043" s="1">
        <v>8.6E-3</v>
      </c>
      <c r="N7043" s="1">
        <v>9.5999999999999992E-3</v>
      </c>
      <c r="O7043" s="1">
        <v>1.37E-2</v>
      </c>
      <c r="P7043" s="1">
        <v>6.7000000000000002E-3</v>
      </c>
      <c r="Q7043" s="1">
        <v>1.44E-2</v>
      </c>
      <c r="R7043" s="1">
        <v>0.51639999999999997</v>
      </c>
      <c r="S7043" s="1">
        <v>6.4000000000000003E-3</v>
      </c>
      <c r="T7043" s="1">
        <v>1.44E-2</v>
      </c>
      <c r="U7043" s="1">
        <v>7.7299999999999994E-2</v>
      </c>
    </row>
    <row r="7045" spans="1:21" ht="43.5">
      <c r="A7045" s="25" t="s">
        <v>1788</v>
      </c>
    </row>
    <row r="7046" spans="1:21">
      <c r="A7046" s="25" t="s">
        <v>182</v>
      </c>
      <c r="B7046" t="s">
        <v>219</v>
      </c>
      <c r="C7046" t="s">
        <v>181</v>
      </c>
      <c r="D7046" t="s">
        <v>188</v>
      </c>
      <c r="E7046" t="s">
        <v>1772</v>
      </c>
      <c r="F7046" t="s">
        <v>1773</v>
      </c>
      <c r="G7046" t="s">
        <v>1774</v>
      </c>
      <c r="H7046" t="s">
        <v>1775</v>
      </c>
      <c r="I7046" t="s">
        <v>1776</v>
      </c>
      <c r="J7046" t="s">
        <v>1777</v>
      </c>
      <c r="K7046" t="s">
        <v>1778</v>
      </c>
      <c r="L7046" t="s">
        <v>1779</v>
      </c>
      <c r="M7046" t="s">
        <v>1780</v>
      </c>
      <c r="N7046" t="s">
        <v>1781</v>
      </c>
      <c r="O7046" t="s">
        <v>1782</v>
      </c>
      <c r="P7046" t="s">
        <v>1783</v>
      </c>
      <c r="Q7046" t="s">
        <v>1784</v>
      </c>
      <c r="R7046" t="s">
        <v>324</v>
      </c>
      <c r="S7046" t="s">
        <v>269</v>
      </c>
      <c r="T7046" t="s">
        <v>243</v>
      </c>
      <c r="U7046" t="s">
        <v>1785</v>
      </c>
    </row>
    <row r="7047" spans="1:21" ht="29.1">
      <c r="A7047" s="25" t="s">
        <v>194</v>
      </c>
      <c r="B7047">
        <v>5950</v>
      </c>
      <c r="C7047" t="s">
        <v>189</v>
      </c>
      <c r="D7047">
        <v>10416</v>
      </c>
      <c r="E7047" s="1">
        <v>4.0099999999999997E-2</v>
      </c>
      <c r="F7047" s="1">
        <v>3.8399999999999997E-2</v>
      </c>
      <c r="G7047" s="1">
        <v>8.9099999999999999E-2</v>
      </c>
      <c r="H7047" s="1">
        <v>8.9999999999999998E-4</v>
      </c>
      <c r="I7047" s="1">
        <v>0.15379999999999999</v>
      </c>
      <c r="J7047" s="1">
        <v>3.0800000000000001E-2</v>
      </c>
      <c r="K7047" s="1">
        <v>0.05</v>
      </c>
      <c r="L7047" s="1">
        <v>0.23330000000000001</v>
      </c>
      <c r="M7047" s="1">
        <v>9.2999999999999992E-3</v>
      </c>
      <c r="N7047" s="1">
        <v>8.0999999999999996E-3</v>
      </c>
      <c r="O7047" s="1">
        <v>7.7999999999999996E-3</v>
      </c>
      <c r="P7047" s="1">
        <v>6.3E-3</v>
      </c>
      <c r="Q7047" s="1">
        <v>1.2200000000000001E-2</v>
      </c>
      <c r="R7047" s="1">
        <v>0.54779999999999995</v>
      </c>
      <c r="S7047" s="1">
        <v>6.0000000000000001E-3</v>
      </c>
      <c r="T7047" s="1">
        <v>1.3599999999999999E-2</v>
      </c>
      <c r="U7047" s="1">
        <v>8.7999999999999995E-2</v>
      </c>
    </row>
    <row r="7048" spans="1:21" ht="29.1">
      <c r="A7048" s="25" t="s">
        <v>195</v>
      </c>
      <c r="B7048">
        <v>2697</v>
      </c>
      <c r="C7048" t="s">
        <v>189</v>
      </c>
      <c r="D7048">
        <v>10416</v>
      </c>
      <c r="E7048" s="1">
        <v>1.06E-2</v>
      </c>
      <c r="F7048" s="1">
        <v>4.7800000000000002E-2</v>
      </c>
      <c r="G7048" s="1">
        <v>0.1226</v>
      </c>
      <c r="H7048" s="1">
        <v>7.3000000000000001E-3</v>
      </c>
      <c r="I7048" s="1">
        <v>0.2606</v>
      </c>
      <c r="J7048" s="1">
        <v>6.1699999999999998E-2</v>
      </c>
      <c r="K7048" s="1">
        <v>8.7400000000000005E-2</v>
      </c>
      <c r="L7048" s="1">
        <v>0.28760000000000002</v>
      </c>
      <c r="M7048" s="1">
        <v>2.7000000000000001E-3</v>
      </c>
      <c r="N7048" s="1">
        <v>8.3999999999999995E-3</v>
      </c>
      <c r="O7048" s="1">
        <v>1.5299999999999999E-2</v>
      </c>
      <c r="P7048" s="1">
        <v>7.1000000000000004E-3</v>
      </c>
      <c r="Q7048" s="1">
        <v>1.7899999999999999E-2</v>
      </c>
      <c r="R7048" s="1">
        <v>0.45979999999999999</v>
      </c>
      <c r="S7048" s="1">
        <v>4.4999999999999997E-3</v>
      </c>
      <c r="T7048" s="1">
        <v>1.6199999999999999E-2</v>
      </c>
      <c r="U7048" s="1">
        <v>4.1300000000000003E-2</v>
      </c>
    </row>
    <row r="7049" spans="1:21" ht="29.1">
      <c r="A7049" s="25" t="s">
        <v>196</v>
      </c>
      <c r="B7049">
        <v>1713</v>
      </c>
      <c r="C7049" t="s">
        <v>189</v>
      </c>
      <c r="D7049">
        <v>10416</v>
      </c>
      <c r="E7049" s="1">
        <v>2.0199999999999999E-2</v>
      </c>
      <c r="F7049" s="1">
        <v>8.2100000000000006E-2</v>
      </c>
      <c r="G7049" s="1">
        <v>0.15809999999999999</v>
      </c>
      <c r="H7049" s="1">
        <v>1.4800000000000001E-2</v>
      </c>
      <c r="I7049" s="1">
        <v>0.27960000000000002</v>
      </c>
      <c r="J7049" s="1">
        <v>7.4800000000000005E-2</v>
      </c>
      <c r="K7049" s="1">
        <v>7.0599999999999996E-2</v>
      </c>
      <c r="L7049" s="1">
        <v>0.35709999999999997</v>
      </c>
      <c r="M7049" s="1">
        <v>1.5900000000000001E-2</v>
      </c>
      <c r="N7049" s="1">
        <v>2.3599999999999999E-2</v>
      </c>
      <c r="O7049" s="1">
        <v>5.4899999999999997E-2</v>
      </c>
      <c r="P7049" s="1">
        <v>9.1000000000000004E-3</v>
      </c>
      <c r="Q7049" s="1">
        <v>2.3800000000000002E-2</v>
      </c>
      <c r="R7049" s="1">
        <v>0.39319999999999999</v>
      </c>
      <c r="S7049" s="1">
        <v>1.3899999999999999E-2</v>
      </c>
      <c r="T7049" s="1">
        <v>1.6199999999999999E-2</v>
      </c>
      <c r="U7049" s="1">
        <v>7.0300000000000001E-2</v>
      </c>
    </row>
    <row r="7050" spans="1:21">
      <c r="A7050" s="25" t="s">
        <v>192</v>
      </c>
      <c r="B7050">
        <v>10416</v>
      </c>
      <c r="C7050" t="s">
        <v>192</v>
      </c>
      <c r="D7050">
        <v>10416</v>
      </c>
      <c r="E7050" s="1">
        <v>3.2599999999999997E-2</v>
      </c>
      <c r="F7050" s="1">
        <v>4.4299999999999999E-2</v>
      </c>
      <c r="G7050" s="1">
        <v>0.10199999999999999</v>
      </c>
      <c r="H7050" s="1">
        <v>3.3999999999999998E-3</v>
      </c>
      <c r="I7050" s="1">
        <v>0.18609999999999999</v>
      </c>
      <c r="J7050" s="1">
        <v>4.0899999999999999E-2</v>
      </c>
      <c r="K7050" s="1">
        <v>5.91E-2</v>
      </c>
      <c r="L7050" s="1">
        <v>0.25540000000000002</v>
      </c>
      <c r="M7050" s="1">
        <v>8.6E-3</v>
      </c>
      <c r="N7050" s="1">
        <v>9.5999999999999992E-3</v>
      </c>
      <c r="O7050" s="1">
        <v>1.37E-2</v>
      </c>
      <c r="P7050" s="1">
        <v>6.7000000000000002E-3</v>
      </c>
      <c r="Q7050" s="1">
        <v>1.44E-2</v>
      </c>
      <c r="R7050" s="1">
        <v>0.51639999999999997</v>
      </c>
      <c r="S7050" s="1">
        <v>6.4000000000000003E-3</v>
      </c>
      <c r="T7050" s="1">
        <v>1.44E-2</v>
      </c>
      <c r="U7050" s="1">
        <v>7.7299999999999994E-2</v>
      </c>
    </row>
    <row r="7052" spans="1:21" ht="43.5">
      <c r="A7052" s="25" t="s">
        <v>1789</v>
      </c>
    </row>
    <row r="7053" spans="1:21">
      <c r="A7053" s="25" t="s">
        <v>182</v>
      </c>
      <c r="B7053" t="s">
        <v>219</v>
      </c>
      <c r="C7053" t="s">
        <v>181</v>
      </c>
      <c r="D7053" t="s">
        <v>188</v>
      </c>
      <c r="E7053" t="s">
        <v>1772</v>
      </c>
      <c r="F7053" t="s">
        <v>1773</v>
      </c>
      <c r="G7053" t="s">
        <v>1774</v>
      </c>
      <c r="H7053" t="s">
        <v>1775</v>
      </c>
      <c r="I7053" t="s">
        <v>1776</v>
      </c>
      <c r="J7053" t="s">
        <v>1777</v>
      </c>
      <c r="K7053" t="s">
        <v>1778</v>
      </c>
      <c r="L7053" t="s">
        <v>1779</v>
      </c>
      <c r="M7053" t="s">
        <v>1780</v>
      </c>
      <c r="N7053" t="s">
        <v>1781</v>
      </c>
      <c r="O7053" t="s">
        <v>1782</v>
      </c>
      <c r="P7053" t="s">
        <v>1783</v>
      </c>
      <c r="Q7053" t="s">
        <v>1784</v>
      </c>
      <c r="R7053" t="s">
        <v>324</v>
      </c>
      <c r="S7053" t="s">
        <v>269</v>
      </c>
      <c r="T7053" t="s">
        <v>243</v>
      </c>
      <c r="U7053" t="s">
        <v>1785</v>
      </c>
    </row>
    <row r="7054" spans="1:21">
      <c r="A7054" s="25" t="s">
        <v>198</v>
      </c>
      <c r="B7054">
        <v>2261</v>
      </c>
      <c r="C7054" t="s">
        <v>189</v>
      </c>
      <c r="D7054">
        <v>10416</v>
      </c>
      <c r="E7054" s="1">
        <v>2.8500000000000001E-2</v>
      </c>
      <c r="F7054" s="1">
        <v>4.2500000000000003E-2</v>
      </c>
      <c r="G7054" s="1">
        <v>0.19800000000000001</v>
      </c>
      <c r="H7054" s="1">
        <v>2.3999999999999998E-3</v>
      </c>
      <c r="I7054" s="1">
        <v>0.24709999999999999</v>
      </c>
      <c r="J7054" s="1">
        <v>6.7000000000000004E-2</v>
      </c>
      <c r="K7054" s="1">
        <v>8.9499999999999996E-2</v>
      </c>
      <c r="L7054" s="1">
        <v>0.37959999999999999</v>
      </c>
      <c r="M7054" s="1">
        <v>1.1299999999999999E-2</v>
      </c>
      <c r="N7054" s="1">
        <v>1.2500000000000001E-2</v>
      </c>
      <c r="O7054" s="1">
        <v>7.0000000000000001E-3</v>
      </c>
      <c r="P7054" s="1">
        <v>1.23E-2</v>
      </c>
      <c r="Q7054" s="1">
        <v>1.4500000000000001E-2</v>
      </c>
      <c r="R7054" s="1">
        <v>0.3518</v>
      </c>
      <c r="S7054" s="1">
        <v>3.8E-3</v>
      </c>
      <c r="T7054" s="1">
        <v>1.9400000000000001E-2</v>
      </c>
      <c r="U7054" s="1">
        <v>6.25E-2</v>
      </c>
    </row>
    <row r="7055" spans="1:21">
      <c r="A7055" s="25" t="s">
        <v>199</v>
      </c>
      <c r="B7055">
        <v>8155</v>
      </c>
      <c r="C7055" t="s">
        <v>189</v>
      </c>
      <c r="D7055">
        <v>10416</v>
      </c>
      <c r="E7055" s="1">
        <v>3.3500000000000002E-2</v>
      </c>
      <c r="F7055" s="1">
        <v>4.4699999999999997E-2</v>
      </c>
      <c r="G7055" s="1">
        <v>8.0500000000000002E-2</v>
      </c>
      <c r="H7055" s="1">
        <v>3.5999999999999999E-3</v>
      </c>
      <c r="I7055" s="1">
        <v>0.1724</v>
      </c>
      <c r="J7055" s="1">
        <v>3.5000000000000003E-2</v>
      </c>
      <c r="K7055" s="1">
        <v>5.2200000000000003E-2</v>
      </c>
      <c r="L7055" s="1">
        <v>0.22750000000000001</v>
      </c>
      <c r="M7055" s="1">
        <v>8.0000000000000002E-3</v>
      </c>
      <c r="N7055" s="1">
        <v>8.8999999999999999E-3</v>
      </c>
      <c r="O7055" s="1">
        <v>1.52E-2</v>
      </c>
      <c r="P7055" s="1">
        <v>5.4000000000000003E-3</v>
      </c>
      <c r="Q7055" s="1">
        <v>1.43E-2</v>
      </c>
      <c r="R7055" s="1">
        <v>0.5534</v>
      </c>
      <c r="S7055" s="1">
        <v>7.0000000000000001E-3</v>
      </c>
      <c r="T7055" s="1">
        <v>1.3299999999999999E-2</v>
      </c>
      <c r="U7055" s="1">
        <v>8.0699999999999994E-2</v>
      </c>
    </row>
    <row r="7056" spans="1:21">
      <c r="A7056" s="25" t="s">
        <v>192</v>
      </c>
      <c r="B7056">
        <v>10416</v>
      </c>
      <c r="C7056" t="s">
        <v>192</v>
      </c>
      <c r="D7056">
        <v>10416</v>
      </c>
      <c r="E7056" s="1">
        <v>3.2599999999999997E-2</v>
      </c>
      <c r="F7056" s="1">
        <v>4.4299999999999999E-2</v>
      </c>
      <c r="G7056" s="1">
        <v>0.10199999999999999</v>
      </c>
      <c r="H7056" s="1">
        <v>3.3999999999999998E-3</v>
      </c>
      <c r="I7056" s="1">
        <v>0.18609999999999999</v>
      </c>
      <c r="J7056" s="1">
        <v>4.0899999999999999E-2</v>
      </c>
      <c r="K7056" s="1">
        <v>5.91E-2</v>
      </c>
      <c r="L7056" s="1">
        <v>0.25540000000000002</v>
      </c>
      <c r="M7056" s="1">
        <v>8.6E-3</v>
      </c>
      <c r="N7056" s="1">
        <v>9.5999999999999992E-3</v>
      </c>
      <c r="O7056" s="1">
        <v>1.37E-2</v>
      </c>
      <c r="P7056" s="1">
        <v>6.7000000000000002E-3</v>
      </c>
      <c r="Q7056" s="1">
        <v>1.44E-2</v>
      </c>
      <c r="R7056" s="1">
        <v>0.51639999999999997</v>
      </c>
      <c r="S7056" s="1">
        <v>6.4000000000000003E-3</v>
      </c>
      <c r="T7056" s="1">
        <v>1.44E-2</v>
      </c>
      <c r="U7056" s="1">
        <v>7.7299999999999994E-2</v>
      </c>
    </row>
    <row r="7058" spans="1:21" ht="43.5">
      <c r="A7058" s="25" t="s">
        <v>1790</v>
      </c>
    </row>
    <row r="7059" spans="1:21">
      <c r="A7059" s="25" t="s">
        <v>182</v>
      </c>
      <c r="B7059" t="s">
        <v>219</v>
      </c>
      <c r="C7059" t="s">
        <v>181</v>
      </c>
      <c r="D7059" t="s">
        <v>188</v>
      </c>
      <c r="E7059" t="s">
        <v>1772</v>
      </c>
      <c r="F7059" t="s">
        <v>1773</v>
      </c>
      <c r="G7059" t="s">
        <v>1774</v>
      </c>
      <c r="H7059" t="s">
        <v>1775</v>
      </c>
      <c r="I7059" t="s">
        <v>1776</v>
      </c>
      <c r="J7059" t="s">
        <v>1777</v>
      </c>
      <c r="K7059" t="s">
        <v>1778</v>
      </c>
      <c r="L7059" t="s">
        <v>1779</v>
      </c>
      <c r="M7059" t="s">
        <v>1780</v>
      </c>
      <c r="N7059" t="s">
        <v>1781</v>
      </c>
      <c r="O7059" t="s">
        <v>1782</v>
      </c>
      <c r="P7059" t="s">
        <v>1783</v>
      </c>
      <c r="Q7059" t="s">
        <v>1784</v>
      </c>
      <c r="R7059" t="s">
        <v>324</v>
      </c>
      <c r="S7059" t="s">
        <v>269</v>
      </c>
      <c r="T7059" t="s">
        <v>243</v>
      </c>
      <c r="U7059" t="s">
        <v>1785</v>
      </c>
    </row>
    <row r="7060" spans="1:21">
      <c r="A7060" s="25" t="s">
        <v>201</v>
      </c>
      <c r="B7060">
        <v>765</v>
      </c>
      <c r="C7060" t="s">
        <v>189</v>
      </c>
      <c r="D7060">
        <v>10416</v>
      </c>
      <c r="E7060" s="1">
        <v>2.9700000000000001E-2</v>
      </c>
      <c r="F7060" s="1">
        <v>0.1135</v>
      </c>
      <c r="G7060" s="1">
        <v>0.12720000000000001</v>
      </c>
      <c r="I7060" s="1">
        <v>0.31659999999999999</v>
      </c>
      <c r="J7060" s="1">
        <v>0.18870000000000001</v>
      </c>
      <c r="K7060" s="1">
        <v>0.1077</v>
      </c>
      <c r="L7060" s="1">
        <v>0.32900000000000001</v>
      </c>
      <c r="M7060" s="1">
        <v>2.41E-2</v>
      </c>
      <c r="N7060" s="1">
        <v>0.106</v>
      </c>
      <c r="O7060" s="1">
        <v>3.39E-2</v>
      </c>
      <c r="P7060" s="1">
        <v>1.55E-2</v>
      </c>
      <c r="Q7060" s="1">
        <v>3.5999999999999997E-2</v>
      </c>
      <c r="R7060" s="1">
        <v>0.28910000000000002</v>
      </c>
      <c r="S7060" s="1">
        <v>3.3999999999999998E-3</v>
      </c>
      <c r="T7060" s="1">
        <v>8.3000000000000001E-3</v>
      </c>
      <c r="U7060" s="1">
        <v>6.2E-2</v>
      </c>
    </row>
    <row r="7061" spans="1:21">
      <c r="A7061" s="25" t="s">
        <v>202</v>
      </c>
      <c r="B7061">
        <v>109</v>
      </c>
      <c r="C7061" t="s">
        <v>189</v>
      </c>
      <c r="D7061">
        <v>10416</v>
      </c>
      <c r="F7061" s="1">
        <v>8.6599999999999996E-2</v>
      </c>
      <c r="G7061" s="1">
        <v>0.15709999999999999</v>
      </c>
      <c r="I7061" s="1">
        <v>0.2238</v>
      </c>
      <c r="J7061" s="1">
        <v>0.10730000000000001</v>
      </c>
      <c r="K7061" s="1">
        <v>6.3399999999999998E-2</v>
      </c>
      <c r="L7061" s="1">
        <v>0.40089999999999998</v>
      </c>
      <c r="M7061" s="1">
        <v>3.8E-3</v>
      </c>
      <c r="N7061" s="1">
        <v>7.0300000000000001E-2</v>
      </c>
      <c r="O7061" s="1">
        <v>3.5200000000000002E-2</v>
      </c>
      <c r="P7061" s="1">
        <v>1.3599999999999999E-2</v>
      </c>
      <c r="Q7061" s="1">
        <v>3.7199999999999997E-2</v>
      </c>
      <c r="R7061" s="1">
        <v>0.371</v>
      </c>
      <c r="S7061" s="1">
        <v>6.3E-3</v>
      </c>
      <c r="T7061" s="1">
        <v>4.9299999999999997E-2</v>
      </c>
      <c r="U7061" s="1">
        <v>6.1199999999999997E-2</v>
      </c>
    </row>
    <row r="7062" spans="1:21">
      <c r="A7062" s="25" t="s">
        <v>203</v>
      </c>
      <c r="B7062">
        <v>8033</v>
      </c>
      <c r="C7062" t="s">
        <v>189</v>
      </c>
      <c r="D7062">
        <v>10416</v>
      </c>
      <c r="E7062" s="1">
        <v>3.0200000000000001E-2</v>
      </c>
      <c r="F7062" s="1">
        <v>3.49E-2</v>
      </c>
      <c r="G7062" s="1">
        <v>0.1021</v>
      </c>
      <c r="H7062" s="1">
        <v>2.0999999999999999E-3</v>
      </c>
      <c r="I7062" s="1">
        <v>0.18240000000000001</v>
      </c>
      <c r="J7062" s="1">
        <v>2.9000000000000001E-2</v>
      </c>
      <c r="K7062" s="1">
        <v>5.7000000000000002E-2</v>
      </c>
      <c r="L7062" s="1">
        <v>0.26019999999999999</v>
      </c>
      <c r="M7062" s="1">
        <v>8.2000000000000007E-3</v>
      </c>
      <c r="N7062" s="1">
        <v>5.9999999999999995E-4</v>
      </c>
      <c r="O7062" s="1">
        <v>8.3000000000000001E-3</v>
      </c>
      <c r="P7062" s="1">
        <v>6.1000000000000004E-3</v>
      </c>
      <c r="Q7062" s="1">
        <v>1.18E-2</v>
      </c>
      <c r="R7062" s="1">
        <v>0.52729999999999999</v>
      </c>
      <c r="S7062" s="1">
        <v>4.7999999999999996E-3</v>
      </c>
      <c r="T7062" s="1">
        <v>1.41E-2</v>
      </c>
      <c r="U7062" s="1">
        <v>7.7100000000000002E-2</v>
      </c>
    </row>
    <row r="7063" spans="1:21">
      <c r="A7063" s="25" t="s">
        <v>204</v>
      </c>
      <c r="B7063">
        <v>31</v>
      </c>
      <c r="C7063" t="s">
        <v>189</v>
      </c>
      <c r="D7063">
        <v>10416</v>
      </c>
      <c r="F7063" s="1">
        <v>3.95E-2</v>
      </c>
      <c r="G7063" s="1">
        <v>2.3099999999999999E-2</v>
      </c>
      <c r="I7063" s="1">
        <v>0.1227</v>
      </c>
      <c r="L7063" s="1">
        <v>0.33650000000000002</v>
      </c>
      <c r="O7063" s="1">
        <v>3.39E-2</v>
      </c>
      <c r="P7063" s="1">
        <v>1.6400000000000001E-2</v>
      </c>
      <c r="Q7063" s="1">
        <v>1.23E-2</v>
      </c>
      <c r="R7063" s="1">
        <v>0.48259999999999997</v>
      </c>
      <c r="T7063" s="1">
        <v>4.9799999999999997E-2</v>
      </c>
      <c r="U7063" s="1">
        <v>0.21149999999999999</v>
      </c>
    </row>
    <row r="7064" spans="1:21">
      <c r="A7064" s="25" t="s">
        <v>205</v>
      </c>
      <c r="B7064">
        <v>1478</v>
      </c>
      <c r="C7064" t="s">
        <v>189</v>
      </c>
      <c r="D7064">
        <v>10416</v>
      </c>
      <c r="E7064" s="1">
        <v>4.9299999999999997E-2</v>
      </c>
      <c r="F7064" s="1">
        <v>6.1199999999999997E-2</v>
      </c>
      <c r="G7064" s="1">
        <v>8.77E-2</v>
      </c>
      <c r="H7064" s="1">
        <v>1.3100000000000001E-2</v>
      </c>
      <c r="I7064" s="1">
        <v>0.14080000000000001</v>
      </c>
      <c r="J7064" s="1">
        <v>3.2000000000000001E-2</v>
      </c>
      <c r="K7064" s="1">
        <v>4.6800000000000001E-2</v>
      </c>
      <c r="L7064" s="1">
        <v>0.1837</v>
      </c>
      <c r="M7064" s="1">
        <v>3.5999999999999999E-3</v>
      </c>
      <c r="N7064" s="1">
        <v>9.7000000000000003E-3</v>
      </c>
      <c r="O7064" s="1">
        <v>3.27E-2</v>
      </c>
      <c r="P7064" s="1">
        <v>5.0000000000000001E-3</v>
      </c>
      <c r="Q7064" s="1">
        <v>1.7399999999999999E-2</v>
      </c>
      <c r="R7064" s="1">
        <v>0.57589999999999997</v>
      </c>
      <c r="S7064" s="1">
        <v>1.7500000000000002E-2</v>
      </c>
      <c r="T7064" s="1">
        <v>1.7299999999999999E-2</v>
      </c>
      <c r="U7064" s="1">
        <v>8.5500000000000007E-2</v>
      </c>
    </row>
    <row r="7065" spans="1:21">
      <c r="A7065" s="25" t="s">
        <v>192</v>
      </c>
      <c r="B7065">
        <v>10416</v>
      </c>
      <c r="C7065" t="s">
        <v>192</v>
      </c>
      <c r="D7065">
        <v>10416</v>
      </c>
      <c r="E7065" s="1">
        <v>3.2599999999999997E-2</v>
      </c>
      <c r="F7065" s="1">
        <v>4.4299999999999999E-2</v>
      </c>
      <c r="G7065" s="1">
        <v>0.10199999999999999</v>
      </c>
      <c r="H7065" s="1">
        <v>3.3999999999999998E-3</v>
      </c>
      <c r="I7065" s="1">
        <v>0.18609999999999999</v>
      </c>
      <c r="J7065" s="1">
        <v>4.0899999999999999E-2</v>
      </c>
      <c r="K7065" s="1">
        <v>5.91E-2</v>
      </c>
      <c r="L7065" s="1">
        <v>0.25540000000000002</v>
      </c>
      <c r="M7065" s="1">
        <v>8.6E-3</v>
      </c>
      <c r="N7065" s="1">
        <v>9.5999999999999992E-3</v>
      </c>
      <c r="O7065" s="1">
        <v>1.37E-2</v>
      </c>
      <c r="P7065" s="1">
        <v>6.7000000000000002E-3</v>
      </c>
      <c r="Q7065" s="1">
        <v>1.44E-2</v>
      </c>
      <c r="R7065" s="1">
        <v>0.51639999999999997</v>
      </c>
      <c r="S7065" s="1">
        <v>6.4000000000000003E-3</v>
      </c>
      <c r="T7065" s="1">
        <v>1.44E-2</v>
      </c>
      <c r="U7065" s="1">
        <v>7.7299999999999994E-2</v>
      </c>
    </row>
    <row r="7067" spans="1:21" ht="43.5">
      <c r="A7067" s="25" t="s">
        <v>1791</v>
      </c>
    </row>
    <row r="7068" spans="1:21">
      <c r="A7068" s="25" t="s">
        <v>182</v>
      </c>
      <c r="B7068" t="s">
        <v>219</v>
      </c>
      <c r="C7068" t="s">
        <v>181</v>
      </c>
      <c r="D7068" t="s">
        <v>188</v>
      </c>
      <c r="E7068" t="s">
        <v>1772</v>
      </c>
      <c r="F7068" t="s">
        <v>1773</v>
      </c>
      <c r="G7068" t="s">
        <v>1774</v>
      </c>
      <c r="H7068" t="s">
        <v>1775</v>
      </c>
      <c r="I7068" t="s">
        <v>1776</v>
      </c>
      <c r="J7068" t="s">
        <v>1777</v>
      </c>
      <c r="K7068" t="s">
        <v>1778</v>
      </c>
      <c r="L7068" t="s">
        <v>1779</v>
      </c>
      <c r="M7068" t="s">
        <v>1780</v>
      </c>
      <c r="N7068" t="s">
        <v>1781</v>
      </c>
      <c r="O7068" t="s">
        <v>1782</v>
      </c>
      <c r="P7068" t="s">
        <v>1783</v>
      </c>
      <c r="Q7068" t="s">
        <v>1784</v>
      </c>
      <c r="R7068" t="s">
        <v>324</v>
      </c>
      <c r="S7068" t="s">
        <v>269</v>
      </c>
      <c r="T7068" t="s">
        <v>243</v>
      </c>
      <c r="U7068" t="s">
        <v>1785</v>
      </c>
    </row>
    <row r="7069" spans="1:21">
      <c r="A7069" s="25" t="s">
        <v>207</v>
      </c>
      <c r="B7069">
        <v>7239</v>
      </c>
      <c r="C7069" t="s">
        <v>189</v>
      </c>
      <c r="D7069">
        <v>10416</v>
      </c>
      <c r="E7069" s="1">
        <v>3.5299999999999998E-2</v>
      </c>
      <c r="F7069" s="1">
        <v>4.53E-2</v>
      </c>
      <c r="G7069" s="1">
        <v>9.5399999999999999E-2</v>
      </c>
      <c r="H7069" s="1">
        <v>3.7000000000000002E-3</v>
      </c>
      <c r="I7069" s="1">
        <v>0.182</v>
      </c>
      <c r="J7069" s="1">
        <v>3.8600000000000002E-2</v>
      </c>
      <c r="K7069" s="1">
        <v>4.99E-2</v>
      </c>
      <c r="L7069" s="1">
        <v>0.24210000000000001</v>
      </c>
      <c r="M7069" s="1">
        <v>8.6999999999999994E-3</v>
      </c>
      <c r="N7069" s="1">
        <v>9.1000000000000004E-3</v>
      </c>
      <c r="O7069" s="1">
        <v>1.49E-2</v>
      </c>
      <c r="P7069" s="1">
        <v>6.4000000000000003E-3</v>
      </c>
      <c r="Q7069" s="1">
        <v>1.5599999999999999E-2</v>
      </c>
      <c r="R7069" s="1">
        <v>0.52649999999999997</v>
      </c>
      <c r="S7069" s="1">
        <v>6.8999999999999999E-3</v>
      </c>
      <c r="T7069" s="1">
        <v>1.5100000000000001E-2</v>
      </c>
      <c r="U7069" s="1">
        <v>7.8E-2</v>
      </c>
    </row>
    <row r="7070" spans="1:21">
      <c r="A7070" s="25" t="s">
        <v>208</v>
      </c>
      <c r="B7070">
        <v>2243</v>
      </c>
      <c r="C7070" t="s">
        <v>189</v>
      </c>
      <c r="D7070">
        <v>10416</v>
      </c>
      <c r="E7070" s="1">
        <v>2.69E-2</v>
      </c>
      <c r="F7070" s="1">
        <v>3.6999999999999998E-2</v>
      </c>
      <c r="G7070" s="1">
        <v>0.124</v>
      </c>
      <c r="H7070" s="1">
        <v>3.3999999999999998E-3</v>
      </c>
      <c r="I7070" s="1">
        <v>0.19639999999999999</v>
      </c>
      <c r="J7070" s="1">
        <v>4.4600000000000001E-2</v>
      </c>
      <c r="K7070" s="1">
        <v>8.6499999999999994E-2</v>
      </c>
      <c r="L7070" s="1">
        <v>0.29099999999999998</v>
      </c>
      <c r="M7070" s="1">
        <v>1.0699999999999999E-2</v>
      </c>
      <c r="N7070" s="1">
        <v>1.32E-2</v>
      </c>
      <c r="O7070" s="1">
        <v>1.1599999999999999E-2</v>
      </c>
      <c r="P7070" s="1">
        <v>6.4000000000000003E-3</v>
      </c>
      <c r="Q7070" s="1">
        <v>1.01E-2</v>
      </c>
      <c r="R7070" s="1">
        <v>0.48880000000000001</v>
      </c>
      <c r="S7070" s="1">
        <v>4.1999999999999997E-3</v>
      </c>
      <c r="T7070" s="1">
        <v>1.24E-2</v>
      </c>
      <c r="U7070" s="1">
        <v>6.9199999999999998E-2</v>
      </c>
    </row>
    <row r="7071" spans="1:21">
      <c r="A7071" s="25" t="s">
        <v>209</v>
      </c>
      <c r="B7071">
        <v>934</v>
      </c>
      <c r="C7071" t="s">
        <v>189</v>
      </c>
      <c r="D7071">
        <v>10416</v>
      </c>
      <c r="E7071" s="1">
        <v>2.4899999999999999E-2</v>
      </c>
      <c r="F7071" s="1">
        <v>5.6000000000000001E-2</v>
      </c>
      <c r="G7071" s="1">
        <v>9.7699999999999995E-2</v>
      </c>
      <c r="H7071" s="1">
        <v>1E-3</v>
      </c>
      <c r="I7071" s="1">
        <v>0.19320000000000001</v>
      </c>
      <c r="J7071" s="1">
        <v>5.0099999999999999E-2</v>
      </c>
      <c r="K7071" s="1">
        <v>6.2300000000000001E-2</v>
      </c>
      <c r="L7071" s="1">
        <v>0.27160000000000001</v>
      </c>
      <c r="M7071" s="1">
        <v>2.3999999999999998E-3</v>
      </c>
      <c r="N7071" s="1">
        <v>3.3E-3</v>
      </c>
      <c r="O7071" s="1">
        <v>8.8999999999999999E-3</v>
      </c>
      <c r="P7071" s="1">
        <v>1.01E-2</v>
      </c>
      <c r="Q7071" s="1">
        <v>1.5599999999999999E-2</v>
      </c>
      <c r="R7071" s="1">
        <v>0.50590000000000002</v>
      </c>
      <c r="S7071" s="1">
        <v>8.5000000000000006E-3</v>
      </c>
      <c r="T7071" s="1">
        <v>1.37E-2</v>
      </c>
      <c r="U7071" s="1">
        <v>9.4399999999999998E-2</v>
      </c>
    </row>
    <row r="7072" spans="1:21">
      <c r="A7072" s="25" t="s">
        <v>192</v>
      </c>
      <c r="B7072">
        <v>10416</v>
      </c>
      <c r="C7072" t="s">
        <v>192</v>
      </c>
      <c r="D7072">
        <v>10416</v>
      </c>
      <c r="E7072" s="1">
        <v>3.2599999999999997E-2</v>
      </c>
      <c r="F7072" s="1">
        <v>4.4299999999999999E-2</v>
      </c>
      <c r="G7072" s="1">
        <v>0.10199999999999999</v>
      </c>
      <c r="H7072" s="1">
        <v>3.3999999999999998E-3</v>
      </c>
      <c r="I7072" s="1">
        <v>0.18609999999999999</v>
      </c>
      <c r="J7072" s="1">
        <v>4.0899999999999999E-2</v>
      </c>
      <c r="K7072" s="1">
        <v>5.91E-2</v>
      </c>
      <c r="L7072" s="1">
        <v>0.25540000000000002</v>
      </c>
      <c r="M7072" s="1">
        <v>8.6E-3</v>
      </c>
      <c r="N7072" s="1">
        <v>9.5999999999999992E-3</v>
      </c>
      <c r="O7072" s="1">
        <v>1.37E-2</v>
      </c>
      <c r="P7072" s="1">
        <v>6.7000000000000002E-3</v>
      </c>
      <c r="Q7072" s="1">
        <v>1.44E-2</v>
      </c>
      <c r="R7072" s="1">
        <v>0.51639999999999997</v>
      </c>
      <c r="S7072" s="1">
        <v>6.4000000000000003E-3</v>
      </c>
      <c r="T7072" s="1">
        <v>1.44E-2</v>
      </c>
      <c r="U7072" s="1">
        <v>7.7299999999999994E-2</v>
      </c>
    </row>
    <row r="7074" spans="1:21" ht="43.5">
      <c r="A7074" s="25" t="s">
        <v>1792</v>
      </c>
    </row>
    <row r="7075" spans="1:21">
      <c r="A7075" s="25" t="s">
        <v>182</v>
      </c>
      <c r="B7075" t="s">
        <v>219</v>
      </c>
      <c r="C7075" t="s">
        <v>181</v>
      </c>
      <c r="D7075" t="s">
        <v>188</v>
      </c>
      <c r="E7075" t="s">
        <v>1772</v>
      </c>
      <c r="F7075" t="s">
        <v>1773</v>
      </c>
      <c r="G7075" t="s">
        <v>1774</v>
      </c>
      <c r="H7075" t="s">
        <v>1775</v>
      </c>
      <c r="I7075" t="s">
        <v>1776</v>
      </c>
      <c r="J7075" t="s">
        <v>1777</v>
      </c>
      <c r="K7075" t="s">
        <v>1778</v>
      </c>
      <c r="L7075" t="s">
        <v>1779</v>
      </c>
      <c r="M7075" t="s">
        <v>1780</v>
      </c>
      <c r="N7075" t="s">
        <v>1781</v>
      </c>
      <c r="O7075" t="s">
        <v>1782</v>
      </c>
      <c r="P7075" t="s">
        <v>1783</v>
      </c>
      <c r="Q7075" t="s">
        <v>1784</v>
      </c>
      <c r="R7075" t="s">
        <v>324</v>
      </c>
      <c r="S7075" t="s">
        <v>269</v>
      </c>
      <c r="T7075" t="s">
        <v>243</v>
      </c>
      <c r="U7075" t="s">
        <v>1785</v>
      </c>
    </row>
    <row r="7076" spans="1:21">
      <c r="A7076" s="25" t="s">
        <v>211</v>
      </c>
      <c r="B7076">
        <v>4961</v>
      </c>
      <c r="C7076" t="s">
        <v>189</v>
      </c>
      <c r="D7076">
        <v>10416</v>
      </c>
      <c r="E7076" s="1">
        <v>3.95E-2</v>
      </c>
      <c r="F7076" s="1">
        <v>4.0500000000000001E-2</v>
      </c>
      <c r="G7076" s="1">
        <v>9.6500000000000002E-2</v>
      </c>
      <c r="H7076" s="1">
        <v>4.4999999999999997E-3</v>
      </c>
      <c r="I7076" s="1">
        <v>0.1671</v>
      </c>
      <c r="J7076" s="1">
        <v>3.4500000000000003E-2</v>
      </c>
      <c r="K7076" s="1">
        <v>4.7699999999999999E-2</v>
      </c>
      <c r="L7076" s="1">
        <v>0.22839999999999999</v>
      </c>
      <c r="M7076" s="1">
        <v>6.1999999999999998E-3</v>
      </c>
      <c r="N7076" s="1">
        <v>7.9000000000000008E-3</v>
      </c>
      <c r="O7076" s="1">
        <v>1.2200000000000001E-2</v>
      </c>
      <c r="P7076" s="1">
        <v>6.7999999999999996E-3</v>
      </c>
      <c r="Q7076" s="1">
        <v>1.4E-2</v>
      </c>
      <c r="R7076" s="1">
        <v>0.53420000000000001</v>
      </c>
      <c r="S7076" s="1">
        <v>9.9000000000000008E-3</v>
      </c>
      <c r="T7076" s="1">
        <v>1.8200000000000001E-2</v>
      </c>
      <c r="U7076" s="1">
        <v>9.3200000000000005E-2</v>
      </c>
    </row>
    <row r="7077" spans="1:21">
      <c r="A7077" s="25" t="s">
        <v>212</v>
      </c>
      <c r="B7077">
        <v>3371</v>
      </c>
      <c r="C7077" t="s">
        <v>189</v>
      </c>
      <c r="D7077">
        <v>10416</v>
      </c>
      <c r="E7077" s="1">
        <v>2.7199999999999998E-2</v>
      </c>
      <c r="F7077" s="1">
        <v>3.6600000000000001E-2</v>
      </c>
      <c r="G7077" s="1">
        <v>0.12479999999999999</v>
      </c>
      <c r="H7077" s="1">
        <v>3.8E-3</v>
      </c>
      <c r="I7077" s="1">
        <v>0.2225</v>
      </c>
      <c r="J7077" s="1">
        <v>4.48E-2</v>
      </c>
      <c r="K7077" s="1">
        <v>8.2699999999999996E-2</v>
      </c>
      <c r="L7077" s="1">
        <v>0.33050000000000002</v>
      </c>
      <c r="M7077" s="1">
        <v>8.0999999999999996E-3</v>
      </c>
      <c r="N7077" s="1">
        <v>6.7999999999999996E-3</v>
      </c>
      <c r="O7077" s="1">
        <v>1.5599999999999999E-2</v>
      </c>
      <c r="P7077" s="1">
        <v>7.1999999999999998E-3</v>
      </c>
      <c r="Q7077" s="1">
        <v>1.47E-2</v>
      </c>
      <c r="R7077" s="1">
        <v>0.45569999999999999</v>
      </c>
      <c r="S7077" s="1">
        <v>2.7000000000000001E-3</v>
      </c>
      <c r="T7077" s="1">
        <v>1.2E-2</v>
      </c>
      <c r="U7077" s="1">
        <v>6.3700000000000007E-2</v>
      </c>
    </row>
    <row r="7078" spans="1:21">
      <c r="A7078" s="25" t="s">
        <v>213</v>
      </c>
      <c r="B7078">
        <v>2084</v>
      </c>
      <c r="C7078" t="s">
        <v>189</v>
      </c>
      <c r="D7078">
        <v>10416</v>
      </c>
      <c r="E7078" s="1">
        <v>2.5399999999999999E-2</v>
      </c>
      <c r="F7078" s="1">
        <v>6.3200000000000006E-2</v>
      </c>
      <c r="G7078" s="1">
        <v>8.1500000000000003E-2</v>
      </c>
      <c r="H7078" s="1">
        <v>5.9999999999999995E-4</v>
      </c>
      <c r="I7078" s="1">
        <v>0.17510000000000001</v>
      </c>
      <c r="J7078" s="1">
        <v>4.8899999999999999E-2</v>
      </c>
      <c r="K7078" s="1">
        <v>4.99E-2</v>
      </c>
      <c r="L7078" s="1">
        <v>0.20680000000000001</v>
      </c>
      <c r="M7078" s="1">
        <v>1.4500000000000001E-2</v>
      </c>
      <c r="N7078" s="1">
        <v>1.7100000000000001E-2</v>
      </c>
      <c r="O7078" s="1">
        <v>1.4E-2</v>
      </c>
      <c r="P7078" s="1">
        <v>5.5999999999999999E-3</v>
      </c>
      <c r="Q7078" s="1">
        <v>1.46E-2</v>
      </c>
      <c r="R7078" s="1">
        <v>0.5645</v>
      </c>
      <c r="S7078" s="1">
        <v>4.3E-3</v>
      </c>
      <c r="T7078" s="1">
        <v>9.4999999999999998E-3</v>
      </c>
      <c r="U7078" s="1">
        <v>6.2600000000000003E-2</v>
      </c>
    </row>
    <row r="7079" spans="1:21">
      <c r="A7079" s="25" t="s">
        <v>192</v>
      </c>
      <c r="B7079">
        <v>10416</v>
      </c>
      <c r="C7079" t="s">
        <v>192</v>
      </c>
      <c r="D7079">
        <v>10416</v>
      </c>
      <c r="E7079" s="1">
        <v>3.2599999999999997E-2</v>
      </c>
      <c r="F7079" s="1">
        <v>4.4299999999999999E-2</v>
      </c>
      <c r="G7079" s="1">
        <v>0.10199999999999999</v>
      </c>
      <c r="H7079" s="1">
        <v>3.3999999999999998E-3</v>
      </c>
      <c r="I7079" s="1">
        <v>0.18609999999999999</v>
      </c>
      <c r="J7079" s="1">
        <v>4.0899999999999999E-2</v>
      </c>
      <c r="K7079" s="1">
        <v>5.91E-2</v>
      </c>
      <c r="L7079" s="1">
        <v>0.25540000000000002</v>
      </c>
      <c r="M7079" s="1">
        <v>8.6E-3</v>
      </c>
      <c r="N7079" s="1">
        <v>9.5999999999999992E-3</v>
      </c>
      <c r="O7079" s="1">
        <v>1.37E-2</v>
      </c>
      <c r="P7079" s="1">
        <v>6.7000000000000002E-3</v>
      </c>
      <c r="Q7079" s="1">
        <v>1.44E-2</v>
      </c>
      <c r="R7079" s="1">
        <v>0.51639999999999997</v>
      </c>
      <c r="S7079" s="1">
        <v>6.4000000000000003E-3</v>
      </c>
      <c r="T7079" s="1">
        <v>1.44E-2</v>
      </c>
      <c r="U7079" s="1">
        <v>7.7299999999999994E-2</v>
      </c>
    </row>
    <row r="7081" spans="1:21" ht="43.5">
      <c r="A7081" s="25" t="s">
        <v>1793</v>
      </c>
    </row>
    <row r="7082" spans="1:21">
      <c r="A7082" s="25" t="s">
        <v>182</v>
      </c>
      <c r="B7082" t="s">
        <v>219</v>
      </c>
      <c r="C7082" t="s">
        <v>181</v>
      </c>
      <c r="D7082" t="s">
        <v>188</v>
      </c>
      <c r="E7082" t="s">
        <v>1794</v>
      </c>
      <c r="F7082" t="s">
        <v>241</v>
      </c>
      <c r="G7082" t="s">
        <v>1795</v>
      </c>
      <c r="H7082" t="s">
        <v>1796</v>
      </c>
      <c r="I7082" t="s">
        <v>1797</v>
      </c>
      <c r="J7082" t="s">
        <v>1798</v>
      </c>
      <c r="K7082" t="s">
        <v>324</v>
      </c>
      <c r="L7082" t="s">
        <v>1799</v>
      </c>
      <c r="M7082" t="s">
        <v>269</v>
      </c>
      <c r="N7082" t="s">
        <v>1800</v>
      </c>
      <c r="O7082" t="s">
        <v>1801</v>
      </c>
      <c r="P7082" t="s">
        <v>243</v>
      </c>
      <c r="Q7082" t="s">
        <v>1802</v>
      </c>
      <c r="R7082" t="s">
        <v>1803</v>
      </c>
      <c r="S7082" t="s">
        <v>1804</v>
      </c>
      <c r="T7082" t="s">
        <v>1805</v>
      </c>
    </row>
    <row r="7083" spans="1:21">
      <c r="A7083" s="25" t="s">
        <v>215</v>
      </c>
      <c r="B7083">
        <v>1570</v>
      </c>
      <c r="C7083" t="s">
        <v>189</v>
      </c>
      <c r="D7083">
        <v>5485</v>
      </c>
      <c r="E7083" s="1">
        <v>5.2499999999999998E-2</v>
      </c>
      <c r="F7083" s="1">
        <v>1.4800000000000001E-2</v>
      </c>
      <c r="G7083" s="1">
        <v>2.76E-2</v>
      </c>
      <c r="H7083" s="1">
        <v>0.2586</v>
      </c>
      <c r="I7083" s="1">
        <v>3.6499999999999998E-2</v>
      </c>
      <c r="J7083" s="1">
        <v>0.36840000000000001</v>
      </c>
      <c r="K7083" s="1">
        <v>2.3400000000000001E-2</v>
      </c>
      <c r="L7083" s="1">
        <v>6.3700000000000007E-2</v>
      </c>
      <c r="M7083" s="1">
        <v>2.9999999999999997E-4</v>
      </c>
      <c r="N7083" s="1">
        <v>2.9499999999999998E-2</v>
      </c>
      <c r="O7083" s="1">
        <v>0.2964</v>
      </c>
      <c r="P7083" s="1">
        <v>1.6000000000000001E-3</v>
      </c>
      <c r="Q7083" s="1">
        <v>3.2099999999999997E-2</v>
      </c>
      <c r="R7083" s="1">
        <v>4.9399999999999999E-2</v>
      </c>
      <c r="S7083" s="1">
        <v>0.2797</v>
      </c>
      <c r="T7083" s="1">
        <v>0.18840000000000001</v>
      </c>
    </row>
    <row r="7084" spans="1:21">
      <c r="A7084" s="25" t="s">
        <v>217</v>
      </c>
      <c r="B7084">
        <v>3915</v>
      </c>
      <c r="C7084" t="s">
        <v>189</v>
      </c>
      <c r="D7084">
        <v>5485</v>
      </c>
      <c r="E7084" s="1">
        <v>3.8399999999999997E-2</v>
      </c>
      <c r="F7084" s="1">
        <v>8.8000000000000005E-3</v>
      </c>
      <c r="G7084" s="1">
        <v>3.0099999999999998E-2</v>
      </c>
      <c r="H7084" s="1">
        <v>0.26840000000000003</v>
      </c>
      <c r="I7084" s="1">
        <v>2.6499999999999999E-2</v>
      </c>
      <c r="J7084" s="1">
        <v>0.41870000000000002</v>
      </c>
      <c r="K7084" s="1">
        <v>1.9300000000000001E-2</v>
      </c>
      <c r="L7084" s="1">
        <v>6.1600000000000002E-2</v>
      </c>
      <c r="M7084" s="1">
        <v>4.0000000000000002E-4</v>
      </c>
      <c r="N7084" s="1">
        <v>3.2300000000000002E-2</v>
      </c>
      <c r="O7084" s="1">
        <v>0.3745</v>
      </c>
      <c r="P7084" s="1">
        <v>5.9999999999999995E-4</v>
      </c>
      <c r="Q7084" s="1">
        <v>2.5700000000000001E-2</v>
      </c>
      <c r="R7084" s="1">
        <v>4.6300000000000001E-2</v>
      </c>
      <c r="S7084" s="1">
        <v>0.28260000000000002</v>
      </c>
      <c r="T7084" s="1">
        <v>0.1492</v>
      </c>
    </row>
    <row r="7085" spans="1:21">
      <c r="A7085" s="25" t="s">
        <v>192</v>
      </c>
      <c r="B7085">
        <v>5485</v>
      </c>
      <c r="C7085" t="s">
        <v>192</v>
      </c>
      <c r="D7085">
        <v>5485</v>
      </c>
      <c r="E7085" s="1">
        <v>4.2700000000000002E-2</v>
      </c>
      <c r="F7085" s="1">
        <v>1.0699999999999999E-2</v>
      </c>
      <c r="G7085" s="1">
        <v>2.93E-2</v>
      </c>
      <c r="H7085" s="1">
        <v>0.26540000000000002</v>
      </c>
      <c r="I7085" s="1">
        <v>2.9600000000000001E-2</v>
      </c>
      <c r="J7085" s="1">
        <v>0.4032</v>
      </c>
      <c r="K7085" s="1">
        <v>2.0500000000000001E-2</v>
      </c>
      <c r="L7085" s="1">
        <v>6.2199999999999998E-2</v>
      </c>
      <c r="M7085" s="1">
        <v>2.9999999999999997E-4</v>
      </c>
      <c r="N7085" s="1">
        <v>3.1399999999999997E-2</v>
      </c>
      <c r="O7085" s="1">
        <v>0.35039999999999999</v>
      </c>
      <c r="P7085" s="1">
        <v>8.9999999999999998E-4</v>
      </c>
      <c r="Q7085" s="1">
        <v>2.76E-2</v>
      </c>
      <c r="R7085" s="1">
        <v>4.7199999999999999E-2</v>
      </c>
      <c r="S7085" s="1">
        <v>0.28170000000000001</v>
      </c>
      <c r="T7085" s="1">
        <v>0.1613</v>
      </c>
    </row>
    <row r="7087" spans="1:21" ht="43.5">
      <c r="A7087" s="25" t="s">
        <v>1806</v>
      </c>
    </row>
    <row r="7088" spans="1:21">
      <c r="A7088" s="25" t="s">
        <v>182</v>
      </c>
      <c r="B7088" t="s">
        <v>219</v>
      </c>
      <c r="C7088" t="s">
        <v>181</v>
      </c>
      <c r="D7088" t="s">
        <v>188</v>
      </c>
      <c r="E7088" t="s">
        <v>1794</v>
      </c>
      <c r="F7088" t="s">
        <v>241</v>
      </c>
      <c r="G7088" t="s">
        <v>1795</v>
      </c>
      <c r="H7088" t="s">
        <v>1796</v>
      </c>
      <c r="I7088" t="s">
        <v>1797</v>
      </c>
      <c r="J7088" t="s">
        <v>1798</v>
      </c>
      <c r="K7088" t="s">
        <v>324</v>
      </c>
      <c r="L7088" t="s">
        <v>1799</v>
      </c>
      <c r="M7088" t="s">
        <v>269</v>
      </c>
      <c r="N7088" t="s">
        <v>1800</v>
      </c>
      <c r="O7088" t="s">
        <v>1801</v>
      </c>
      <c r="P7088" t="s">
        <v>243</v>
      </c>
      <c r="Q7088" t="s">
        <v>1802</v>
      </c>
      <c r="R7088" t="s">
        <v>1803</v>
      </c>
      <c r="S7088" t="s">
        <v>1804</v>
      </c>
      <c r="T7088" t="s">
        <v>1805</v>
      </c>
    </row>
    <row r="7089" spans="1:20">
      <c r="A7089" s="25" t="s">
        <v>223</v>
      </c>
      <c r="B7089">
        <v>394</v>
      </c>
      <c r="C7089" t="s">
        <v>189</v>
      </c>
      <c r="D7089">
        <v>5485</v>
      </c>
      <c r="E7089" s="1">
        <v>1.9900000000000001E-2</v>
      </c>
      <c r="F7089" s="1">
        <v>1.3599999999999999E-2</v>
      </c>
      <c r="G7089" s="1">
        <v>7.0900000000000005E-2</v>
      </c>
      <c r="H7089" s="1">
        <v>0.15279999999999999</v>
      </c>
      <c r="I7089" s="1">
        <v>2.4400000000000002E-2</v>
      </c>
      <c r="J7089" s="1">
        <v>0.5413</v>
      </c>
      <c r="K7089" s="1">
        <v>2.0899999999999998E-2</v>
      </c>
      <c r="L7089" s="1">
        <v>0.125</v>
      </c>
      <c r="N7089" s="1">
        <v>6.7799999999999999E-2</v>
      </c>
      <c r="O7089" s="1">
        <v>0.2213</v>
      </c>
      <c r="Q7089" s="1">
        <v>2.5999999999999999E-3</v>
      </c>
      <c r="R7089" s="1">
        <v>1.23E-2</v>
      </c>
      <c r="S7089" s="1">
        <v>0.53159999999999996</v>
      </c>
      <c r="T7089" s="1">
        <v>4.7500000000000001E-2</v>
      </c>
    </row>
    <row r="7090" spans="1:20">
      <c r="A7090" s="25" t="s">
        <v>224</v>
      </c>
      <c r="B7090">
        <v>1478</v>
      </c>
      <c r="C7090" t="s">
        <v>189</v>
      </c>
      <c r="D7090">
        <v>5485</v>
      </c>
      <c r="E7090" s="1">
        <v>3.2599999999999997E-2</v>
      </c>
      <c r="F7090" s="1">
        <v>9.1000000000000004E-3</v>
      </c>
      <c r="G7090" s="1">
        <v>4.07E-2</v>
      </c>
      <c r="H7090" s="1">
        <v>0.16919999999999999</v>
      </c>
      <c r="I7090" s="1">
        <v>4.6800000000000001E-2</v>
      </c>
      <c r="J7090" s="1">
        <v>0.5524</v>
      </c>
      <c r="K7090" s="1">
        <v>1.89E-2</v>
      </c>
      <c r="L7090" s="1">
        <v>7.6799999999999993E-2</v>
      </c>
      <c r="M7090" s="1">
        <v>2.9999999999999997E-4</v>
      </c>
      <c r="N7090" s="1">
        <v>4.8800000000000003E-2</v>
      </c>
      <c r="O7090" s="1">
        <v>0.27610000000000001</v>
      </c>
      <c r="P7090" s="1">
        <v>1.9E-3</v>
      </c>
      <c r="Q7090" s="1">
        <v>1.5800000000000002E-2</v>
      </c>
      <c r="R7090" s="1">
        <v>1.7999999999999999E-2</v>
      </c>
      <c r="S7090" s="1">
        <v>0.40479999999999999</v>
      </c>
      <c r="T7090" s="1">
        <v>6.7900000000000002E-2</v>
      </c>
    </row>
    <row r="7091" spans="1:20">
      <c r="A7091" s="25" t="s">
        <v>225</v>
      </c>
      <c r="B7091">
        <v>1435</v>
      </c>
      <c r="C7091" t="s">
        <v>189</v>
      </c>
      <c r="D7091">
        <v>5485</v>
      </c>
      <c r="E7091" s="1">
        <v>5.4399999999999997E-2</v>
      </c>
      <c r="F7091" s="1">
        <v>7.7999999999999996E-3</v>
      </c>
      <c r="G7091" s="1">
        <v>4.0899999999999999E-2</v>
      </c>
      <c r="H7091" s="1">
        <v>0.24129999999999999</v>
      </c>
      <c r="I7091" s="1">
        <v>3.4099999999999998E-2</v>
      </c>
      <c r="J7091" s="1">
        <v>0.46050000000000002</v>
      </c>
      <c r="K7091" s="1">
        <v>0.02</v>
      </c>
      <c r="L7091" s="1">
        <v>7.5600000000000001E-2</v>
      </c>
      <c r="N7091" s="1">
        <v>3.6299999999999999E-2</v>
      </c>
      <c r="O7091" s="1">
        <v>0.35189999999999999</v>
      </c>
      <c r="P7091" s="1">
        <v>1E-4</v>
      </c>
      <c r="Q7091" s="1">
        <v>1.9400000000000001E-2</v>
      </c>
      <c r="R7091" s="1">
        <v>3.1699999999999999E-2</v>
      </c>
      <c r="S7091" s="1">
        <v>0.317</v>
      </c>
      <c r="T7091" s="1">
        <v>0.16839999999999999</v>
      </c>
    </row>
    <row r="7092" spans="1:20">
      <c r="A7092" s="25" t="s">
        <v>226</v>
      </c>
      <c r="B7092">
        <v>2178</v>
      </c>
      <c r="C7092" t="s">
        <v>189</v>
      </c>
      <c r="D7092">
        <v>5485</v>
      </c>
      <c r="E7092" s="1">
        <v>4.7399999999999998E-2</v>
      </c>
      <c r="F7092" s="1">
        <v>1.26E-2</v>
      </c>
      <c r="G7092" s="1">
        <v>6.3E-3</v>
      </c>
      <c r="H7092" s="1">
        <v>0.36259999999999998</v>
      </c>
      <c r="I7092" s="1">
        <v>1.7899999999999999E-2</v>
      </c>
      <c r="J7092" s="1">
        <v>0.2495</v>
      </c>
      <c r="K7092" s="1">
        <v>2.1700000000000001E-2</v>
      </c>
      <c r="L7092" s="1">
        <v>3.1399999999999997E-2</v>
      </c>
      <c r="M7092" s="1">
        <v>5.9999999999999995E-4</v>
      </c>
      <c r="N7092" s="1">
        <v>9.7999999999999997E-3</v>
      </c>
      <c r="O7092" s="1">
        <v>0.4239</v>
      </c>
      <c r="P7092" s="1">
        <v>8.9999999999999998E-4</v>
      </c>
      <c r="Q7092" s="1">
        <v>4.5199999999999997E-2</v>
      </c>
      <c r="R7092" s="1">
        <v>8.1600000000000006E-2</v>
      </c>
      <c r="S7092" s="1">
        <v>0.13039999999999999</v>
      </c>
      <c r="T7092" s="1">
        <v>0.2394</v>
      </c>
    </row>
    <row r="7093" spans="1:20">
      <c r="A7093" s="25" t="s">
        <v>192</v>
      </c>
      <c r="B7093">
        <v>5485</v>
      </c>
      <c r="C7093" t="s">
        <v>192</v>
      </c>
      <c r="D7093">
        <v>5485</v>
      </c>
      <c r="E7093" s="1">
        <v>4.2700000000000002E-2</v>
      </c>
      <c r="F7093" s="1">
        <v>1.0699999999999999E-2</v>
      </c>
      <c r="G7093" s="1">
        <v>2.93E-2</v>
      </c>
      <c r="H7093" s="1">
        <v>0.26540000000000002</v>
      </c>
      <c r="I7093" s="1">
        <v>2.9600000000000001E-2</v>
      </c>
      <c r="J7093" s="1">
        <v>0.4032</v>
      </c>
      <c r="K7093" s="1">
        <v>2.0500000000000001E-2</v>
      </c>
      <c r="L7093" s="1">
        <v>6.2199999999999998E-2</v>
      </c>
      <c r="M7093" s="1">
        <v>2.9999999999999997E-4</v>
      </c>
      <c r="N7093" s="1">
        <v>3.1399999999999997E-2</v>
      </c>
      <c r="O7093" s="1">
        <v>0.35039999999999999</v>
      </c>
      <c r="P7093" s="1">
        <v>8.9999999999999998E-4</v>
      </c>
      <c r="Q7093" s="1">
        <v>2.76E-2</v>
      </c>
      <c r="R7093" s="1">
        <v>4.7199999999999999E-2</v>
      </c>
      <c r="S7093" s="1">
        <v>0.28170000000000001</v>
      </c>
      <c r="T7093" s="1">
        <v>0.1613</v>
      </c>
    </row>
    <row r="7095" spans="1:20" ht="43.5">
      <c r="A7095" s="25" t="s">
        <v>1807</v>
      </c>
    </row>
    <row r="7096" spans="1:20">
      <c r="A7096" s="25" t="s">
        <v>182</v>
      </c>
      <c r="B7096" t="s">
        <v>219</v>
      </c>
      <c r="C7096" t="s">
        <v>181</v>
      </c>
      <c r="D7096" t="s">
        <v>188</v>
      </c>
      <c r="E7096" t="s">
        <v>1794</v>
      </c>
      <c r="F7096" t="s">
        <v>241</v>
      </c>
      <c r="G7096" t="s">
        <v>1795</v>
      </c>
      <c r="H7096" t="s">
        <v>1796</v>
      </c>
      <c r="I7096" t="s">
        <v>1797</v>
      </c>
      <c r="J7096" t="s">
        <v>1798</v>
      </c>
      <c r="K7096" t="s">
        <v>324</v>
      </c>
      <c r="L7096" t="s">
        <v>1799</v>
      </c>
      <c r="M7096" t="s">
        <v>269</v>
      </c>
      <c r="N7096" t="s">
        <v>1800</v>
      </c>
      <c r="O7096" t="s">
        <v>1801</v>
      </c>
      <c r="P7096" t="s">
        <v>243</v>
      </c>
      <c r="Q7096" t="s">
        <v>1802</v>
      </c>
      <c r="R7096" t="s">
        <v>1803</v>
      </c>
      <c r="S7096" t="s">
        <v>1804</v>
      </c>
      <c r="T7096" t="s">
        <v>1805</v>
      </c>
    </row>
    <row r="7097" spans="1:20">
      <c r="A7097" s="25" t="s">
        <v>190</v>
      </c>
      <c r="B7097">
        <v>2625</v>
      </c>
      <c r="C7097" t="s">
        <v>189</v>
      </c>
      <c r="D7097">
        <v>5485</v>
      </c>
      <c r="E7097" s="1">
        <v>3.4500000000000003E-2</v>
      </c>
      <c r="F7097" s="1">
        <v>0.01</v>
      </c>
      <c r="G7097" s="1">
        <v>1.18E-2</v>
      </c>
      <c r="H7097" s="1">
        <v>0.3387</v>
      </c>
      <c r="I7097" s="1">
        <v>1.43E-2</v>
      </c>
      <c r="J7097" s="1">
        <v>0.34439999999999998</v>
      </c>
      <c r="K7097" s="1">
        <v>1.77E-2</v>
      </c>
      <c r="L7097" s="1">
        <v>3.6200000000000003E-2</v>
      </c>
      <c r="N7097" s="1">
        <v>2.0299999999999999E-2</v>
      </c>
      <c r="O7097" s="1">
        <v>0.36840000000000001</v>
      </c>
      <c r="P7097" s="1">
        <v>1.2999999999999999E-3</v>
      </c>
      <c r="Q7097" s="1">
        <v>3.2500000000000001E-2</v>
      </c>
      <c r="R7097" s="1">
        <v>0.05</v>
      </c>
      <c r="S7097" s="1">
        <v>0.22109999999999999</v>
      </c>
      <c r="T7097" s="1">
        <v>0.17469999999999999</v>
      </c>
    </row>
    <row r="7098" spans="1:20">
      <c r="A7098" s="25" t="s">
        <v>191</v>
      </c>
      <c r="B7098">
        <v>2832</v>
      </c>
      <c r="C7098" t="s">
        <v>189</v>
      </c>
      <c r="D7098">
        <v>5485</v>
      </c>
      <c r="E7098" s="1">
        <v>4.7899999999999998E-2</v>
      </c>
      <c r="F7098" s="1">
        <v>1.11E-2</v>
      </c>
      <c r="G7098" s="1">
        <v>4.0099999999999997E-2</v>
      </c>
      <c r="H7098" s="1">
        <v>0.21959999999999999</v>
      </c>
      <c r="I7098" s="1">
        <v>3.9300000000000002E-2</v>
      </c>
      <c r="J7098" s="1">
        <v>0.43990000000000001</v>
      </c>
      <c r="K7098" s="1">
        <v>2.23E-2</v>
      </c>
      <c r="L7098" s="1">
        <v>7.8700000000000006E-2</v>
      </c>
      <c r="M7098" s="1">
        <v>5.0000000000000001E-4</v>
      </c>
      <c r="N7098" s="1">
        <v>3.8399999999999997E-2</v>
      </c>
      <c r="O7098" s="1">
        <v>0.33850000000000002</v>
      </c>
      <c r="P7098" s="1">
        <v>5.9999999999999995E-4</v>
      </c>
      <c r="Q7098" s="1">
        <v>2.47E-2</v>
      </c>
      <c r="R7098" s="1">
        <v>4.5600000000000002E-2</v>
      </c>
      <c r="S7098" s="1">
        <v>0.32</v>
      </c>
      <c r="T7098" s="1">
        <v>0.15310000000000001</v>
      </c>
    </row>
    <row r="7099" spans="1:20">
      <c r="A7099" s="25" t="s">
        <v>192</v>
      </c>
      <c r="B7099">
        <v>5485</v>
      </c>
      <c r="C7099" t="s">
        <v>192</v>
      </c>
      <c r="D7099">
        <v>5485</v>
      </c>
      <c r="E7099" s="1">
        <v>4.2700000000000002E-2</v>
      </c>
      <c r="F7099" s="1">
        <v>1.0699999999999999E-2</v>
      </c>
      <c r="G7099" s="1">
        <v>2.93E-2</v>
      </c>
      <c r="H7099" s="1">
        <v>0.26540000000000002</v>
      </c>
      <c r="I7099" s="1">
        <v>2.9600000000000001E-2</v>
      </c>
      <c r="J7099" s="1">
        <v>0.4032</v>
      </c>
      <c r="K7099" s="1">
        <v>2.0500000000000001E-2</v>
      </c>
      <c r="L7099" s="1">
        <v>6.2199999999999998E-2</v>
      </c>
      <c r="M7099" s="1">
        <v>2.9999999999999997E-4</v>
      </c>
      <c r="N7099" s="1">
        <v>3.1399999999999997E-2</v>
      </c>
      <c r="O7099" s="1">
        <v>0.35039999999999999</v>
      </c>
      <c r="P7099" s="1">
        <v>8.9999999999999998E-4</v>
      </c>
      <c r="Q7099" s="1">
        <v>2.76E-2</v>
      </c>
      <c r="R7099" s="1">
        <v>4.7199999999999999E-2</v>
      </c>
      <c r="S7099" s="1">
        <v>0.28170000000000001</v>
      </c>
      <c r="T7099" s="1">
        <v>0.1613</v>
      </c>
    </row>
    <row r="7101" spans="1:20" ht="43.5">
      <c r="A7101" s="25" t="s">
        <v>1808</v>
      </c>
    </row>
    <row r="7102" spans="1:20">
      <c r="A7102" s="25" t="s">
        <v>182</v>
      </c>
      <c r="B7102" t="s">
        <v>219</v>
      </c>
      <c r="C7102" t="s">
        <v>181</v>
      </c>
      <c r="D7102" t="s">
        <v>188</v>
      </c>
      <c r="E7102" t="s">
        <v>1794</v>
      </c>
      <c r="F7102" t="s">
        <v>241</v>
      </c>
      <c r="G7102" t="s">
        <v>1795</v>
      </c>
      <c r="H7102" t="s">
        <v>1796</v>
      </c>
      <c r="I7102" t="s">
        <v>1797</v>
      </c>
      <c r="J7102" t="s">
        <v>1798</v>
      </c>
      <c r="K7102" t="s">
        <v>324</v>
      </c>
      <c r="L7102" t="s">
        <v>1799</v>
      </c>
      <c r="M7102" t="s">
        <v>269</v>
      </c>
      <c r="N7102" t="s">
        <v>1800</v>
      </c>
      <c r="O7102" t="s">
        <v>1801</v>
      </c>
      <c r="P7102" t="s">
        <v>243</v>
      </c>
      <c r="Q7102" t="s">
        <v>1802</v>
      </c>
      <c r="R7102" t="s">
        <v>1803</v>
      </c>
      <c r="S7102" t="s">
        <v>1804</v>
      </c>
      <c r="T7102" t="s">
        <v>1805</v>
      </c>
    </row>
    <row r="7103" spans="1:20" ht="29.1">
      <c r="A7103" s="25" t="s">
        <v>194</v>
      </c>
      <c r="B7103">
        <v>2995</v>
      </c>
      <c r="C7103" t="s">
        <v>189</v>
      </c>
      <c r="D7103">
        <v>5485</v>
      </c>
      <c r="E7103" s="1">
        <v>3.6200000000000003E-2</v>
      </c>
      <c r="F7103" s="1">
        <v>1.2999999999999999E-2</v>
      </c>
      <c r="G7103" s="1">
        <v>2.12E-2</v>
      </c>
      <c r="H7103" s="1">
        <v>0.2752</v>
      </c>
      <c r="I7103" s="1">
        <v>3.5499999999999997E-2</v>
      </c>
      <c r="J7103" s="1">
        <v>0.34689999999999999</v>
      </c>
      <c r="K7103" s="1">
        <v>2.4400000000000002E-2</v>
      </c>
      <c r="L7103" s="1">
        <v>6.5299999999999997E-2</v>
      </c>
      <c r="M7103" s="1">
        <v>5.0000000000000001E-4</v>
      </c>
      <c r="N7103" s="1">
        <v>3.0300000000000001E-2</v>
      </c>
      <c r="O7103" s="1">
        <v>0.33489999999999998</v>
      </c>
      <c r="P7103" s="1">
        <v>1.2999999999999999E-3</v>
      </c>
      <c r="Q7103" s="1">
        <v>2.9000000000000001E-2</v>
      </c>
      <c r="R7103" s="1">
        <v>5.3199999999999997E-2</v>
      </c>
      <c r="S7103" s="1">
        <v>0.27010000000000001</v>
      </c>
      <c r="T7103" s="1">
        <v>0.18679999999999999</v>
      </c>
    </row>
    <row r="7104" spans="1:20" ht="29.1">
      <c r="A7104" s="25" t="s">
        <v>195</v>
      </c>
      <c r="B7104">
        <v>1540</v>
      </c>
      <c r="C7104" t="s">
        <v>189</v>
      </c>
      <c r="D7104">
        <v>5485</v>
      </c>
      <c r="E7104" s="1">
        <v>5.0200000000000002E-2</v>
      </c>
      <c r="F7104" s="1">
        <v>8.0000000000000002E-3</v>
      </c>
      <c r="G7104" s="1">
        <v>4.24E-2</v>
      </c>
      <c r="H7104" s="1">
        <v>0.27760000000000001</v>
      </c>
      <c r="I7104" s="1">
        <v>1.55E-2</v>
      </c>
      <c r="J7104" s="1">
        <v>0.4899</v>
      </c>
      <c r="K7104" s="1">
        <v>1.6E-2</v>
      </c>
      <c r="L7104" s="1">
        <v>6.7799999999999999E-2</v>
      </c>
      <c r="N7104" s="1">
        <v>4.1799999999999997E-2</v>
      </c>
      <c r="O7104" s="1">
        <v>0.36470000000000002</v>
      </c>
      <c r="P7104" s="1">
        <v>2.0000000000000001E-4</v>
      </c>
      <c r="Q7104" s="1">
        <v>2.76E-2</v>
      </c>
      <c r="R7104" s="1">
        <v>4.58E-2</v>
      </c>
      <c r="S7104" s="1">
        <v>0.31</v>
      </c>
      <c r="T7104" s="1">
        <v>0.12</v>
      </c>
    </row>
    <row r="7105" spans="1:20" ht="29.1">
      <c r="A7105" s="25" t="s">
        <v>196</v>
      </c>
      <c r="B7105">
        <v>922</v>
      </c>
      <c r="C7105" t="s">
        <v>189</v>
      </c>
      <c r="D7105">
        <v>5485</v>
      </c>
      <c r="E7105" s="1">
        <v>6.6199999999999995E-2</v>
      </c>
      <c r="F7105" s="1">
        <v>2.5000000000000001E-3</v>
      </c>
      <c r="G7105" s="1">
        <v>0.05</v>
      </c>
      <c r="H7105" s="1">
        <v>0.19020000000000001</v>
      </c>
      <c r="I7105" s="1">
        <v>2.23E-2</v>
      </c>
      <c r="J7105" s="1">
        <v>0.56169999999999998</v>
      </c>
      <c r="K7105" s="1">
        <v>6.8999999999999999E-3</v>
      </c>
      <c r="L7105" s="1">
        <v>3.5499999999999997E-2</v>
      </c>
      <c r="N7105" s="1">
        <v>1.8599999999999998E-2</v>
      </c>
      <c r="O7105" s="1">
        <v>0.40820000000000001</v>
      </c>
      <c r="P7105" s="1">
        <v>2.9999999999999997E-4</v>
      </c>
      <c r="Q7105" s="1">
        <v>2.0500000000000001E-2</v>
      </c>
      <c r="R7105" s="1">
        <v>1.6799999999999999E-2</v>
      </c>
      <c r="S7105" s="1">
        <v>0.29659999999999997</v>
      </c>
      <c r="T7105" s="1">
        <v>9.35E-2</v>
      </c>
    </row>
    <row r="7106" spans="1:20">
      <c r="A7106" s="25" t="s">
        <v>192</v>
      </c>
      <c r="B7106">
        <v>5485</v>
      </c>
      <c r="C7106" t="s">
        <v>192</v>
      </c>
      <c r="D7106">
        <v>5485</v>
      </c>
      <c r="E7106" s="1">
        <v>4.2700000000000002E-2</v>
      </c>
      <c r="F7106" s="1">
        <v>1.0699999999999999E-2</v>
      </c>
      <c r="G7106" s="1">
        <v>2.93E-2</v>
      </c>
      <c r="H7106" s="1">
        <v>0.26540000000000002</v>
      </c>
      <c r="I7106" s="1">
        <v>2.9600000000000001E-2</v>
      </c>
      <c r="J7106" s="1">
        <v>0.4032</v>
      </c>
      <c r="K7106" s="1">
        <v>2.0500000000000001E-2</v>
      </c>
      <c r="L7106" s="1">
        <v>6.2199999999999998E-2</v>
      </c>
      <c r="M7106" s="1">
        <v>2.9999999999999997E-4</v>
      </c>
      <c r="N7106" s="1">
        <v>3.1399999999999997E-2</v>
      </c>
      <c r="O7106" s="1">
        <v>0.35039999999999999</v>
      </c>
      <c r="P7106" s="1">
        <v>8.9999999999999998E-4</v>
      </c>
      <c r="Q7106" s="1">
        <v>2.76E-2</v>
      </c>
      <c r="R7106" s="1">
        <v>4.7199999999999999E-2</v>
      </c>
      <c r="S7106" s="1">
        <v>0.28170000000000001</v>
      </c>
      <c r="T7106" s="1">
        <v>0.1613</v>
      </c>
    </row>
    <row r="7108" spans="1:20" ht="43.5">
      <c r="A7108" s="25" t="s">
        <v>1809</v>
      </c>
    </row>
    <row r="7109" spans="1:20">
      <c r="A7109" s="25" t="s">
        <v>182</v>
      </c>
      <c r="B7109" t="s">
        <v>219</v>
      </c>
      <c r="C7109" t="s">
        <v>181</v>
      </c>
      <c r="D7109" t="s">
        <v>188</v>
      </c>
      <c r="E7109" t="s">
        <v>1794</v>
      </c>
      <c r="F7109" t="s">
        <v>241</v>
      </c>
      <c r="G7109" t="s">
        <v>1795</v>
      </c>
      <c r="H7109" t="s">
        <v>1796</v>
      </c>
      <c r="I7109" t="s">
        <v>1797</v>
      </c>
      <c r="J7109" t="s">
        <v>1798</v>
      </c>
      <c r="K7109" t="s">
        <v>324</v>
      </c>
      <c r="L7109" t="s">
        <v>1799</v>
      </c>
      <c r="M7109" t="s">
        <v>269</v>
      </c>
      <c r="N7109" t="s">
        <v>1800</v>
      </c>
      <c r="O7109" t="s">
        <v>1801</v>
      </c>
      <c r="P7109" t="s">
        <v>243</v>
      </c>
      <c r="Q7109" t="s">
        <v>1802</v>
      </c>
      <c r="R7109" t="s">
        <v>1803</v>
      </c>
      <c r="S7109" t="s">
        <v>1804</v>
      </c>
      <c r="T7109" t="s">
        <v>1805</v>
      </c>
    </row>
    <row r="7110" spans="1:20">
      <c r="A7110" s="25" t="s">
        <v>198</v>
      </c>
      <c r="B7110">
        <v>1438</v>
      </c>
      <c r="C7110" t="s">
        <v>189</v>
      </c>
      <c r="D7110">
        <v>5485</v>
      </c>
      <c r="E7110" s="1">
        <v>5.6099999999999997E-2</v>
      </c>
      <c r="F7110" s="1">
        <v>1.26E-2</v>
      </c>
      <c r="G7110" s="1">
        <v>1.9800000000000002E-2</v>
      </c>
      <c r="H7110" s="1">
        <v>0.31159999999999999</v>
      </c>
      <c r="I7110" s="1">
        <v>1.0699999999999999E-2</v>
      </c>
      <c r="J7110" s="1">
        <v>0.33439999999999998</v>
      </c>
      <c r="K7110" s="1">
        <v>1.9900000000000001E-2</v>
      </c>
      <c r="L7110" s="1">
        <v>2.6200000000000001E-2</v>
      </c>
      <c r="M7110" s="1">
        <v>1.2999999999999999E-3</v>
      </c>
      <c r="N7110" s="1">
        <v>2.12E-2</v>
      </c>
      <c r="O7110" s="1">
        <v>0.41499999999999998</v>
      </c>
      <c r="P7110" s="1">
        <v>1.6000000000000001E-3</v>
      </c>
      <c r="Q7110" s="1">
        <v>4.2999999999999997E-2</v>
      </c>
      <c r="R7110" s="1">
        <v>6.5299999999999997E-2</v>
      </c>
      <c r="S7110" s="1">
        <v>0.17299999999999999</v>
      </c>
      <c r="T7110" s="1">
        <v>0.22109999999999999</v>
      </c>
    </row>
    <row r="7111" spans="1:20">
      <c r="A7111" s="25" t="s">
        <v>199</v>
      </c>
      <c r="B7111">
        <v>4047</v>
      </c>
      <c r="C7111" t="s">
        <v>189</v>
      </c>
      <c r="D7111">
        <v>5485</v>
      </c>
      <c r="E7111" s="1">
        <v>3.8399999999999997E-2</v>
      </c>
      <c r="F7111" s="1">
        <v>1.01E-2</v>
      </c>
      <c r="G7111" s="1">
        <v>3.2399999999999998E-2</v>
      </c>
      <c r="H7111" s="1">
        <v>0.25030000000000002</v>
      </c>
      <c r="I7111" s="1">
        <v>3.5799999999999998E-2</v>
      </c>
      <c r="J7111" s="1">
        <v>0.42559999999999998</v>
      </c>
      <c r="K7111" s="1">
        <v>2.07E-2</v>
      </c>
      <c r="L7111" s="1">
        <v>7.3899999999999993E-2</v>
      </c>
      <c r="N7111" s="1">
        <v>3.4700000000000002E-2</v>
      </c>
      <c r="O7111" s="1">
        <v>0.32940000000000003</v>
      </c>
      <c r="P7111" s="1">
        <v>6.9999999999999999E-4</v>
      </c>
      <c r="Q7111" s="1">
        <v>2.2700000000000001E-2</v>
      </c>
      <c r="R7111" s="1">
        <v>4.1399999999999999E-2</v>
      </c>
      <c r="S7111" s="1">
        <v>0.31709999999999999</v>
      </c>
      <c r="T7111" s="1">
        <v>0.14180000000000001</v>
      </c>
    </row>
    <row r="7112" spans="1:20">
      <c r="A7112" s="25" t="s">
        <v>192</v>
      </c>
      <c r="B7112">
        <v>5485</v>
      </c>
      <c r="C7112" t="s">
        <v>192</v>
      </c>
      <c r="D7112">
        <v>5485</v>
      </c>
      <c r="E7112" s="1">
        <v>4.2700000000000002E-2</v>
      </c>
      <c r="F7112" s="1">
        <v>1.0699999999999999E-2</v>
      </c>
      <c r="G7112" s="1">
        <v>2.93E-2</v>
      </c>
      <c r="H7112" s="1">
        <v>0.26540000000000002</v>
      </c>
      <c r="I7112" s="1">
        <v>2.9600000000000001E-2</v>
      </c>
      <c r="J7112" s="1">
        <v>0.4032</v>
      </c>
      <c r="K7112" s="1">
        <v>2.0500000000000001E-2</v>
      </c>
      <c r="L7112" s="1">
        <v>6.2199999999999998E-2</v>
      </c>
      <c r="M7112" s="1">
        <v>2.9999999999999997E-4</v>
      </c>
      <c r="N7112" s="1">
        <v>3.1399999999999997E-2</v>
      </c>
      <c r="O7112" s="1">
        <v>0.35039999999999999</v>
      </c>
      <c r="P7112" s="1">
        <v>8.9999999999999998E-4</v>
      </c>
      <c r="Q7112" s="1">
        <v>2.76E-2</v>
      </c>
      <c r="R7112" s="1">
        <v>4.7199999999999999E-2</v>
      </c>
      <c r="S7112" s="1">
        <v>0.28170000000000001</v>
      </c>
      <c r="T7112" s="1">
        <v>0.1613</v>
      </c>
    </row>
    <row r="7114" spans="1:20" ht="43.5">
      <c r="A7114" s="25" t="s">
        <v>1810</v>
      </c>
    </row>
    <row r="7115" spans="1:20">
      <c r="A7115" s="25" t="s">
        <v>182</v>
      </c>
      <c r="B7115" t="s">
        <v>219</v>
      </c>
      <c r="C7115" t="s">
        <v>181</v>
      </c>
      <c r="D7115" t="s">
        <v>188</v>
      </c>
      <c r="E7115" t="s">
        <v>1794</v>
      </c>
      <c r="F7115" t="s">
        <v>241</v>
      </c>
      <c r="G7115" t="s">
        <v>1795</v>
      </c>
      <c r="H7115" t="s">
        <v>1796</v>
      </c>
      <c r="I7115" t="s">
        <v>1797</v>
      </c>
      <c r="J7115" t="s">
        <v>1798</v>
      </c>
      <c r="K7115" t="s">
        <v>324</v>
      </c>
      <c r="L7115" t="s">
        <v>1799</v>
      </c>
      <c r="M7115" t="s">
        <v>269</v>
      </c>
      <c r="N7115" t="s">
        <v>1800</v>
      </c>
      <c r="O7115" t="s">
        <v>1801</v>
      </c>
      <c r="P7115" t="s">
        <v>243</v>
      </c>
      <c r="Q7115" t="s">
        <v>1802</v>
      </c>
      <c r="R7115" t="s">
        <v>1803</v>
      </c>
      <c r="S7115" t="s">
        <v>1804</v>
      </c>
      <c r="T7115" t="s">
        <v>1805</v>
      </c>
    </row>
    <row r="7116" spans="1:20">
      <c r="A7116" s="25" t="s">
        <v>201</v>
      </c>
      <c r="B7116">
        <v>526</v>
      </c>
      <c r="C7116" t="s">
        <v>189</v>
      </c>
      <c r="D7116">
        <v>5485</v>
      </c>
      <c r="E7116" s="1">
        <v>3.7199999999999997E-2</v>
      </c>
      <c r="F7116" s="1">
        <v>8.8999999999999999E-3</v>
      </c>
      <c r="G7116" s="1">
        <v>5.6300000000000003E-2</v>
      </c>
      <c r="H7116" s="1">
        <v>0.1331</v>
      </c>
      <c r="I7116" s="1">
        <v>2.76E-2</v>
      </c>
      <c r="J7116" s="1">
        <v>0.61170000000000002</v>
      </c>
      <c r="K7116" s="1">
        <v>1.6500000000000001E-2</v>
      </c>
      <c r="L7116" s="1">
        <v>6.7000000000000004E-2</v>
      </c>
      <c r="N7116" s="1">
        <v>2.8000000000000001E-2</v>
      </c>
      <c r="O7116" s="1">
        <v>0.37140000000000001</v>
      </c>
      <c r="Q7116" s="1">
        <v>1.15E-2</v>
      </c>
      <c r="R7116" s="1">
        <v>1.7899999999999999E-2</v>
      </c>
      <c r="S7116" s="1">
        <v>0.34899999999999998</v>
      </c>
      <c r="T7116" s="1">
        <v>7.4800000000000005E-2</v>
      </c>
    </row>
    <row r="7117" spans="1:20">
      <c r="A7117" s="25" t="s">
        <v>202</v>
      </c>
      <c r="B7117">
        <v>64</v>
      </c>
      <c r="C7117" t="s">
        <v>189</v>
      </c>
      <c r="D7117">
        <v>5485</v>
      </c>
      <c r="E7117" s="1">
        <v>8.9099999999999999E-2</v>
      </c>
      <c r="G7117" s="1">
        <v>7.9399999999999998E-2</v>
      </c>
      <c r="H7117" s="1">
        <v>0.32340000000000002</v>
      </c>
      <c r="J7117" s="1">
        <v>0.56720000000000004</v>
      </c>
      <c r="K7117" s="1">
        <v>1.14E-2</v>
      </c>
      <c r="N7117" s="1">
        <v>4.02E-2</v>
      </c>
      <c r="O7117" s="1">
        <v>0.41909999999999997</v>
      </c>
      <c r="Q7117" s="1">
        <v>4.3E-3</v>
      </c>
      <c r="S7117" s="1">
        <v>0.37430000000000002</v>
      </c>
      <c r="T7117" s="1">
        <v>3.3099999999999997E-2</v>
      </c>
    </row>
    <row r="7118" spans="1:20">
      <c r="A7118" s="25" t="s">
        <v>203</v>
      </c>
      <c r="B7118">
        <v>4160</v>
      </c>
      <c r="C7118" t="s">
        <v>189</v>
      </c>
      <c r="D7118">
        <v>5485</v>
      </c>
      <c r="E7118" s="1">
        <v>4.65E-2</v>
      </c>
      <c r="F7118" s="1">
        <v>1.0800000000000001E-2</v>
      </c>
      <c r="G7118" s="1">
        <v>1.7500000000000002E-2</v>
      </c>
      <c r="H7118" s="1">
        <v>0.30399999999999999</v>
      </c>
      <c r="I7118" s="1">
        <v>3.04E-2</v>
      </c>
      <c r="J7118" s="1">
        <v>0.35189999999999999</v>
      </c>
      <c r="K7118" s="1">
        <v>2.0500000000000001E-2</v>
      </c>
      <c r="L7118" s="1">
        <v>5.4699999999999999E-2</v>
      </c>
      <c r="M7118" s="1">
        <v>2.9999999999999997E-4</v>
      </c>
      <c r="N7118" s="1">
        <v>2.7699999999999999E-2</v>
      </c>
      <c r="O7118" s="1">
        <v>0.35449999999999998</v>
      </c>
      <c r="P7118" s="1">
        <v>8.0000000000000004E-4</v>
      </c>
      <c r="Q7118" s="1">
        <v>3.1699999999999999E-2</v>
      </c>
      <c r="R7118" s="1">
        <v>5.79E-2</v>
      </c>
      <c r="S7118" s="1">
        <v>0.25609999999999999</v>
      </c>
      <c r="T7118" s="1">
        <v>0.18720000000000001</v>
      </c>
    </row>
    <row r="7119" spans="1:20">
      <c r="A7119" s="25" t="s">
        <v>204</v>
      </c>
      <c r="B7119">
        <v>14</v>
      </c>
      <c r="C7119" t="s">
        <v>189</v>
      </c>
      <c r="D7119">
        <v>5485</v>
      </c>
      <c r="E7119" s="1">
        <v>0.14910000000000001</v>
      </c>
      <c r="H7119" s="1">
        <v>0.30370000000000003</v>
      </c>
      <c r="I7119" s="1">
        <v>3.5099999999999999E-2</v>
      </c>
      <c r="J7119" s="1">
        <v>0.184</v>
      </c>
      <c r="L7119" s="1">
        <v>0.36959999999999998</v>
      </c>
      <c r="N7119" s="1">
        <v>6.13E-2</v>
      </c>
      <c r="O7119" s="1">
        <v>0.15190000000000001</v>
      </c>
      <c r="S7119" s="1">
        <v>0.56789999999999996</v>
      </c>
      <c r="T7119" s="1">
        <v>0.29199999999999998</v>
      </c>
    </row>
    <row r="7120" spans="1:20">
      <c r="A7120" s="25" t="s">
        <v>205</v>
      </c>
      <c r="B7120">
        <v>721</v>
      </c>
      <c r="C7120" t="s">
        <v>189</v>
      </c>
      <c r="D7120">
        <v>5485</v>
      </c>
      <c r="E7120" s="1">
        <v>1.8499999999999999E-2</v>
      </c>
      <c r="F7120" s="1">
        <v>1.21E-2</v>
      </c>
      <c r="G7120" s="1">
        <v>7.8899999999999998E-2</v>
      </c>
      <c r="H7120" s="1">
        <v>0.128</v>
      </c>
      <c r="I7120" s="1">
        <v>2.7799999999999998E-2</v>
      </c>
      <c r="J7120" s="1">
        <v>0.54500000000000004</v>
      </c>
      <c r="K7120" s="1">
        <v>2.52E-2</v>
      </c>
      <c r="L7120" s="1">
        <v>0.10539999999999999</v>
      </c>
      <c r="M7120" s="1">
        <v>6.9999999999999999E-4</v>
      </c>
      <c r="N7120" s="1">
        <v>5.7200000000000001E-2</v>
      </c>
      <c r="O7120" s="1">
        <v>0.3049</v>
      </c>
      <c r="P7120" s="1">
        <v>2.3E-3</v>
      </c>
      <c r="Q7120" s="1">
        <v>1.7600000000000001E-2</v>
      </c>
      <c r="R7120" s="1">
        <v>7.4999999999999997E-3</v>
      </c>
      <c r="S7120" s="1">
        <v>0.37780000000000002</v>
      </c>
      <c r="T7120" s="1">
        <v>7.5899999999999995E-2</v>
      </c>
    </row>
    <row r="7121" spans="1:20">
      <c r="A7121" s="25" t="s">
        <v>192</v>
      </c>
      <c r="B7121">
        <v>5485</v>
      </c>
      <c r="C7121" t="s">
        <v>192</v>
      </c>
      <c r="D7121">
        <v>5485</v>
      </c>
      <c r="E7121" s="1">
        <v>4.2700000000000002E-2</v>
      </c>
      <c r="F7121" s="1">
        <v>1.0699999999999999E-2</v>
      </c>
      <c r="G7121" s="1">
        <v>2.93E-2</v>
      </c>
      <c r="H7121" s="1">
        <v>0.26540000000000002</v>
      </c>
      <c r="I7121" s="1">
        <v>2.9600000000000001E-2</v>
      </c>
      <c r="J7121" s="1">
        <v>0.4032</v>
      </c>
      <c r="K7121" s="1">
        <v>2.0500000000000001E-2</v>
      </c>
      <c r="L7121" s="1">
        <v>6.2199999999999998E-2</v>
      </c>
      <c r="M7121" s="1">
        <v>2.9999999999999997E-4</v>
      </c>
      <c r="N7121" s="1">
        <v>3.1399999999999997E-2</v>
      </c>
      <c r="O7121" s="1">
        <v>0.35039999999999999</v>
      </c>
      <c r="P7121" s="1">
        <v>8.9999999999999998E-4</v>
      </c>
      <c r="Q7121" s="1">
        <v>2.76E-2</v>
      </c>
      <c r="R7121" s="1">
        <v>4.7199999999999999E-2</v>
      </c>
      <c r="S7121" s="1">
        <v>0.28170000000000001</v>
      </c>
      <c r="T7121" s="1">
        <v>0.1613</v>
      </c>
    </row>
    <row r="7123" spans="1:20" ht="43.5">
      <c r="A7123" s="25" t="s">
        <v>1811</v>
      </c>
    </row>
    <row r="7124" spans="1:20">
      <c r="A7124" s="25" t="s">
        <v>182</v>
      </c>
      <c r="B7124" t="s">
        <v>219</v>
      </c>
      <c r="C7124" t="s">
        <v>181</v>
      </c>
      <c r="D7124" t="s">
        <v>188</v>
      </c>
      <c r="E7124" t="s">
        <v>1794</v>
      </c>
      <c r="F7124" t="s">
        <v>241</v>
      </c>
      <c r="G7124" t="s">
        <v>1795</v>
      </c>
      <c r="H7124" t="s">
        <v>1796</v>
      </c>
      <c r="I7124" t="s">
        <v>1797</v>
      </c>
      <c r="J7124" t="s">
        <v>1798</v>
      </c>
      <c r="K7124" t="s">
        <v>324</v>
      </c>
      <c r="L7124" t="s">
        <v>1799</v>
      </c>
      <c r="M7124" t="s">
        <v>269</v>
      </c>
      <c r="N7124" t="s">
        <v>1800</v>
      </c>
      <c r="O7124" t="s">
        <v>1801</v>
      </c>
      <c r="P7124" t="s">
        <v>243</v>
      </c>
      <c r="Q7124" t="s">
        <v>1802</v>
      </c>
      <c r="R7124" t="s">
        <v>1803</v>
      </c>
      <c r="S7124" t="s">
        <v>1804</v>
      </c>
      <c r="T7124" t="s">
        <v>1805</v>
      </c>
    </row>
    <row r="7125" spans="1:20">
      <c r="A7125" s="25" t="s">
        <v>207</v>
      </c>
      <c r="B7125">
        <v>3718</v>
      </c>
      <c r="C7125" t="s">
        <v>189</v>
      </c>
      <c r="D7125">
        <v>5485</v>
      </c>
      <c r="E7125" s="1">
        <v>4.1200000000000001E-2</v>
      </c>
      <c r="F7125" s="1">
        <v>9.2999999999999992E-3</v>
      </c>
      <c r="G7125" s="1">
        <v>2.93E-2</v>
      </c>
      <c r="H7125" s="1">
        <v>0.24079999999999999</v>
      </c>
      <c r="I7125" s="1">
        <v>3.9199999999999999E-2</v>
      </c>
      <c r="J7125" s="1">
        <v>0.44009999999999999</v>
      </c>
      <c r="K7125" s="1">
        <v>1.89E-2</v>
      </c>
      <c r="L7125" s="1">
        <v>6.9599999999999995E-2</v>
      </c>
      <c r="M7125" s="1">
        <v>1E-4</v>
      </c>
      <c r="N7125" s="1">
        <v>3.44E-2</v>
      </c>
      <c r="O7125" s="1">
        <v>0.33460000000000001</v>
      </c>
      <c r="P7125" s="1">
        <v>8.9999999999999998E-4</v>
      </c>
      <c r="Q7125" s="1">
        <v>2.5100000000000001E-2</v>
      </c>
      <c r="R7125" s="1">
        <v>4.3200000000000002E-2</v>
      </c>
      <c r="S7125" s="1">
        <v>0.31319999999999998</v>
      </c>
      <c r="T7125" s="1">
        <v>0.15</v>
      </c>
    </row>
    <row r="7126" spans="1:20">
      <c r="A7126" s="25" t="s">
        <v>208</v>
      </c>
      <c r="B7126">
        <v>1261</v>
      </c>
      <c r="C7126" t="s">
        <v>189</v>
      </c>
      <c r="D7126">
        <v>5485</v>
      </c>
      <c r="E7126" s="1">
        <v>5.5100000000000003E-2</v>
      </c>
      <c r="F7126" s="1">
        <v>1.6799999999999999E-2</v>
      </c>
      <c r="G7126" s="1">
        <v>3.3799999999999997E-2</v>
      </c>
      <c r="H7126" s="1">
        <v>0.35210000000000002</v>
      </c>
      <c r="I7126" s="1">
        <v>5.1999999999999998E-3</v>
      </c>
      <c r="J7126" s="1">
        <v>0.23980000000000001</v>
      </c>
      <c r="K7126" s="1">
        <v>3.1E-2</v>
      </c>
      <c r="L7126" s="1">
        <v>4.4400000000000002E-2</v>
      </c>
      <c r="M7126" s="1">
        <v>1E-3</v>
      </c>
      <c r="N7126" s="1">
        <v>2.4500000000000001E-2</v>
      </c>
      <c r="O7126" s="1">
        <v>0.3775</v>
      </c>
      <c r="P7126" s="1">
        <v>1.2999999999999999E-3</v>
      </c>
      <c r="Q7126" s="1">
        <v>3.8899999999999997E-2</v>
      </c>
      <c r="R7126" s="1">
        <v>6.83E-2</v>
      </c>
      <c r="S7126" s="1">
        <v>0.18060000000000001</v>
      </c>
      <c r="T7126" s="1">
        <v>0.21149999999999999</v>
      </c>
    </row>
    <row r="7127" spans="1:20">
      <c r="A7127" s="25" t="s">
        <v>209</v>
      </c>
      <c r="B7127">
        <v>506</v>
      </c>
      <c r="C7127" t="s">
        <v>189</v>
      </c>
      <c r="D7127">
        <v>5485</v>
      </c>
      <c r="E7127" s="1">
        <v>1.89E-2</v>
      </c>
      <c r="F7127" s="1">
        <v>4.1999999999999997E-3</v>
      </c>
      <c r="G7127" s="1">
        <v>1.5599999999999999E-2</v>
      </c>
      <c r="H7127" s="1">
        <v>0.2152</v>
      </c>
      <c r="I7127" s="1">
        <v>2.1299999999999999E-2</v>
      </c>
      <c r="J7127" s="1">
        <v>0.57699999999999996</v>
      </c>
      <c r="K7127" s="1">
        <v>3.0999999999999999E-3</v>
      </c>
      <c r="L7127" s="1">
        <v>5.2400000000000002E-2</v>
      </c>
      <c r="N7127" s="1">
        <v>2.6700000000000002E-2</v>
      </c>
      <c r="O7127" s="1">
        <v>0.40460000000000002</v>
      </c>
      <c r="Q7127" s="1">
        <v>1.5800000000000002E-2</v>
      </c>
      <c r="R7127" s="1">
        <v>1.8599999999999998E-2</v>
      </c>
      <c r="S7127" s="1">
        <v>0.31580000000000003</v>
      </c>
      <c r="T7127" s="1">
        <v>0.1077</v>
      </c>
    </row>
    <row r="7128" spans="1:20">
      <c r="A7128" s="25" t="s">
        <v>192</v>
      </c>
      <c r="B7128">
        <v>5485</v>
      </c>
      <c r="C7128" t="s">
        <v>192</v>
      </c>
      <c r="D7128">
        <v>5485</v>
      </c>
      <c r="E7128" s="1">
        <v>4.2700000000000002E-2</v>
      </c>
      <c r="F7128" s="1">
        <v>1.0699999999999999E-2</v>
      </c>
      <c r="G7128" s="1">
        <v>2.93E-2</v>
      </c>
      <c r="H7128" s="1">
        <v>0.26540000000000002</v>
      </c>
      <c r="I7128" s="1">
        <v>2.9600000000000001E-2</v>
      </c>
      <c r="J7128" s="1">
        <v>0.4032</v>
      </c>
      <c r="K7128" s="1">
        <v>2.0500000000000001E-2</v>
      </c>
      <c r="L7128" s="1">
        <v>6.2199999999999998E-2</v>
      </c>
      <c r="M7128" s="1">
        <v>2.9999999999999997E-4</v>
      </c>
      <c r="N7128" s="1">
        <v>3.1399999999999997E-2</v>
      </c>
      <c r="O7128" s="1">
        <v>0.35039999999999999</v>
      </c>
      <c r="P7128" s="1">
        <v>8.9999999999999998E-4</v>
      </c>
      <c r="Q7128" s="1">
        <v>2.76E-2</v>
      </c>
      <c r="R7128" s="1">
        <v>4.7199999999999999E-2</v>
      </c>
      <c r="S7128" s="1">
        <v>0.28170000000000001</v>
      </c>
      <c r="T7128" s="1">
        <v>0.1613</v>
      </c>
    </row>
    <row r="7130" spans="1:20" ht="43.5">
      <c r="A7130" s="25" t="s">
        <v>1812</v>
      </c>
    </row>
    <row r="7131" spans="1:20">
      <c r="A7131" s="25" t="s">
        <v>182</v>
      </c>
      <c r="B7131" t="s">
        <v>219</v>
      </c>
      <c r="C7131" t="s">
        <v>181</v>
      </c>
      <c r="D7131" t="s">
        <v>188</v>
      </c>
      <c r="E7131" t="s">
        <v>1794</v>
      </c>
      <c r="F7131" t="s">
        <v>241</v>
      </c>
      <c r="G7131" t="s">
        <v>1795</v>
      </c>
      <c r="H7131" t="s">
        <v>1796</v>
      </c>
      <c r="I7131" t="s">
        <v>1797</v>
      </c>
      <c r="J7131" t="s">
        <v>1798</v>
      </c>
      <c r="K7131" t="s">
        <v>324</v>
      </c>
      <c r="L7131" t="s">
        <v>1799</v>
      </c>
      <c r="M7131" t="s">
        <v>269</v>
      </c>
      <c r="N7131" t="s">
        <v>1800</v>
      </c>
      <c r="O7131" t="s">
        <v>1801</v>
      </c>
      <c r="P7131" t="s">
        <v>243</v>
      </c>
      <c r="Q7131" t="s">
        <v>1802</v>
      </c>
      <c r="R7131" t="s">
        <v>1803</v>
      </c>
      <c r="S7131" t="s">
        <v>1804</v>
      </c>
      <c r="T7131" t="s">
        <v>1805</v>
      </c>
    </row>
    <row r="7132" spans="1:20">
      <c r="A7132" s="25" t="s">
        <v>211</v>
      </c>
      <c r="B7132">
        <v>2484</v>
      </c>
      <c r="C7132" t="s">
        <v>189</v>
      </c>
      <c r="D7132">
        <v>5485</v>
      </c>
      <c r="E7132" s="1">
        <v>4.2999999999999997E-2</v>
      </c>
      <c r="F7132" s="1">
        <v>9.2999999999999992E-3</v>
      </c>
      <c r="G7132" s="1">
        <v>2.1000000000000001E-2</v>
      </c>
      <c r="H7132" s="1">
        <v>0.23880000000000001</v>
      </c>
      <c r="I7132" s="1">
        <v>3.5400000000000001E-2</v>
      </c>
      <c r="J7132" s="1">
        <v>0.45710000000000001</v>
      </c>
      <c r="K7132" s="1">
        <v>1.83E-2</v>
      </c>
      <c r="L7132" s="1">
        <v>7.0400000000000004E-2</v>
      </c>
      <c r="N7132" s="1">
        <v>3.5099999999999999E-2</v>
      </c>
      <c r="O7132" s="1">
        <v>0.33439999999999998</v>
      </c>
      <c r="P7132" s="1">
        <v>1.2999999999999999E-3</v>
      </c>
      <c r="Q7132" s="1">
        <v>2.6100000000000002E-2</v>
      </c>
      <c r="R7132" s="1">
        <v>4.82E-2</v>
      </c>
      <c r="S7132" s="1">
        <v>0.31430000000000002</v>
      </c>
      <c r="T7132" s="1">
        <v>0.16020000000000001</v>
      </c>
    </row>
    <row r="7133" spans="1:20">
      <c r="A7133" s="25" t="s">
        <v>212</v>
      </c>
      <c r="B7133">
        <v>2005</v>
      </c>
      <c r="C7133" t="s">
        <v>189</v>
      </c>
      <c r="D7133">
        <v>5485</v>
      </c>
      <c r="E7133" s="1">
        <v>3.8699999999999998E-2</v>
      </c>
      <c r="F7133" s="1">
        <v>1.15E-2</v>
      </c>
      <c r="G7133" s="1">
        <v>3.6299999999999999E-2</v>
      </c>
      <c r="H7133" s="1">
        <v>0.29459999999999997</v>
      </c>
      <c r="I7133" s="1">
        <v>2.01E-2</v>
      </c>
      <c r="J7133" s="1">
        <v>0.38069999999999998</v>
      </c>
      <c r="K7133" s="1">
        <v>2.1399999999999999E-2</v>
      </c>
      <c r="L7133" s="1">
        <v>5.16E-2</v>
      </c>
      <c r="M7133" s="1">
        <v>6.9999999999999999E-4</v>
      </c>
      <c r="N7133" s="1">
        <v>3.0800000000000001E-2</v>
      </c>
      <c r="O7133" s="1">
        <v>0.39779999999999999</v>
      </c>
      <c r="P7133" s="1">
        <v>2.0000000000000001E-4</v>
      </c>
      <c r="Q7133" s="1">
        <v>2.7300000000000001E-2</v>
      </c>
      <c r="R7133" s="1">
        <v>5.2200000000000003E-2</v>
      </c>
      <c r="S7133" s="1">
        <v>0.23880000000000001</v>
      </c>
      <c r="T7133" s="1">
        <v>0.154</v>
      </c>
    </row>
    <row r="7134" spans="1:20">
      <c r="A7134" s="25" t="s">
        <v>213</v>
      </c>
      <c r="B7134">
        <v>996</v>
      </c>
      <c r="C7134" t="s">
        <v>189</v>
      </c>
      <c r="D7134">
        <v>5485</v>
      </c>
      <c r="E7134" s="1">
        <v>4.9299999999999997E-2</v>
      </c>
      <c r="F7134" s="1">
        <v>1.2500000000000001E-2</v>
      </c>
      <c r="G7134" s="1">
        <v>3.56E-2</v>
      </c>
      <c r="H7134" s="1">
        <v>0.27350000000000002</v>
      </c>
      <c r="I7134" s="1">
        <v>3.3399999999999999E-2</v>
      </c>
      <c r="J7134" s="1">
        <v>0.32150000000000001</v>
      </c>
      <c r="K7134" s="1">
        <v>2.41E-2</v>
      </c>
      <c r="L7134" s="1">
        <v>6.2600000000000003E-2</v>
      </c>
      <c r="M7134" s="1">
        <v>4.0000000000000002E-4</v>
      </c>
      <c r="N7134" s="1">
        <v>2.4E-2</v>
      </c>
      <c r="O7134" s="1">
        <v>0.30270000000000002</v>
      </c>
      <c r="P7134" s="1">
        <v>1.1999999999999999E-3</v>
      </c>
      <c r="Q7134" s="1">
        <v>3.1800000000000002E-2</v>
      </c>
      <c r="R7134" s="1">
        <v>3.6200000000000003E-2</v>
      </c>
      <c r="S7134" s="1">
        <v>0.2843</v>
      </c>
      <c r="T7134" s="1">
        <v>0.17660000000000001</v>
      </c>
    </row>
    <row r="7135" spans="1:20">
      <c r="A7135" s="25" t="s">
        <v>192</v>
      </c>
      <c r="B7135">
        <v>5485</v>
      </c>
      <c r="C7135" t="s">
        <v>192</v>
      </c>
      <c r="D7135">
        <v>5485</v>
      </c>
      <c r="E7135" s="1">
        <v>4.2700000000000002E-2</v>
      </c>
      <c r="F7135" s="1">
        <v>1.0699999999999999E-2</v>
      </c>
      <c r="G7135" s="1">
        <v>2.93E-2</v>
      </c>
      <c r="H7135" s="1">
        <v>0.26540000000000002</v>
      </c>
      <c r="I7135" s="1">
        <v>2.9600000000000001E-2</v>
      </c>
      <c r="J7135" s="1">
        <v>0.4032</v>
      </c>
      <c r="K7135" s="1">
        <v>2.0500000000000001E-2</v>
      </c>
      <c r="L7135" s="1">
        <v>6.2199999999999998E-2</v>
      </c>
      <c r="M7135" s="1">
        <v>2.9999999999999997E-4</v>
      </c>
      <c r="N7135" s="1">
        <v>3.1399999999999997E-2</v>
      </c>
      <c r="O7135" s="1">
        <v>0.35039999999999999</v>
      </c>
      <c r="P7135" s="1">
        <v>8.9999999999999998E-4</v>
      </c>
      <c r="Q7135" s="1">
        <v>2.76E-2</v>
      </c>
      <c r="R7135" s="1">
        <v>4.7199999999999999E-2</v>
      </c>
      <c r="S7135" s="1">
        <v>0.28170000000000001</v>
      </c>
      <c r="T7135" s="1">
        <v>0.1613</v>
      </c>
    </row>
    <row r="7137" spans="1:8" ht="43.5">
      <c r="A7137" s="25" t="s">
        <v>1813</v>
      </c>
    </row>
    <row r="7138" spans="1:8">
      <c r="A7138" s="25" t="s">
        <v>182</v>
      </c>
      <c r="B7138" t="s">
        <v>219</v>
      </c>
      <c r="C7138" t="s">
        <v>181</v>
      </c>
      <c r="D7138" t="s">
        <v>188</v>
      </c>
      <c r="E7138" t="s">
        <v>241</v>
      </c>
      <c r="F7138" t="s">
        <v>220</v>
      </c>
      <c r="G7138" t="s">
        <v>243</v>
      </c>
      <c r="H7138" t="s">
        <v>221</v>
      </c>
    </row>
    <row r="7139" spans="1:8">
      <c r="A7139" s="25" t="s">
        <v>215</v>
      </c>
      <c r="B7139">
        <v>799</v>
      </c>
      <c r="C7139" t="s">
        <v>189</v>
      </c>
      <c r="D7139">
        <v>3196</v>
      </c>
      <c r="E7139" s="1">
        <v>0.1542</v>
      </c>
      <c r="F7139" s="1">
        <v>0.67030000000000001</v>
      </c>
      <c r="G7139" s="1">
        <v>9.7999999999999997E-3</v>
      </c>
      <c r="H7139" s="1">
        <v>0.16569999999999999</v>
      </c>
    </row>
    <row r="7140" spans="1:8">
      <c r="A7140" s="25" t="s">
        <v>216</v>
      </c>
      <c r="B7140">
        <v>1</v>
      </c>
      <c r="C7140" t="s">
        <v>189</v>
      </c>
      <c r="D7140">
        <v>3196</v>
      </c>
      <c r="E7140" s="1">
        <v>1</v>
      </c>
    </row>
    <row r="7141" spans="1:8">
      <c r="A7141" s="25" t="s">
        <v>217</v>
      </c>
      <c r="B7141">
        <v>2396</v>
      </c>
      <c r="C7141" t="s">
        <v>189</v>
      </c>
      <c r="D7141">
        <v>3196</v>
      </c>
      <c r="E7141" s="1">
        <v>0.1086</v>
      </c>
      <c r="F7141" s="1">
        <v>0.68869999999999998</v>
      </c>
      <c r="G7141" s="1">
        <v>2.5999999999999999E-3</v>
      </c>
      <c r="H7141" s="1">
        <v>0.2001</v>
      </c>
    </row>
    <row r="7142" spans="1:8">
      <c r="A7142" s="25" t="s">
        <v>192</v>
      </c>
      <c r="B7142">
        <v>3196</v>
      </c>
      <c r="C7142" t="s">
        <v>192</v>
      </c>
      <c r="D7142">
        <v>3196</v>
      </c>
      <c r="E7142" s="1">
        <v>0.1208</v>
      </c>
      <c r="F7142" s="1">
        <v>0.68369999999999997</v>
      </c>
      <c r="G7142" s="1">
        <v>4.4999999999999997E-3</v>
      </c>
      <c r="H7142" s="1">
        <v>0.191</v>
      </c>
    </row>
    <row r="7144" spans="1:8" ht="43.5">
      <c r="A7144" s="25" t="s">
        <v>1814</v>
      </c>
    </row>
    <row r="7145" spans="1:8">
      <c r="A7145" s="25" t="s">
        <v>182</v>
      </c>
      <c r="B7145" t="s">
        <v>219</v>
      </c>
      <c r="C7145" t="s">
        <v>181</v>
      </c>
      <c r="D7145" t="s">
        <v>188</v>
      </c>
      <c r="E7145" t="s">
        <v>241</v>
      </c>
      <c r="F7145" t="s">
        <v>220</v>
      </c>
      <c r="G7145" t="s">
        <v>243</v>
      </c>
      <c r="H7145" t="s">
        <v>221</v>
      </c>
    </row>
    <row r="7146" spans="1:8">
      <c r="A7146" s="25" t="s">
        <v>223</v>
      </c>
      <c r="B7146">
        <v>157</v>
      </c>
      <c r="C7146" t="s">
        <v>189</v>
      </c>
      <c r="D7146">
        <v>3196</v>
      </c>
      <c r="E7146" s="1">
        <v>7.3999999999999996E-2</v>
      </c>
      <c r="F7146" s="1">
        <v>0.77100000000000002</v>
      </c>
      <c r="G7146" s="1">
        <v>9.2999999999999992E-3</v>
      </c>
      <c r="H7146" s="1">
        <v>0.14560000000000001</v>
      </c>
    </row>
    <row r="7147" spans="1:8">
      <c r="A7147" s="25" t="s">
        <v>224</v>
      </c>
      <c r="B7147">
        <v>1008</v>
      </c>
      <c r="C7147" t="s">
        <v>189</v>
      </c>
      <c r="D7147">
        <v>3196</v>
      </c>
      <c r="E7147" s="1">
        <v>0.12479999999999999</v>
      </c>
      <c r="F7147" s="1">
        <v>0.67789999999999995</v>
      </c>
      <c r="G7147" s="1">
        <v>5.3E-3</v>
      </c>
      <c r="H7147" s="1">
        <v>0.19189999999999999</v>
      </c>
    </row>
    <row r="7148" spans="1:8">
      <c r="A7148" s="25" t="s">
        <v>225</v>
      </c>
      <c r="B7148">
        <v>928</v>
      </c>
      <c r="C7148" t="s">
        <v>189</v>
      </c>
      <c r="D7148">
        <v>3196</v>
      </c>
      <c r="E7148" s="1">
        <v>0.1371</v>
      </c>
      <c r="F7148" s="1">
        <v>0.63480000000000003</v>
      </c>
      <c r="G7148" s="1">
        <v>2.3999999999999998E-3</v>
      </c>
      <c r="H7148" s="1">
        <v>0.22570000000000001</v>
      </c>
    </row>
    <row r="7149" spans="1:8">
      <c r="A7149" s="25" t="s">
        <v>226</v>
      </c>
      <c r="B7149">
        <v>1103</v>
      </c>
      <c r="C7149" t="s">
        <v>189</v>
      </c>
      <c r="D7149">
        <v>3196</v>
      </c>
      <c r="E7149" s="1">
        <v>0.11700000000000001</v>
      </c>
      <c r="F7149" s="1">
        <v>0.70179999999999998</v>
      </c>
      <c r="G7149" s="1">
        <v>4.1999999999999997E-3</v>
      </c>
      <c r="H7149" s="1">
        <v>0.17699999999999999</v>
      </c>
    </row>
    <row r="7150" spans="1:8">
      <c r="A7150" s="25" t="s">
        <v>192</v>
      </c>
      <c r="B7150">
        <v>3196</v>
      </c>
      <c r="C7150" t="s">
        <v>192</v>
      </c>
      <c r="D7150">
        <v>3196</v>
      </c>
      <c r="E7150" s="1">
        <v>0.1208</v>
      </c>
      <c r="F7150" s="1">
        <v>0.68369999999999997</v>
      </c>
      <c r="G7150" s="1">
        <v>4.4999999999999997E-3</v>
      </c>
      <c r="H7150" s="1">
        <v>0.191</v>
      </c>
    </row>
    <row r="7152" spans="1:8" ht="43.5">
      <c r="A7152" s="25" t="s">
        <v>1815</v>
      </c>
    </row>
    <row r="7153" spans="1:8">
      <c r="A7153" s="25" t="s">
        <v>182</v>
      </c>
      <c r="B7153" t="s">
        <v>219</v>
      </c>
      <c r="C7153" t="s">
        <v>181</v>
      </c>
      <c r="D7153" t="s">
        <v>188</v>
      </c>
      <c r="E7153" t="s">
        <v>241</v>
      </c>
      <c r="F7153" t="s">
        <v>220</v>
      </c>
      <c r="G7153" t="s">
        <v>243</v>
      </c>
      <c r="H7153" t="s">
        <v>221</v>
      </c>
    </row>
    <row r="7154" spans="1:8">
      <c r="A7154" s="25" t="s">
        <v>190</v>
      </c>
      <c r="B7154">
        <v>1442</v>
      </c>
      <c r="C7154" t="s">
        <v>189</v>
      </c>
      <c r="D7154">
        <v>3196</v>
      </c>
      <c r="E7154" s="1">
        <v>0.14849999999999999</v>
      </c>
      <c r="F7154" s="1">
        <v>0.6401</v>
      </c>
      <c r="G7154" s="1">
        <v>7.4000000000000003E-3</v>
      </c>
      <c r="H7154" s="1">
        <v>0.20399999999999999</v>
      </c>
    </row>
    <row r="7155" spans="1:8">
      <c r="A7155" s="25" t="s">
        <v>191</v>
      </c>
      <c r="B7155">
        <v>1711</v>
      </c>
      <c r="C7155" t="s">
        <v>189</v>
      </c>
      <c r="D7155">
        <v>3196</v>
      </c>
      <c r="E7155" s="1">
        <v>0.10730000000000001</v>
      </c>
      <c r="F7155" s="1">
        <v>0.70579999999999998</v>
      </c>
      <c r="G7155" s="1">
        <v>3.0999999999999999E-3</v>
      </c>
      <c r="H7155" s="1">
        <v>0.18379999999999999</v>
      </c>
    </row>
    <row r="7156" spans="1:8">
      <c r="A7156" s="25" t="s">
        <v>192</v>
      </c>
      <c r="B7156">
        <v>3196</v>
      </c>
      <c r="C7156" t="s">
        <v>192</v>
      </c>
      <c r="D7156">
        <v>3196</v>
      </c>
      <c r="E7156" s="1">
        <v>0.1208</v>
      </c>
      <c r="F7156" s="1">
        <v>0.68369999999999997</v>
      </c>
      <c r="G7156" s="1">
        <v>4.4999999999999997E-3</v>
      </c>
      <c r="H7156" s="1">
        <v>0.191</v>
      </c>
    </row>
    <row r="7158" spans="1:8" ht="43.5">
      <c r="A7158" s="25" t="s">
        <v>1816</v>
      </c>
    </row>
    <row r="7159" spans="1:8">
      <c r="A7159" s="25" t="s">
        <v>182</v>
      </c>
      <c r="B7159" t="s">
        <v>219</v>
      </c>
      <c r="C7159" t="s">
        <v>181</v>
      </c>
      <c r="D7159" t="s">
        <v>188</v>
      </c>
      <c r="E7159" t="s">
        <v>241</v>
      </c>
      <c r="F7159" t="s">
        <v>220</v>
      </c>
      <c r="G7159" t="s">
        <v>243</v>
      </c>
      <c r="H7159" t="s">
        <v>221</v>
      </c>
    </row>
    <row r="7160" spans="1:8" ht="29.1">
      <c r="A7160" s="25" t="s">
        <v>194</v>
      </c>
      <c r="B7160">
        <v>758</v>
      </c>
      <c r="C7160" t="s">
        <v>189</v>
      </c>
      <c r="D7160">
        <v>3196</v>
      </c>
      <c r="E7160" s="1">
        <v>9.7100000000000006E-2</v>
      </c>
      <c r="F7160" s="1">
        <v>0.72640000000000005</v>
      </c>
      <c r="G7160" s="1">
        <v>7.1999999999999998E-3</v>
      </c>
      <c r="H7160" s="1">
        <v>0.16930000000000001</v>
      </c>
    </row>
    <row r="7161" spans="1:8" ht="29.1">
      <c r="A7161" s="25" t="s">
        <v>195</v>
      </c>
      <c r="B7161">
        <v>1152</v>
      </c>
      <c r="C7161" t="s">
        <v>189</v>
      </c>
      <c r="D7161">
        <v>3196</v>
      </c>
      <c r="E7161" s="1">
        <v>0.1263</v>
      </c>
      <c r="F7161" s="1">
        <v>0.68579999999999997</v>
      </c>
      <c r="G7161" s="1">
        <v>1.1999999999999999E-3</v>
      </c>
      <c r="H7161" s="1">
        <v>0.1867</v>
      </c>
    </row>
    <row r="7162" spans="1:8" ht="29.1">
      <c r="A7162" s="25" t="s">
        <v>196</v>
      </c>
      <c r="B7162">
        <v>1243</v>
      </c>
      <c r="C7162" t="s">
        <v>189</v>
      </c>
      <c r="D7162">
        <v>3196</v>
      </c>
      <c r="E7162" s="1">
        <v>0.14929999999999999</v>
      </c>
      <c r="F7162" s="1">
        <v>0.61960000000000004</v>
      </c>
      <c r="G7162" s="1">
        <v>4.4000000000000003E-3</v>
      </c>
      <c r="H7162" s="1">
        <v>0.2268</v>
      </c>
    </row>
    <row r="7163" spans="1:8">
      <c r="A7163" s="25" t="s">
        <v>192</v>
      </c>
      <c r="B7163">
        <v>3196</v>
      </c>
      <c r="C7163" t="s">
        <v>192</v>
      </c>
      <c r="D7163">
        <v>3196</v>
      </c>
      <c r="E7163" s="1">
        <v>0.1208</v>
      </c>
      <c r="F7163" s="1">
        <v>0.68369999999999997</v>
      </c>
      <c r="G7163" s="1">
        <v>4.4999999999999997E-3</v>
      </c>
      <c r="H7163" s="1">
        <v>0.191</v>
      </c>
    </row>
    <row r="7165" spans="1:8" ht="43.5">
      <c r="A7165" s="25" t="s">
        <v>1817</v>
      </c>
    </row>
    <row r="7166" spans="1:8">
      <c r="A7166" s="25" t="s">
        <v>182</v>
      </c>
      <c r="B7166" t="s">
        <v>219</v>
      </c>
      <c r="C7166" t="s">
        <v>181</v>
      </c>
      <c r="D7166" t="s">
        <v>188</v>
      </c>
      <c r="E7166" t="s">
        <v>241</v>
      </c>
      <c r="F7166" t="s">
        <v>220</v>
      </c>
      <c r="G7166" t="s">
        <v>243</v>
      </c>
      <c r="H7166" t="s">
        <v>221</v>
      </c>
    </row>
    <row r="7167" spans="1:8">
      <c r="A7167" s="25" t="s">
        <v>198</v>
      </c>
      <c r="B7167">
        <v>952</v>
      </c>
      <c r="C7167" t="s">
        <v>189</v>
      </c>
      <c r="D7167">
        <v>3196</v>
      </c>
      <c r="E7167" s="1">
        <v>0.126</v>
      </c>
      <c r="F7167" s="1">
        <v>0.66779999999999995</v>
      </c>
      <c r="G7167" s="1">
        <v>3.7000000000000002E-3</v>
      </c>
      <c r="H7167" s="1">
        <v>0.20250000000000001</v>
      </c>
    </row>
    <row r="7168" spans="1:8">
      <c r="A7168" s="25" t="s">
        <v>199</v>
      </c>
      <c r="B7168">
        <v>2244</v>
      </c>
      <c r="C7168" t="s">
        <v>189</v>
      </c>
      <c r="D7168">
        <v>3196</v>
      </c>
      <c r="E7168" s="1">
        <v>0.1188</v>
      </c>
      <c r="F7168" s="1">
        <v>0.69010000000000005</v>
      </c>
      <c r="G7168" s="1">
        <v>4.7999999999999996E-3</v>
      </c>
      <c r="H7168" s="1">
        <v>0.18640000000000001</v>
      </c>
    </row>
    <row r="7169" spans="1:8">
      <c r="A7169" s="25" t="s">
        <v>192</v>
      </c>
      <c r="B7169">
        <v>3196</v>
      </c>
      <c r="C7169" t="s">
        <v>192</v>
      </c>
      <c r="D7169">
        <v>3196</v>
      </c>
      <c r="E7169" s="1">
        <v>0.1208</v>
      </c>
      <c r="F7169" s="1">
        <v>0.68369999999999997</v>
      </c>
      <c r="G7169" s="1">
        <v>4.4999999999999997E-3</v>
      </c>
      <c r="H7169" s="1">
        <v>0.191</v>
      </c>
    </row>
    <row r="7171" spans="1:8" ht="43.5">
      <c r="A7171" s="25" t="s">
        <v>1818</v>
      </c>
    </row>
    <row r="7172" spans="1:8">
      <c r="A7172" s="25" t="s">
        <v>182</v>
      </c>
      <c r="B7172" t="s">
        <v>219</v>
      </c>
      <c r="C7172" t="s">
        <v>181</v>
      </c>
      <c r="D7172" t="s">
        <v>188</v>
      </c>
      <c r="E7172" t="s">
        <v>241</v>
      </c>
      <c r="F7172" t="s">
        <v>220</v>
      </c>
      <c r="G7172" t="s">
        <v>243</v>
      </c>
      <c r="H7172" t="s">
        <v>221</v>
      </c>
    </row>
    <row r="7173" spans="1:8">
      <c r="A7173" s="25" t="s">
        <v>201</v>
      </c>
      <c r="B7173">
        <v>575</v>
      </c>
      <c r="C7173" t="s">
        <v>189</v>
      </c>
      <c r="D7173">
        <v>3196</v>
      </c>
      <c r="E7173" s="1">
        <v>9.6299999999999997E-2</v>
      </c>
      <c r="F7173" s="1">
        <v>0.69479999999999997</v>
      </c>
      <c r="H7173" s="1">
        <v>0.2089</v>
      </c>
    </row>
    <row r="7174" spans="1:8">
      <c r="A7174" s="25" t="s">
        <v>202</v>
      </c>
      <c r="B7174">
        <v>74</v>
      </c>
      <c r="C7174" t="s">
        <v>189</v>
      </c>
      <c r="D7174">
        <v>3196</v>
      </c>
      <c r="E7174" s="1">
        <v>0.39829999999999999</v>
      </c>
      <c r="F7174" s="1">
        <v>0.4677</v>
      </c>
      <c r="G7174" s="1">
        <v>4.7999999999999996E-3</v>
      </c>
      <c r="H7174" s="1">
        <v>0.12909999999999999</v>
      </c>
    </row>
    <row r="7175" spans="1:8">
      <c r="A7175" s="25" t="s">
        <v>203</v>
      </c>
      <c r="B7175">
        <v>1851</v>
      </c>
      <c r="C7175" t="s">
        <v>189</v>
      </c>
      <c r="D7175">
        <v>3196</v>
      </c>
      <c r="E7175" s="1">
        <v>0.1308</v>
      </c>
      <c r="F7175" s="1">
        <v>0.68159999999999998</v>
      </c>
      <c r="G7175" s="1">
        <v>5.1999999999999998E-3</v>
      </c>
      <c r="H7175" s="1">
        <v>0.18240000000000001</v>
      </c>
    </row>
    <row r="7176" spans="1:8">
      <c r="A7176" s="25" t="s">
        <v>204</v>
      </c>
      <c r="B7176">
        <v>16</v>
      </c>
      <c r="C7176" t="s">
        <v>189</v>
      </c>
      <c r="D7176">
        <v>3196</v>
      </c>
      <c r="E7176" s="1">
        <v>0.2276</v>
      </c>
      <c r="F7176" s="1">
        <v>0.71220000000000006</v>
      </c>
      <c r="G7176" s="1">
        <v>5.1400000000000001E-2</v>
      </c>
      <c r="H7176" s="1">
        <v>8.8999999999999999E-3</v>
      </c>
    </row>
    <row r="7177" spans="1:8">
      <c r="A7177" s="25" t="s">
        <v>205</v>
      </c>
      <c r="B7177">
        <v>680</v>
      </c>
      <c r="C7177" t="s">
        <v>189</v>
      </c>
      <c r="D7177">
        <v>3196</v>
      </c>
      <c r="E7177" s="1">
        <v>9.5600000000000004E-2</v>
      </c>
      <c r="F7177" s="1">
        <v>0.69499999999999995</v>
      </c>
      <c r="G7177" s="1">
        <v>9.1999999999999998E-3</v>
      </c>
      <c r="H7177" s="1">
        <v>0.2001</v>
      </c>
    </row>
    <row r="7178" spans="1:8">
      <c r="A7178" s="25" t="s">
        <v>192</v>
      </c>
      <c r="B7178">
        <v>3196</v>
      </c>
      <c r="C7178" t="s">
        <v>192</v>
      </c>
      <c r="D7178">
        <v>3196</v>
      </c>
      <c r="E7178" s="1">
        <v>0.1208</v>
      </c>
      <c r="F7178" s="1">
        <v>0.68369999999999997</v>
      </c>
      <c r="G7178" s="1">
        <v>4.4999999999999997E-3</v>
      </c>
      <c r="H7178" s="1">
        <v>0.191</v>
      </c>
    </row>
    <row r="7180" spans="1:8" ht="43.5">
      <c r="A7180" s="25" t="s">
        <v>1819</v>
      </c>
    </row>
    <row r="7181" spans="1:8">
      <c r="A7181" s="25" t="s">
        <v>182</v>
      </c>
      <c r="B7181" t="s">
        <v>219</v>
      </c>
      <c r="C7181" t="s">
        <v>181</v>
      </c>
      <c r="D7181" t="s">
        <v>188</v>
      </c>
      <c r="E7181" t="s">
        <v>241</v>
      </c>
      <c r="F7181" t="s">
        <v>220</v>
      </c>
      <c r="G7181" t="s">
        <v>243</v>
      </c>
      <c r="H7181" t="s">
        <v>221</v>
      </c>
    </row>
    <row r="7182" spans="1:8">
      <c r="A7182" s="25" t="s">
        <v>207</v>
      </c>
      <c r="B7182">
        <v>2164</v>
      </c>
      <c r="C7182" t="s">
        <v>189</v>
      </c>
      <c r="D7182">
        <v>3196</v>
      </c>
      <c r="E7182" s="1">
        <v>0.12089999999999999</v>
      </c>
      <c r="F7182" s="1">
        <v>0.67769999999999997</v>
      </c>
      <c r="G7182" s="1">
        <v>5.1000000000000004E-3</v>
      </c>
      <c r="H7182" s="1">
        <v>0.19620000000000001</v>
      </c>
    </row>
    <row r="7183" spans="1:8">
      <c r="A7183" s="25" t="s">
        <v>208</v>
      </c>
      <c r="B7183">
        <v>672</v>
      </c>
      <c r="C7183" t="s">
        <v>189</v>
      </c>
      <c r="D7183">
        <v>3196</v>
      </c>
      <c r="E7183" s="1">
        <v>0.114</v>
      </c>
      <c r="F7183" s="1">
        <v>0.71530000000000005</v>
      </c>
      <c r="G7183" s="1">
        <v>2.5000000000000001E-3</v>
      </c>
      <c r="H7183" s="1">
        <v>0.16830000000000001</v>
      </c>
    </row>
    <row r="7184" spans="1:8">
      <c r="A7184" s="25" t="s">
        <v>209</v>
      </c>
      <c r="B7184">
        <v>360</v>
      </c>
      <c r="C7184" t="s">
        <v>189</v>
      </c>
      <c r="D7184">
        <v>3196</v>
      </c>
      <c r="E7184" s="1">
        <v>0.1336</v>
      </c>
      <c r="F7184" s="1">
        <v>0.66249999999999998</v>
      </c>
      <c r="G7184" s="1">
        <v>3.7000000000000002E-3</v>
      </c>
      <c r="H7184" s="1">
        <v>0.2001</v>
      </c>
    </row>
    <row r="7185" spans="1:15">
      <c r="A7185" s="25" t="s">
        <v>192</v>
      </c>
      <c r="B7185">
        <v>3196</v>
      </c>
      <c r="C7185" t="s">
        <v>192</v>
      </c>
      <c r="D7185">
        <v>3196</v>
      </c>
      <c r="E7185" s="1">
        <v>0.1208</v>
      </c>
      <c r="F7185" s="1">
        <v>0.68369999999999997</v>
      </c>
      <c r="G7185" s="1">
        <v>4.4999999999999997E-3</v>
      </c>
      <c r="H7185" s="1">
        <v>0.191</v>
      </c>
    </row>
    <row r="7187" spans="1:15" ht="43.5">
      <c r="A7187" s="25" t="s">
        <v>1820</v>
      </c>
    </row>
    <row r="7188" spans="1:15">
      <c r="A7188" s="25" t="s">
        <v>182</v>
      </c>
      <c r="B7188" t="s">
        <v>219</v>
      </c>
      <c r="C7188" t="s">
        <v>181</v>
      </c>
      <c r="D7188" t="s">
        <v>188</v>
      </c>
      <c r="E7188" t="s">
        <v>241</v>
      </c>
      <c r="F7188" t="s">
        <v>220</v>
      </c>
      <c r="G7188" t="s">
        <v>243</v>
      </c>
      <c r="H7188" t="s">
        <v>221</v>
      </c>
    </row>
    <row r="7189" spans="1:15">
      <c r="A7189" s="25" t="s">
        <v>211</v>
      </c>
      <c r="B7189">
        <v>1408</v>
      </c>
      <c r="C7189" t="s">
        <v>189</v>
      </c>
      <c r="D7189">
        <v>3196</v>
      </c>
      <c r="E7189" s="1">
        <v>0.1242</v>
      </c>
      <c r="F7189" s="1">
        <v>0.67010000000000003</v>
      </c>
      <c r="G7189" s="1">
        <v>6.3E-3</v>
      </c>
      <c r="H7189" s="1">
        <v>0.19939999999999999</v>
      </c>
    </row>
    <row r="7190" spans="1:15">
      <c r="A7190" s="25" t="s">
        <v>212</v>
      </c>
      <c r="B7190">
        <v>1257</v>
      </c>
      <c r="C7190" t="s">
        <v>189</v>
      </c>
      <c r="D7190">
        <v>3196</v>
      </c>
      <c r="E7190" s="1">
        <v>0.1099</v>
      </c>
      <c r="F7190" s="1">
        <v>0.7046</v>
      </c>
      <c r="G7190" s="1">
        <v>3.5000000000000001E-3</v>
      </c>
      <c r="H7190" s="1">
        <v>0.18190000000000001</v>
      </c>
    </row>
    <row r="7191" spans="1:15">
      <c r="A7191" s="25" t="s">
        <v>213</v>
      </c>
      <c r="B7191">
        <v>531</v>
      </c>
      <c r="C7191" t="s">
        <v>189</v>
      </c>
      <c r="D7191">
        <v>3196</v>
      </c>
      <c r="E7191" s="1">
        <v>0.13639999999999999</v>
      </c>
      <c r="F7191" s="1">
        <v>0.67479999999999996</v>
      </c>
      <c r="G7191" s="1">
        <v>1.2999999999999999E-3</v>
      </c>
      <c r="H7191" s="1">
        <v>0.1875</v>
      </c>
    </row>
    <row r="7192" spans="1:15">
      <c r="A7192" s="25" t="s">
        <v>192</v>
      </c>
      <c r="B7192">
        <v>3196</v>
      </c>
      <c r="C7192" t="s">
        <v>192</v>
      </c>
      <c r="D7192">
        <v>3196</v>
      </c>
      <c r="E7192" s="1">
        <v>0.1208</v>
      </c>
      <c r="F7192" s="1">
        <v>0.68369999999999997</v>
      </c>
      <c r="G7192" s="1">
        <v>4.4999999999999997E-3</v>
      </c>
      <c r="H7192" s="1">
        <v>0.191</v>
      </c>
    </row>
    <row r="7194" spans="1:15" ht="43.5">
      <c r="A7194" s="25" t="s">
        <v>1821</v>
      </c>
    </row>
    <row r="7195" spans="1:15">
      <c r="A7195" s="25" t="s">
        <v>182</v>
      </c>
      <c r="B7195" t="s">
        <v>219</v>
      </c>
      <c r="C7195" t="s">
        <v>181</v>
      </c>
      <c r="D7195" t="s">
        <v>188</v>
      </c>
      <c r="E7195" t="s">
        <v>1822</v>
      </c>
      <c r="F7195" t="s">
        <v>241</v>
      </c>
      <c r="G7195" t="s">
        <v>1823</v>
      </c>
      <c r="H7195" t="s">
        <v>1824</v>
      </c>
      <c r="I7195" t="s">
        <v>1825</v>
      </c>
      <c r="J7195" t="s">
        <v>269</v>
      </c>
      <c r="K7195" t="s">
        <v>243</v>
      </c>
      <c r="L7195" t="s">
        <v>1826</v>
      </c>
      <c r="M7195" t="s">
        <v>1827</v>
      </c>
      <c r="N7195" t="s">
        <v>1828</v>
      </c>
      <c r="O7195" t="s">
        <v>1829</v>
      </c>
    </row>
    <row r="7196" spans="1:15">
      <c r="A7196" s="25" t="s">
        <v>215</v>
      </c>
      <c r="B7196">
        <v>1510</v>
      </c>
      <c r="C7196" t="s">
        <v>189</v>
      </c>
      <c r="D7196">
        <v>5340</v>
      </c>
      <c r="E7196" s="1">
        <v>1.1999999999999999E-3</v>
      </c>
      <c r="F7196" s="1">
        <v>1.2999999999999999E-3</v>
      </c>
      <c r="H7196" s="1">
        <v>3.8999999999999998E-3</v>
      </c>
      <c r="I7196" s="1">
        <v>5.0000000000000001E-4</v>
      </c>
      <c r="J7196" s="1">
        <v>5.0000000000000001E-4</v>
      </c>
      <c r="K7196" s="1">
        <v>4.0000000000000002E-4</v>
      </c>
      <c r="L7196" s="1">
        <v>8.9999999999999998E-4</v>
      </c>
      <c r="N7196" s="1">
        <v>0.14299999999999999</v>
      </c>
      <c r="O7196" s="1">
        <v>0.84819999999999995</v>
      </c>
    </row>
    <row r="7197" spans="1:15">
      <c r="A7197" s="25" t="s">
        <v>217</v>
      </c>
      <c r="B7197">
        <v>3830</v>
      </c>
      <c r="C7197" t="s">
        <v>189</v>
      </c>
      <c r="D7197">
        <v>5340</v>
      </c>
      <c r="E7197" s="1">
        <v>8.9999999999999998E-4</v>
      </c>
      <c r="F7197" s="1">
        <v>1.6999999999999999E-3</v>
      </c>
      <c r="G7197" s="1">
        <v>1E-4</v>
      </c>
      <c r="H7197" s="1">
        <v>3.3999999999999998E-3</v>
      </c>
      <c r="I7197" s="1">
        <v>5.0000000000000001E-4</v>
      </c>
      <c r="J7197" s="1">
        <v>2.0000000000000001E-4</v>
      </c>
      <c r="K7197" s="1">
        <v>4.0000000000000002E-4</v>
      </c>
      <c r="M7197" s="1">
        <v>5.0000000000000001E-4</v>
      </c>
      <c r="N7197" s="1">
        <v>9.4700000000000006E-2</v>
      </c>
      <c r="O7197" s="1">
        <v>0.89759999999999995</v>
      </c>
    </row>
    <row r="7198" spans="1:15">
      <c r="A7198" s="25" t="s">
        <v>192</v>
      </c>
      <c r="B7198">
        <v>5340</v>
      </c>
      <c r="C7198" t="s">
        <v>192</v>
      </c>
      <c r="D7198">
        <v>5340</v>
      </c>
      <c r="E7198" s="1">
        <v>1E-3</v>
      </c>
      <c r="F7198" s="1">
        <v>1.6000000000000001E-3</v>
      </c>
      <c r="G7198" s="1">
        <v>1E-4</v>
      </c>
      <c r="H7198" s="1">
        <v>3.5999999999999999E-3</v>
      </c>
      <c r="I7198" s="1">
        <v>5.0000000000000001E-4</v>
      </c>
      <c r="J7198" s="1">
        <v>2.9999999999999997E-4</v>
      </c>
      <c r="K7198" s="1">
        <v>4.0000000000000002E-4</v>
      </c>
      <c r="L7198" s="1">
        <v>2.9999999999999997E-4</v>
      </c>
      <c r="M7198" s="1">
        <v>4.0000000000000002E-4</v>
      </c>
      <c r="N7198" s="1">
        <v>0.1094</v>
      </c>
      <c r="O7198" s="1">
        <v>0.88249999999999995</v>
      </c>
    </row>
    <row r="7200" spans="1:15" ht="43.5">
      <c r="A7200" s="25" t="s">
        <v>1830</v>
      </c>
    </row>
    <row r="7201" spans="1:15">
      <c r="A7201" s="25" t="s">
        <v>182</v>
      </c>
      <c r="B7201" t="s">
        <v>219</v>
      </c>
      <c r="C7201" t="s">
        <v>181</v>
      </c>
      <c r="D7201" t="s">
        <v>188</v>
      </c>
      <c r="E7201" t="s">
        <v>1822</v>
      </c>
      <c r="F7201" t="s">
        <v>241</v>
      </c>
      <c r="G7201" t="s">
        <v>1823</v>
      </c>
      <c r="H7201" t="s">
        <v>1824</v>
      </c>
      <c r="I7201" t="s">
        <v>1825</v>
      </c>
      <c r="J7201" t="s">
        <v>269</v>
      </c>
      <c r="K7201" t="s">
        <v>243</v>
      </c>
      <c r="L7201" t="s">
        <v>1826</v>
      </c>
      <c r="M7201" t="s">
        <v>1827</v>
      </c>
      <c r="N7201" t="s">
        <v>1828</v>
      </c>
      <c r="O7201" t="s">
        <v>1829</v>
      </c>
    </row>
    <row r="7202" spans="1:15">
      <c r="A7202" s="25" t="s">
        <v>223</v>
      </c>
      <c r="B7202">
        <v>377</v>
      </c>
      <c r="C7202" t="s">
        <v>189</v>
      </c>
      <c r="D7202">
        <v>5340</v>
      </c>
      <c r="E7202" s="1">
        <v>1.2999999999999999E-3</v>
      </c>
      <c r="F7202" s="1">
        <v>5.0000000000000001E-4</v>
      </c>
      <c r="H7202" s="1">
        <v>3.0999999999999999E-3</v>
      </c>
      <c r="I7202" s="1">
        <v>8.0000000000000004E-4</v>
      </c>
      <c r="J7202" s="1">
        <v>5.9999999999999995E-4</v>
      </c>
      <c r="N7202" s="1">
        <v>6.4500000000000002E-2</v>
      </c>
      <c r="O7202" s="1">
        <v>0.92910000000000004</v>
      </c>
    </row>
    <row r="7203" spans="1:15">
      <c r="A7203" s="25" t="s">
        <v>224</v>
      </c>
      <c r="B7203">
        <v>1449</v>
      </c>
      <c r="C7203" t="s">
        <v>189</v>
      </c>
      <c r="D7203">
        <v>5340</v>
      </c>
      <c r="E7203" s="1">
        <v>8.9999999999999998E-4</v>
      </c>
      <c r="F7203" s="1">
        <v>6.9999999999999999E-4</v>
      </c>
      <c r="H7203" s="1">
        <v>3.5999999999999999E-3</v>
      </c>
      <c r="I7203" s="1">
        <v>2.9999999999999997E-4</v>
      </c>
      <c r="J7203" s="1">
        <v>6.9999999999999999E-4</v>
      </c>
      <c r="K7203" s="1">
        <v>1.2999999999999999E-3</v>
      </c>
      <c r="M7203" s="1">
        <v>1.1999999999999999E-3</v>
      </c>
      <c r="N7203" s="1">
        <v>0.1094</v>
      </c>
      <c r="O7203" s="1">
        <v>0.88190000000000002</v>
      </c>
    </row>
    <row r="7204" spans="1:15">
      <c r="A7204" s="25" t="s">
        <v>225</v>
      </c>
      <c r="B7204">
        <v>1397</v>
      </c>
      <c r="C7204" t="s">
        <v>189</v>
      </c>
      <c r="D7204">
        <v>5340</v>
      </c>
      <c r="E7204" s="1">
        <v>8.9999999999999998E-4</v>
      </c>
      <c r="F7204" s="1">
        <v>2.8E-3</v>
      </c>
      <c r="G7204" s="1">
        <v>2.9999999999999997E-4</v>
      </c>
      <c r="H7204" s="1">
        <v>3.8E-3</v>
      </c>
      <c r="I7204" s="1">
        <v>6.9999999999999999E-4</v>
      </c>
      <c r="J7204" s="1">
        <v>4.0000000000000002E-4</v>
      </c>
      <c r="K7204" s="1">
        <v>2.0000000000000001E-4</v>
      </c>
      <c r="L7204" s="1">
        <v>1.1999999999999999E-3</v>
      </c>
      <c r="N7204" s="1">
        <v>0.1109</v>
      </c>
      <c r="O7204" s="1">
        <v>0.87880000000000003</v>
      </c>
    </row>
    <row r="7205" spans="1:15">
      <c r="A7205" s="25" t="s">
        <v>226</v>
      </c>
      <c r="B7205">
        <v>2117</v>
      </c>
      <c r="C7205" t="s">
        <v>189</v>
      </c>
      <c r="D7205">
        <v>5340</v>
      </c>
      <c r="E7205" s="1">
        <v>1.1000000000000001E-3</v>
      </c>
      <c r="F7205" s="1">
        <v>1.6000000000000001E-3</v>
      </c>
      <c r="H7205" s="1">
        <v>3.5999999999999999E-3</v>
      </c>
      <c r="I7205" s="1">
        <v>4.0000000000000002E-4</v>
      </c>
      <c r="M7205" s="1">
        <v>1E-4</v>
      </c>
      <c r="N7205" s="1">
        <v>0.11890000000000001</v>
      </c>
      <c r="O7205" s="1">
        <v>0.87419999999999998</v>
      </c>
    </row>
    <row r="7206" spans="1:15">
      <c r="A7206" s="25" t="s">
        <v>192</v>
      </c>
      <c r="B7206">
        <v>5340</v>
      </c>
      <c r="C7206" t="s">
        <v>192</v>
      </c>
      <c r="D7206">
        <v>5340</v>
      </c>
      <c r="E7206" s="1">
        <v>1E-3</v>
      </c>
      <c r="F7206" s="1">
        <v>1.6000000000000001E-3</v>
      </c>
      <c r="G7206" s="1">
        <v>1E-4</v>
      </c>
      <c r="H7206" s="1">
        <v>3.5999999999999999E-3</v>
      </c>
      <c r="I7206" s="1">
        <v>5.0000000000000001E-4</v>
      </c>
      <c r="J7206" s="1">
        <v>2.9999999999999997E-4</v>
      </c>
      <c r="K7206" s="1">
        <v>4.0000000000000002E-4</v>
      </c>
      <c r="L7206" s="1">
        <v>2.9999999999999997E-4</v>
      </c>
      <c r="M7206" s="1">
        <v>4.0000000000000002E-4</v>
      </c>
      <c r="N7206" s="1">
        <v>0.1094</v>
      </c>
      <c r="O7206" s="1">
        <v>0.88249999999999995</v>
      </c>
    </row>
    <row r="7208" spans="1:15" ht="43.5">
      <c r="A7208" s="25" t="s">
        <v>1831</v>
      </c>
    </row>
    <row r="7209" spans="1:15">
      <c r="A7209" s="25" t="s">
        <v>182</v>
      </c>
      <c r="B7209" t="s">
        <v>219</v>
      </c>
      <c r="C7209" t="s">
        <v>181</v>
      </c>
      <c r="D7209" t="s">
        <v>188</v>
      </c>
      <c r="E7209" t="s">
        <v>1822</v>
      </c>
      <c r="F7209" t="s">
        <v>241</v>
      </c>
      <c r="G7209" t="s">
        <v>1823</v>
      </c>
      <c r="H7209" t="s">
        <v>1824</v>
      </c>
      <c r="I7209" t="s">
        <v>1825</v>
      </c>
      <c r="J7209" t="s">
        <v>269</v>
      </c>
      <c r="K7209" t="s">
        <v>243</v>
      </c>
      <c r="L7209" t="s">
        <v>1826</v>
      </c>
      <c r="M7209" t="s">
        <v>1827</v>
      </c>
      <c r="N7209" t="s">
        <v>1828</v>
      </c>
      <c r="O7209" t="s">
        <v>1829</v>
      </c>
    </row>
    <row r="7210" spans="1:15">
      <c r="A7210" s="25" t="s">
        <v>190</v>
      </c>
      <c r="B7210">
        <v>2568</v>
      </c>
      <c r="C7210" t="s">
        <v>189</v>
      </c>
      <c r="D7210">
        <v>5340</v>
      </c>
      <c r="E7210" s="1">
        <v>2.5000000000000001E-3</v>
      </c>
      <c r="F7210" s="1">
        <v>5.0000000000000001E-4</v>
      </c>
      <c r="G7210" s="1">
        <v>2.0000000000000001E-4</v>
      </c>
      <c r="H7210" s="1">
        <v>5.4000000000000003E-3</v>
      </c>
      <c r="I7210" s="1">
        <v>1.2999999999999999E-3</v>
      </c>
      <c r="M7210" s="1">
        <v>8.9999999999999998E-4</v>
      </c>
      <c r="N7210" s="1">
        <v>5.2200000000000003E-2</v>
      </c>
      <c r="O7210" s="1">
        <v>0.93710000000000004</v>
      </c>
    </row>
    <row r="7211" spans="1:15">
      <c r="A7211" s="25" t="s">
        <v>191</v>
      </c>
      <c r="B7211">
        <v>2744</v>
      </c>
      <c r="C7211" t="s">
        <v>189</v>
      </c>
      <c r="D7211">
        <v>5340</v>
      </c>
      <c r="E7211" s="1">
        <v>1E-4</v>
      </c>
      <c r="F7211" s="1">
        <v>2.3E-3</v>
      </c>
      <c r="H7211" s="1">
        <v>2.3999999999999998E-3</v>
      </c>
      <c r="J7211" s="1">
        <v>5.0000000000000001E-4</v>
      </c>
      <c r="K7211" s="1">
        <v>5.9999999999999995E-4</v>
      </c>
      <c r="L7211" s="1">
        <v>5.0000000000000001E-4</v>
      </c>
      <c r="N7211" s="1">
        <v>0.1457</v>
      </c>
      <c r="O7211" s="1">
        <v>0.84789999999999999</v>
      </c>
    </row>
    <row r="7212" spans="1:15">
      <c r="A7212" s="25" t="s">
        <v>192</v>
      </c>
      <c r="B7212">
        <v>5340</v>
      </c>
      <c r="C7212" t="s">
        <v>192</v>
      </c>
      <c r="D7212">
        <v>5340</v>
      </c>
      <c r="E7212" s="1">
        <v>1E-3</v>
      </c>
      <c r="F7212" s="1">
        <v>1.6000000000000001E-3</v>
      </c>
      <c r="G7212" s="1">
        <v>1E-4</v>
      </c>
      <c r="H7212" s="1">
        <v>3.5999999999999999E-3</v>
      </c>
      <c r="I7212" s="1">
        <v>5.0000000000000001E-4</v>
      </c>
      <c r="J7212" s="1">
        <v>2.9999999999999997E-4</v>
      </c>
      <c r="K7212" s="1">
        <v>4.0000000000000002E-4</v>
      </c>
      <c r="L7212" s="1">
        <v>2.9999999999999997E-4</v>
      </c>
      <c r="M7212" s="1">
        <v>4.0000000000000002E-4</v>
      </c>
      <c r="N7212" s="1">
        <v>0.1094</v>
      </c>
      <c r="O7212" s="1">
        <v>0.88249999999999995</v>
      </c>
    </row>
    <row r="7214" spans="1:15" ht="43.5">
      <c r="A7214" s="25" t="s">
        <v>1832</v>
      </c>
    </row>
    <row r="7215" spans="1:15">
      <c r="A7215" s="25" t="s">
        <v>182</v>
      </c>
      <c r="B7215" t="s">
        <v>219</v>
      </c>
      <c r="C7215" t="s">
        <v>181</v>
      </c>
      <c r="D7215" t="s">
        <v>188</v>
      </c>
      <c r="E7215" t="s">
        <v>1822</v>
      </c>
      <c r="F7215" t="s">
        <v>241</v>
      </c>
      <c r="G7215" t="s">
        <v>1823</v>
      </c>
      <c r="H7215" t="s">
        <v>1824</v>
      </c>
      <c r="I7215" t="s">
        <v>1825</v>
      </c>
      <c r="J7215" t="s">
        <v>269</v>
      </c>
      <c r="K7215" t="s">
        <v>243</v>
      </c>
      <c r="L7215" t="s">
        <v>1826</v>
      </c>
      <c r="M7215" t="s">
        <v>1827</v>
      </c>
      <c r="N7215" t="s">
        <v>1828</v>
      </c>
      <c r="O7215" t="s">
        <v>1829</v>
      </c>
    </row>
    <row r="7216" spans="1:15" ht="29.1">
      <c r="A7216" s="25" t="s">
        <v>194</v>
      </c>
      <c r="B7216">
        <v>2897</v>
      </c>
      <c r="C7216" t="s">
        <v>189</v>
      </c>
      <c r="D7216">
        <v>5340</v>
      </c>
      <c r="E7216" s="1">
        <v>1.5E-3</v>
      </c>
      <c r="F7216" s="1">
        <v>2.0000000000000001E-4</v>
      </c>
      <c r="G7216" s="1">
        <v>1E-4</v>
      </c>
      <c r="H7216" s="1">
        <v>5.4000000000000003E-3</v>
      </c>
      <c r="I7216" s="1">
        <v>6.9999999999999999E-4</v>
      </c>
      <c r="M7216" s="1">
        <v>5.0000000000000001E-4</v>
      </c>
      <c r="N7216" s="1">
        <v>5.3600000000000002E-2</v>
      </c>
      <c r="O7216" s="1">
        <v>0.93789999999999996</v>
      </c>
    </row>
    <row r="7217" spans="1:15" ht="29.1">
      <c r="A7217" s="25" t="s">
        <v>195</v>
      </c>
      <c r="B7217">
        <v>1507</v>
      </c>
      <c r="C7217" t="s">
        <v>189</v>
      </c>
      <c r="D7217">
        <v>5340</v>
      </c>
      <c r="F7217" s="1">
        <v>2.3E-3</v>
      </c>
      <c r="K7217" s="1">
        <v>2.0000000000000001E-4</v>
      </c>
      <c r="N7217" s="1">
        <v>0.2238</v>
      </c>
      <c r="O7217" s="1">
        <v>0.77359999999999995</v>
      </c>
    </row>
    <row r="7218" spans="1:15" ht="29.1">
      <c r="A7218" s="25" t="s">
        <v>196</v>
      </c>
      <c r="B7218">
        <v>908</v>
      </c>
      <c r="C7218" t="s">
        <v>189</v>
      </c>
      <c r="D7218">
        <v>5340</v>
      </c>
      <c r="F7218" s="1">
        <v>7.7000000000000002E-3</v>
      </c>
      <c r="J7218" s="1">
        <v>2.7000000000000001E-3</v>
      </c>
      <c r="K7218" s="1">
        <v>2.7000000000000001E-3</v>
      </c>
      <c r="L7218" s="1">
        <v>2.3E-3</v>
      </c>
      <c r="N7218" s="1">
        <v>0.21049999999999999</v>
      </c>
      <c r="O7218" s="1">
        <v>0.77400000000000002</v>
      </c>
    </row>
    <row r="7219" spans="1:15">
      <c r="A7219" s="25" t="s">
        <v>192</v>
      </c>
      <c r="B7219">
        <v>5340</v>
      </c>
      <c r="C7219" t="s">
        <v>192</v>
      </c>
      <c r="D7219">
        <v>5340</v>
      </c>
      <c r="E7219" s="1">
        <v>1E-3</v>
      </c>
      <c r="F7219" s="1">
        <v>1.6000000000000001E-3</v>
      </c>
      <c r="G7219" s="1">
        <v>1E-4</v>
      </c>
      <c r="H7219" s="1">
        <v>3.5999999999999999E-3</v>
      </c>
      <c r="I7219" s="1">
        <v>5.0000000000000001E-4</v>
      </c>
      <c r="J7219" s="1">
        <v>2.9999999999999997E-4</v>
      </c>
      <c r="K7219" s="1">
        <v>4.0000000000000002E-4</v>
      </c>
      <c r="L7219" s="1">
        <v>2.9999999999999997E-4</v>
      </c>
      <c r="M7219" s="1">
        <v>4.0000000000000002E-4</v>
      </c>
      <c r="N7219" s="1">
        <v>0.1094</v>
      </c>
      <c r="O7219" s="1">
        <v>0.88249999999999995</v>
      </c>
    </row>
    <row r="7221" spans="1:15" ht="43.5">
      <c r="A7221" s="25" t="s">
        <v>1833</v>
      </c>
    </row>
    <row r="7222" spans="1:15">
      <c r="A7222" s="25" t="s">
        <v>182</v>
      </c>
      <c r="B7222" t="s">
        <v>219</v>
      </c>
      <c r="C7222" t="s">
        <v>181</v>
      </c>
      <c r="D7222" t="s">
        <v>188</v>
      </c>
      <c r="E7222" t="s">
        <v>1822</v>
      </c>
      <c r="F7222" t="s">
        <v>241</v>
      </c>
      <c r="G7222" t="s">
        <v>1823</v>
      </c>
      <c r="H7222" t="s">
        <v>1824</v>
      </c>
      <c r="I7222" t="s">
        <v>1825</v>
      </c>
      <c r="J7222" t="s">
        <v>269</v>
      </c>
      <c r="K7222" t="s">
        <v>243</v>
      </c>
      <c r="L7222" t="s">
        <v>1826</v>
      </c>
      <c r="M7222" t="s">
        <v>1827</v>
      </c>
      <c r="N7222" t="s">
        <v>1828</v>
      </c>
      <c r="O7222" t="s">
        <v>1829</v>
      </c>
    </row>
    <row r="7223" spans="1:15">
      <c r="A7223" s="25" t="s">
        <v>198</v>
      </c>
      <c r="B7223">
        <v>1405</v>
      </c>
      <c r="C7223" t="s">
        <v>189</v>
      </c>
      <c r="D7223">
        <v>5340</v>
      </c>
      <c r="E7223" s="1">
        <v>5.0000000000000001E-4</v>
      </c>
      <c r="F7223" s="1">
        <v>1.5E-3</v>
      </c>
      <c r="H7223" s="1">
        <v>2.3999999999999998E-3</v>
      </c>
      <c r="I7223" s="1">
        <v>2.9999999999999997E-4</v>
      </c>
      <c r="J7223" s="1">
        <v>2.0000000000000001E-4</v>
      </c>
      <c r="K7223" s="1">
        <v>2.9999999999999997E-4</v>
      </c>
      <c r="N7223" s="1">
        <v>0.1201</v>
      </c>
      <c r="O7223" s="1">
        <v>0.87460000000000004</v>
      </c>
    </row>
    <row r="7224" spans="1:15">
      <c r="A7224" s="25" t="s">
        <v>199</v>
      </c>
      <c r="B7224">
        <v>3935</v>
      </c>
      <c r="C7224" t="s">
        <v>189</v>
      </c>
      <c r="D7224">
        <v>5340</v>
      </c>
      <c r="E7224" s="1">
        <v>1.1999999999999999E-3</v>
      </c>
      <c r="F7224" s="1">
        <v>1.6000000000000001E-3</v>
      </c>
      <c r="G7224" s="1">
        <v>1E-4</v>
      </c>
      <c r="H7224" s="1">
        <v>4.0000000000000001E-3</v>
      </c>
      <c r="I7224" s="1">
        <v>5.0000000000000001E-4</v>
      </c>
      <c r="J7224" s="1">
        <v>4.0000000000000002E-4</v>
      </c>
      <c r="K7224" s="1">
        <v>4.0000000000000002E-4</v>
      </c>
      <c r="L7224" s="1">
        <v>4.0000000000000002E-4</v>
      </c>
      <c r="M7224" s="1">
        <v>5.0000000000000001E-4</v>
      </c>
      <c r="N7224" s="1">
        <v>0.106</v>
      </c>
      <c r="O7224" s="1">
        <v>0.8851</v>
      </c>
    </row>
    <row r="7225" spans="1:15">
      <c r="A7225" s="25" t="s">
        <v>192</v>
      </c>
      <c r="B7225">
        <v>5340</v>
      </c>
      <c r="C7225" t="s">
        <v>192</v>
      </c>
      <c r="D7225">
        <v>5340</v>
      </c>
      <c r="E7225" s="1">
        <v>1E-3</v>
      </c>
      <c r="F7225" s="1">
        <v>1.6000000000000001E-3</v>
      </c>
      <c r="G7225" s="1">
        <v>1E-4</v>
      </c>
      <c r="H7225" s="1">
        <v>3.5999999999999999E-3</v>
      </c>
      <c r="I7225" s="1">
        <v>5.0000000000000001E-4</v>
      </c>
      <c r="J7225" s="1">
        <v>2.9999999999999997E-4</v>
      </c>
      <c r="K7225" s="1">
        <v>4.0000000000000002E-4</v>
      </c>
      <c r="L7225" s="1">
        <v>2.9999999999999997E-4</v>
      </c>
      <c r="M7225" s="1">
        <v>4.0000000000000002E-4</v>
      </c>
      <c r="N7225" s="1">
        <v>0.1094</v>
      </c>
      <c r="O7225" s="1">
        <v>0.88249999999999995</v>
      </c>
    </row>
    <row r="7227" spans="1:15" ht="43.5">
      <c r="A7227" s="25" t="s">
        <v>1834</v>
      </c>
    </row>
    <row r="7228" spans="1:15">
      <c r="A7228" s="25" t="s">
        <v>182</v>
      </c>
      <c r="B7228" t="s">
        <v>219</v>
      </c>
      <c r="C7228" t="s">
        <v>181</v>
      </c>
      <c r="D7228" t="s">
        <v>188</v>
      </c>
      <c r="E7228" t="s">
        <v>1822</v>
      </c>
      <c r="F7228" t="s">
        <v>241</v>
      </c>
      <c r="G7228" t="s">
        <v>1823</v>
      </c>
      <c r="H7228" t="s">
        <v>1824</v>
      </c>
      <c r="I7228" t="s">
        <v>1825</v>
      </c>
      <c r="J7228" t="s">
        <v>269</v>
      </c>
      <c r="K7228" t="s">
        <v>243</v>
      </c>
      <c r="L7228" t="s">
        <v>1826</v>
      </c>
      <c r="M7228" t="s">
        <v>1827</v>
      </c>
      <c r="N7228" t="s">
        <v>1828</v>
      </c>
      <c r="O7228" t="s">
        <v>1829</v>
      </c>
    </row>
    <row r="7229" spans="1:15">
      <c r="A7229" s="25" t="s">
        <v>201</v>
      </c>
      <c r="B7229">
        <v>515</v>
      </c>
      <c r="C7229" t="s">
        <v>189</v>
      </c>
      <c r="D7229">
        <v>5340</v>
      </c>
      <c r="F7229" s="1">
        <v>8.0000000000000004E-4</v>
      </c>
      <c r="N7229" s="1">
        <v>0.126</v>
      </c>
      <c r="O7229" s="1">
        <v>0.87329999999999997</v>
      </c>
    </row>
    <row r="7230" spans="1:15">
      <c r="A7230" s="25" t="s">
        <v>202</v>
      </c>
      <c r="B7230">
        <v>63</v>
      </c>
      <c r="C7230" t="s">
        <v>189</v>
      </c>
      <c r="D7230">
        <v>5340</v>
      </c>
      <c r="F7230" s="1">
        <v>1.11E-2</v>
      </c>
      <c r="N7230" s="1">
        <v>0.2099</v>
      </c>
      <c r="O7230" s="1">
        <v>0.77910000000000001</v>
      </c>
    </row>
    <row r="7231" spans="1:15">
      <c r="A7231" s="25" t="s">
        <v>203</v>
      </c>
      <c r="B7231">
        <v>4044</v>
      </c>
      <c r="C7231" t="s">
        <v>189</v>
      </c>
      <c r="D7231">
        <v>5340</v>
      </c>
      <c r="E7231" s="1">
        <v>1.2999999999999999E-3</v>
      </c>
      <c r="F7231" s="1">
        <v>1.6999999999999999E-3</v>
      </c>
      <c r="G7231" s="1">
        <v>1E-4</v>
      </c>
      <c r="H7231" s="1">
        <v>4.3E-3</v>
      </c>
      <c r="I7231" s="1">
        <v>5.9999999999999995E-4</v>
      </c>
      <c r="J7231" s="1">
        <v>2.9999999999999997E-4</v>
      </c>
      <c r="K7231" s="1">
        <v>4.0000000000000002E-4</v>
      </c>
      <c r="L7231" s="1">
        <v>4.0000000000000002E-4</v>
      </c>
      <c r="M7231" s="1">
        <v>5.0000000000000001E-4</v>
      </c>
      <c r="N7231" s="1">
        <v>0.106</v>
      </c>
      <c r="O7231" s="1">
        <v>0.88439999999999996</v>
      </c>
    </row>
    <row r="7232" spans="1:15">
      <c r="A7232" s="25" t="s">
        <v>204</v>
      </c>
      <c r="B7232">
        <v>14</v>
      </c>
      <c r="C7232" t="s">
        <v>189</v>
      </c>
      <c r="D7232">
        <v>5340</v>
      </c>
      <c r="O7232" s="1">
        <v>1</v>
      </c>
    </row>
    <row r="7233" spans="1:15">
      <c r="A7233" s="25" t="s">
        <v>205</v>
      </c>
      <c r="B7233">
        <v>704</v>
      </c>
      <c r="C7233" t="s">
        <v>189</v>
      </c>
      <c r="D7233">
        <v>5340</v>
      </c>
      <c r="F7233" s="1">
        <v>1.1000000000000001E-3</v>
      </c>
      <c r="H7233" s="1">
        <v>2.5000000000000001E-3</v>
      </c>
      <c r="J7233" s="1">
        <v>5.0000000000000001E-4</v>
      </c>
      <c r="K7233" s="1">
        <v>4.0000000000000002E-4</v>
      </c>
      <c r="N7233" s="1">
        <v>0.11269999999999999</v>
      </c>
      <c r="O7233" s="1">
        <v>0.88270000000000004</v>
      </c>
    </row>
    <row r="7234" spans="1:15">
      <c r="A7234" s="25" t="s">
        <v>192</v>
      </c>
      <c r="B7234">
        <v>5340</v>
      </c>
      <c r="C7234" t="s">
        <v>192</v>
      </c>
      <c r="D7234">
        <v>5340</v>
      </c>
      <c r="E7234" s="1">
        <v>1E-3</v>
      </c>
      <c r="F7234" s="1">
        <v>1.6000000000000001E-3</v>
      </c>
      <c r="G7234" s="1">
        <v>1E-4</v>
      </c>
      <c r="H7234" s="1">
        <v>3.5999999999999999E-3</v>
      </c>
      <c r="I7234" s="1">
        <v>5.0000000000000001E-4</v>
      </c>
      <c r="J7234" s="1">
        <v>2.9999999999999997E-4</v>
      </c>
      <c r="K7234" s="1">
        <v>4.0000000000000002E-4</v>
      </c>
      <c r="L7234" s="1">
        <v>2.9999999999999997E-4</v>
      </c>
      <c r="M7234" s="1">
        <v>4.0000000000000002E-4</v>
      </c>
      <c r="N7234" s="1">
        <v>0.1094</v>
      </c>
      <c r="O7234" s="1">
        <v>0.88249999999999995</v>
      </c>
    </row>
    <row r="7236" spans="1:15" ht="43.5">
      <c r="A7236" s="25" t="s">
        <v>1835</v>
      </c>
    </row>
    <row r="7237" spans="1:15">
      <c r="A7237" s="25" t="s">
        <v>182</v>
      </c>
      <c r="B7237" t="s">
        <v>219</v>
      </c>
      <c r="C7237" t="s">
        <v>181</v>
      </c>
      <c r="D7237" t="s">
        <v>188</v>
      </c>
      <c r="E7237" t="s">
        <v>1822</v>
      </c>
      <c r="F7237" t="s">
        <v>241</v>
      </c>
      <c r="G7237" t="s">
        <v>1823</v>
      </c>
      <c r="H7237" t="s">
        <v>1824</v>
      </c>
      <c r="I7237" t="s">
        <v>1825</v>
      </c>
      <c r="J7237" t="s">
        <v>269</v>
      </c>
      <c r="K7237" t="s">
        <v>243</v>
      </c>
      <c r="L7237" t="s">
        <v>1826</v>
      </c>
      <c r="M7237" t="s">
        <v>1827</v>
      </c>
      <c r="N7237" t="s">
        <v>1828</v>
      </c>
      <c r="O7237" t="s">
        <v>1829</v>
      </c>
    </row>
    <row r="7238" spans="1:15">
      <c r="A7238" s="25" t="s">
        <v>207</v>
      </c>
      <c r="B7238">
        <v>3627</v>
      </c>
      <c r="C7238" t="s">
        <v>189</v>
      </c>
      <c r="D7238">
        <v>5340</v>
      </c>
      <c r="E7238" s="1">
        <v>8.0000000000000004E-4</v>
      </c>
      <c r="F7238" s="1">
        <v>1.9E-3</v>
      </c>
      <c r="G7238" s="1">
        <v>1E-4</v>
      </c>
      <c r="H7238" s="1">
        <v>3.5000000000000001E-3</v>
      </c>
      <c r="I7238" s="1">
        <v>5.9999999999999995E-4</v>
      </c>
      <c r="J7238" s="1">
        <v>5.0000000000000001E-4</v>
      </c>
      <c r="K7238" s="1">
        <v>2.9999999999999997E-4</v>
      </c>
      <c r="L7238" s="1">
        <v>4.0000000000000002E-4</v>
      </c>
      <c r="M7238" s="1">
        <v>1E-4</v>
      </c>
      <c r="N7238" s="1">
        <v>0.1138</v>
      </c>
      <c r="O7238" s="1">
        <v>0.878</v>
      </c>
    </row>
    <row r="7239" spans="1:15">
      <c r="A7239" s="25" t="s">
        <v>208</v>
      </c>
      <c r="B7239">
        <v>1210</v>
      </c>
      <c r="C7239" t="s">
        <v>189</v>
      </c>
      <c r="D7239">
        <v>5340</v>
      </c>
      <c r="E7239" s="1">
        <v>5.0000000000000001E-4</v>
      </c>
      <c r="F7239" s="1">
        <v>8.0000000000000004E-4</v>
      </c>
      <c r="H7239" s="1">
        <v>5.1000000000000004E-3</v>
      </c>
      <c r="K7239" s="1">
        <v>8.0000000000000004E-4</v>
      </c>
      <c r="N7239" s="1">
        <v>0.12740000000000001</v>
      </c>
      <c r="O7239" s="1">
        <v>0.86539999999999995</v>
      </c>
    </row>
    <row r="7240" spans="1:15">
      <c r="A7240" s="25" t="s">
        <v>209</v>
      </c>
      <c r="B7240">
        <v>503</v>
      </c>
      <c r="C7240" t="s">
        <v>189</v>
      </c>
      <c r="D7240">
        <v>5340</v>
      </c>
      <c r="E7240" s="1">
        <v>4.1999999999999997E-3</v>
      </c>
      <c r="F7240" s="1">
        <v>5.9999999999999995E-4</v>
      </c>
      <c r="I7240" s="1">
        <v>1E-3</v>
      </c>
      <c r="M7240" s="1">
        <v>3.5999999999999999E-3</v>
      </c>
      <c r="N7240" s="1">
        <v>2.1700000000000001E-2</v>
      </c>
      <c r="O7240" s="1">
        <v>0.96899999999999997</v>
      </c>
    </row>
    <row r="7241" spans="1:15">
      <c r="A7241" s="25" t="s">
        <v>192</v>
      </c>
      <c r="B7241">
        <v>5340</v>
      </c>
      <c r="C7241" t="s">
        <v>192</v>
      </c>
      <c r="D7241">
        <v>5340</v>
      </c>
      <c r="E7241" s="1">
        <v>1E-3</v>
      </c>
      <c r="F7241" s="1">
        <v>1.6000000000000001E-3</v>
      </c>
      <c r="G7241" s="1">
        <v>1E-4</v>
      </c>
      <c r="H7241" s="1">
        <v>3.5999999999999999E-3</v>
      </c>
      <c r="I7241" s="1">
        <v>5.0000000000000001E-4</v>
      </c>
      <c r="J7241" s="1">
        <v>2.9999999999999997E-4</v>
      </c>
      <c r="K7241" s="1">
        <v>4.0000000000000002E-4</v>
      </c>
      <c r="L7241" s="1">
        <v>2.9999999999999997E-4</v>
      </c>
      <c r="M7241" s="1">
        <v>4.0000000000000002E-4</v>
      </c>
      <c r="N7241" s="1">
        <v>0.1094</v>
      </c>
      <c r="O7241" s="1">
        <v>0.88249999999999995</v>
      </c>
    </row>
    <row r="7243" spans="1:15" ht="43.5">
      <c r="A7243" s="25" t="s">
        <v>1836</v>
      </c>
    </row>
    <row r="7244" spans="1:15">
      <c r="A7244" s="25" t="s">
        <v>182</v>
      </c>
      <c r="B7244" t="s">
        <v>219</v>
      </c>
      <c r="C7244" t="s">
        <v>181</v>
      </c>
      <c r="D7244" t="s">
        <v>188</v>
      </c>
      <c r="E7244" t="s">
        <v>1822</v>
      </c>
      <c r="F7244" t="s">
        <v>241</v>
      </c>
      <c r="G7244" t="s">
        <v>1823</v>
      </c>
      <c r="H7244" t="s">
        <v>1824</v>
      </c>
      <c r="I7244" t="s">
        <v>1825</v>
      </c>
      <c r="J7244" t="s">
        <v>269</v>
      </c>
      <c r="K7244" t="s">
        <v>243</v>
      </c>
      <c r="L7244" t="s">
        <v>1826</v>
      </c>
      <c r="M7244" t="s">
        <v>1827</v>
      </c>
      <c r="N7244" t="s">
        <v>1828</v>
      </c>
      <c r="O7244" t="s">
        <v>1829</v>
      </c>
    </row>
    <row r="7245" spans="1:15">
      <c r="A7245" s="25" t="s">
        <v>211</v>
      </c>
      <c r="B7245">
        <v>2430</v>
      </c>
      <c r="C7245" t="s">
        <v>189</v>
      </c>
      <c r="D7245">
        <v>5340</v>
      </c>
      <c r="E7245" s="1">
        <v>1.6000000000000001E-3</v>
      </c>
      <c r="F7245" s="1">
        <v>2.0999999999999999E-3</v>
      </c>
      <c r="H7245" s="1">
        <v>3.3E-3</v>
      </c>
      <c r="I7245" s="1">
        <v>5.0000000000000001E-4</v>
      </c>
      <c r="K7245" s="1">
        <v>4.0000000000000002E-4</v>
      </c>
      <c r="L7245" s="1">
        <v>5.9999999999999995E-4</v>
      </c>
      <c r="M7245" s="1">
        <v>1E-4</v>
      </c>
      <c r="N7245" s="1">
        <v>9.0499999999999997E-2</v>
      </c>
      <c r="O7245" s="1">
        <v>0.90069999999999995</v>
      </c>
    </row>
    <row r="7246" spans="1:15">
      <c r="A7246" s="25" t="s">
        <v>212</v>
      </c>
      <c r="B7246">
        <v>1950</v>
      </c>
      <c r="C7246" t="s">
        <v>189</v>
      </c>
      <c r="D7246">
        <v>5340</v>
      </c>
      <c r="E7246" s="1">
        <v>5.0000000000000001E-4</v>
      </c>
      <c r="F7246" s="1">
        <v>8.9999999999999998E-4</v>
      </c>
      <c r="G7246" s="1">
        <v>2.0000000000000001E-4</v>
      </c>
      <c r="H7246" s="1">
        <v>2.5000000000000001E-3</v>
      </c>
      <c r="I7246" s="1">
        <v>5.0000000000000001E-4</v>
      </c>
      <c r="J7246" s="1">
        <v>5.0000000000000001E-4</v>
      </c>
      <c r="K7246" s="1">
        <v>5.0000000000000001E-4</v>
      </c>
      <c r="N7246" s="1">
        <v>0.1106</v>
      </c>
      <c r="O7246" s="1">
        <v>0.88380000000000003</v>
      </c>
    </row>
    <row r="7247" spans="1:15">
      <c r="A7247" s="25" t="s">
        <v>213</v>
      </c>
      <c r="B7247">
        <v>960</v>
      </c>
      <c r="C7247" t="s">
        <v>189</v>
      </c>
      <c r="D7247">
        <v>5340</v>
      </c>
      <c r="E7247" s="1">
        <v>5.9999999999999995E-4</v>
      </c>
      <c r="F7247" s="1">
        <v>1.4E-3</v>
      </c>
      <c r="H7247" s="1">
        <v>6.0000000000000001E-3</v>
      </c>
      <c r="I7247" s="1">
        <v>4.0000000000000002E-4</v>
      </c>
      <c r="J7247" s="1">
        <v>8.0000000000000004E-4</v>
      </c>
      <c r="K7247" s="1">
        <v>2.0000000000000001E-4</v>
      </c>
      <c r="M7247" s="1">
        <v>1.5E-3</v>
      </c>
      <c r="N7247" s="1">
        <v>0.15040000000000001</v>
      </c>
      <c r="O7247" s="1">
        <v>0.83860000000000001</v>
      </c>
    </row>
    <row r="7248" spans="1:15">
      <c r="A7248" s="25" t="s">
        <v>192</v>
      </c>
      <c r="B7248">
        <v>5340</v>
      </c>
      <c r="C7248" t="s">
        <v>192</v>
      </c>
      <c r="D7248">
        <v>5340</v>
      </c>
      <c r="E7248" s="1">
        <v>1E-3</v>
      </c>
      <c r="F7248" s="1">
        <v>1.6000000000000001E-3</v>
      </c>
      <c r="G7248" s="1">
        <v>1E-4</v>
      </c>
      <c r="H7248" s="1">
        <v>3.5999999999999999E-3</v>
      </c>
      <c r="I7248" s="1">
        <v>5.0000000000000001E-4</v>
      </c>
      <c r="J7248" s="1">
        <v>2.9999999999999997E-4</v>
      </c>
      <c r="K7248" s="1">
        <v>4.0000000000000002E-4</v>
      </c>
      <c r="L7248" s="1">
        <v>2.9999999999999997E-4</v>
      </c>
      <c r="M7248" s="1">
        <v>4.0000000000000002E-4</v>
      </c>
      <c r="N7248" s="1">
        <v>0.1094</v>
      </c>
      <c r="O7248" s="1">
        <v>0.88249999999999995</v>
      </c>
    </row>
    <row r="7250" spans="1:13" ht="43.5">
      <c r="A7250" s="25" t="s">
        <v>1837</v>
      </c>
    </row>
    <row r="7251" spans="1:13">
      <c r="A7251" s="25" t="s">
        <v>182</v>
      </c>
      <c r="B7251" t="s">
        <v>219</v>
      </c>
      <c r="C7251" t="s">
        <v>181</v>
      </c>
      <c r="D7251" t="s">
        <v>188</v>
      </c>
      <c r="E7251" t="s">
        <v>241</v>
      </c>
      <c r="F7251" t="s">
        <v>220</v>
      </c>
      <c r="G7251" t="s">
        <v>1838</v>
      </c>
      <c r="H7251" t="s">
        <v>243</v>
      </c>
      <c r="I7251" t="s">
        <v>1839</v>
      </c>
      <c r="J7251" t="s">
        <v>1840</v>
      </c>
      <c r="K7251" t="s">
        <v>1841</v>
      </c>
      <c r="L7251" t="s">
        <v>1842</v>
      </c>
      <c r="M7251" t="s">
        <v>1843</v>
      </c>
    </row>
    <row r="7252" spans="1:13">
      <c r="A7252" s="25" t="s">
        <v>215</v>
      </c>
      <c r="B7252">
        <v>3298</v>
      </c>
      <c r="C7252" t="s">
        <v>189</v>
      </c>
      <c r="D7252">
        <v>10394</v>
      </c>
      <c r="E7252" s="1">
        <v>1.0999999999999999E-2</v>
      </c>
      <c r="F7252" s="1">
        <v>0.92859999999999998</v>
      </c>
      <c r="G7252" s="1">
        <v>6.4999999999999997E-3</v>
      </c>
      <c r="H7252" s="1">
        <v>3.2000000000000002E-3</v>
      </c>
      <c r="I7252" s="1">
        <v>4.5999999999999999E-3</v>
      </c>
      <c r="J7252" s="1">
        <v>6.4999999999999997E-3</v>
      </c>
      <c r="K7252" s="1">
        <v>3.6700000000000003E-2</v>
      </c>
      <c r="L7252" s="1">
        <v>2.8999999999999998E-3</v>
      </c>
      <c r="M7252" s="1">
        <v>2E-3</v>
      </c>
    </row>
    <row r="7253" spans="1:13">
      <c r="A7253" s="25" t="s">
        <v>216</v>
      </c>
      <c r="B7253">
        <v>2</v>
      </c>
      <c r="C7253" t="s">
        <v>189</v>
      </c>
      <c r="D7253">
        <v>10394</v>
      </c>
      <c r="F7253" s="1">
        <v>0.65969999999999995</v>
      </c>
      <c r="K7253" s="1">
        <v>0.34029999999999999</v>
      </c>
    </row>
    <row r="7254" spans="1:13">
      <c r="A7254" s="25" t="s">
        <v>217</v>
      </c>
      <c r="B7254">
        <v>7094</v>
      </c>
      <c r="C7254" t="s">
        <v>189</v>
      </c>
      <c r="D7254">
        <v>10394</v>
      </c>
      <c r="E7254" s="1">
        <v>3.0000000000000001E-3</v>
      </c>
      <c r="F7254" s="1">
        <v>0.91339999999999999</v>
      </c>
      <c r="G7254" s="1">
        <v>8.8000000000000005E-3</v>
      </c>
      <c r="H7254" s="1">
        <v>1.9E-3</v>
      </c>
      <c r="I7254" s="1">
        <v>2E-3</v>
      </c>
      <c r="J7254" s="1">
        <v>6.6E-3</v>
      </c>
      <c r="K7254" s="1">
        <v>0.06</v>
      </c>
      <c r="L7254" s="1">
        <v>6.1999999999999998E-3</v>
      </c>
      <c r="M7254" s="1">
        <v>2.2000000000000001E-3</v>
      </c>
    </row>
    <row r="7255" spans="1:13">
      <c r="A7255" s="25" t="s">
        <v>192</v>
      </c>
      <c r="B7255">
        <v>10394</v>
      </c>
      <c r="C7255" t="s">
        <v>192</v>
      </c>
      <c r="D7255">
        <v>10394</v>
      </c>
      <c r="E7255" s="1">
        <v>5.7000000000000002E-3</v>
      </c>
      <c r="F7255" s="1">
        <v>0.91849999999999998</v>
      </c>
      <c r="G7255" s="1">
        <v>8.0000000000000002E-3</v>
      </c>
      <c r="H7255" s="1">
        <v>2.3E-3</v>
      </c>
      <c r="I7255" s="1">
        <v>2.8999999999999998E-3</v>
      </c>
      <c r="J7255" s="1">
        <v>6.4999999999999997E-3</v>
      </c>
      <c r="K7255" s="1">
        <v>5.21E-2</v>
      </c>
      <c r="L7255" s="1">
        <v>5.1000000000000004E-3</v>
      </c>
      <c r="M7255" s="1">
        <v>2.0999999999999999E-3</v>
      </c>
    </row>
    <row r="7257" spans="1:13" ht="43.5">
      <c r="A7257" s="25" t="s">
        <v>1844</v>
      </c>
    </row>
    <row r="7258" spans="1:13">
      <c r="A7258" s="25" t="s">
        <v>182</v>
      </c>
      <c r="B7258" t="s">
        <v>219</v>
      </c>
      <c r="C7258" t="s">
        <v>181</v>
      </c>
      <c r="D7258" t="s">
        <v>188</v>
      </c>
      <c r="E7258" t="s">
        <v>241</v>
      </c>
      <c r="F7258" t="s">
        <v>220</v>
      </c>
      <c r="G7258" t="s">
        <v>1838</v>
      </c>
      <c r="H7258" t="s">
        <v>243</v>
      </c>
      <c r="I7258" t="s">
        <v>1839</v>
      </c>
      <c r="J7258" t="s">
        <v>1840</v>
      </c>
      <c r="K7258" t="s">
        <v>1841</v>
      </c>
      <c r="L7258" t="s">
        <v>1842</v>
      </c>
      <c r="M7258" t="s">
        <v>1843</v>
      </c>
    </row>
    <row r="7259" spans="1:13">
      <c r="A7259" s="25" t="s">
        <v>223</v>
      </c>
      <c r="B7259">
        <v>880</v>
      </c>
      <c r="C7259" t="s">
        <v>189</v>
      </c>
      <c r="D7259">
        <v>10394</v>
      </c>
      <c r="E7259" s="1">
        <v>8.6999999999999994E-3</v>
      </c>
      <c r="F7259" s="1">
        <v>0.90300000000000002</v>
      </c>
      <c r="G7259" s="1">
        <v>8.3000000000000001E-3</v>
      </c>
      <c r="H7259" s="1">
        <v>2.2000000000000001E-3</v>
      </c>
      <c r="I7259" s="1">
        <v>3.8999999999999998E-3</v>
      </c>
      <c r="K7259" s="1">
        <v>7.0400000000000004E-2</v>
      </c>
      <c r="L7259" s="1">
        <v>3.0999999999999999E-3</v>
      </c>
      <c r="M7259" s="1">
        <v>1.2999999999999999E-3</v>
      </c>
    </row>
    <row r="7260" spans="1:13">
      <c r="A7260" s="25" t="s">
        <v>224</v>
      </c>
      <c r="B7260">
        <v>2862</v>
      </c>
      <c r="C7260" t="s">
        <v>189</v>
      </c>
      <c r="D7260">
        <v>10394</v>
      </c>
      <c r="E7260" s="1">
        <v>5.1000000000000004E-3</v>
      </c>
      <c r="F7260" s="1">
        <v>0.88690000000000002</v>
      </c>
      <c r="G7260" s="1">
        <v>8.2000000000000007E-3</v>
      </c>
      <c r="H7260" s="1">
        <v>2.3E-3</v>
      </c>
      <c r="I7260" s="1">
        <v>1.6000000000000001E-3</v>
      </c>
      <c r="J7260" s="1">
        <v>5.9999999999999995E-4</v>
      </c>
      <c r="K7260" s="1">
        <v>8.4099999999999994E-2</v>
      </c>
      <c r="L7260" s="1">
        <v>1.12E-2</v>
      </c>
      <c r="M7260" s="1">
        <v>3.3999999999999998E-3</v>
      </c>
    </row>
    <row r="7261" spans="1:13">
      <c r="A7261" s="25" t="s">
        <v>225</v>
      </c>
      <c r="B7261">
        <v>2805</v>
      </c>
      <c r="C7261" t="s">
        <v>189</v>
      </c>
      <c r="D7261">
        <v>10394</v>
      </c>
      <c r="E7261" s="1">
        <v>5.1000000000000004E-3</v>
      </c>
      <c r="F7261" s="1">
        <v>0.90659999999999996</v>
      </c>
      <c r="G7261" s="1">
        <v>7.7000000000000002E-3</v>
      </c>
      <c r="H7261" s="1">
        <v>3.3999999999999998E-3</v>
      </c>
      <c r="I7261" s="1">
        <v>1.5E-3</v>
      </c>
      <c r="J7261" s="1">
        <v>3.2000000000000002E-3</v>
      </c>
      <c r="K7261" s="1">
        <v>6.9599999999999995E-2</v>
      </c>
      <c r="L7261" s="1">
        <v>5.4999999999999997E-3</v>
      </c>
      <c r="M7261" s="1">
        <v>2.7000000000000001E-3</v>
      </c>
    </row>
    <row r="7262" spans="1:13">
      <c r="A7262" s="25" t="s">
        <v>226</v>
      </c>
      <c r="B7262">
        <v>3847</v>
      </c>
      <c r="C7262" t="s">
        <v>189</v>
      </c>
      <c r="D7262">
        <v>10394</v>
      </c>
      <c r="E7262" s="1">
        <v>5.5999999999999999E-3</v>
      </c>
      <c r="F7262" s="1">
        <v>0.95399999999999996</v>
      </c>
      <c r="G7262" s="1">
        <v>7.9000000000000008E-3</v>
      </c>
      <c r="H7262" s="1">
        <v>1.8E-3</v>
      </c>
      <c r="I7262" s="1">
        <v>4.4999999999999997E-3</v>
      </c>
      <c r="J7262" s="1">
        <v>1.5100000000000001E-2</v>
      </c>
      <c r="K7262" s="1">
        <v>1.17E-2</v>
      </c>
      <c r="L7262" s="1">
        <v>1.1000000000000001E-3</v>
      </c>
      <c r="M7262" s="1">
        <v>1.1000000000000001E-3</v>
      </c>
    </row>
    <row r="7263" spans="1:13">
      <c r="A7263" s="25" t="s">
        <v>192</v>
      </c>
      <c r="B7263">
        <v>10394</v>
      </c>
      <c r="C7263" t="s">
        <v>192</v>
      </c>
      <c r="D7263">
        <v>10394</v>
      </c>
      <c r="E7263" s="1">
        <v>5.7000000000000002E-3</v>
      </c>
      <c r="F7263" s="1">
        <v>0.91849999999999998</v>
      </c>
      <c r="G7263" s="1">
        <v>8.0000000000000002E-3</v>
      </c>
      <c r="H7263" s="1">
        <v>2.3E-3</v>
      </c>
      <c r="I7263" s="1">
        <v>2.8999999999999998E-3</v>
      </c>
      <c r="J7263" s="1">
        <v>6.4999999999999997E-3</v>
      </c>
      <c r="K7263" s="1">
        <v>5.21E-2</v>
      </c>
      <c r="L7263" s="1">
        <v>5.1000000000000004E-3</v>
      </c>
      <c r="M7263" s="1">
        <v>2.0999999999999999E-3</v>
      </c>
    </row>
    <row r="7265" spans="1:13" ht="43.5">
      <c r="A7265" s="25" t="s">
        <v>1845</v>
      </c>
    </row>
    <row r="7266" spans="1:13">
      <c r="A7266" s="25" t="s">
        <v>182</v>
      </c>
      <c r="B7266" t="s">
        <v>219</v>
      </c>
      <c r="C7266" t="s">
        <v>181</v>
      </c>
      <c r="D7266" t="s">
        <v>188</v>
      </c>
      <c r="E7266" t="s">
        <v>241</v>
      </c>
      <c r="F7266" t="s">
        <v>220</v>
      </c>
      <c r="G7266" t="s">
        <v>1838</v>
      </c>
      <c r="H7266" t="s">
        <v>243</v>
      </c>
      <c r="I7266" t="s">
        <v>1839</v>
      </c>
      <c r="J7266" t="s">
        <v>1840</v>
      </c>
      <c r="K7266" t="s">
        <v>1841</v>
      </c>
      <c r="L7266" t="s">
        <v>1842</v>
      </c>
      <c r="M7266" t="s">
        <v>1843</v>
      </c>
    </row>
    <row r="7267" spans="1:13">
      <c r="A7267" s="25" t="s">
        <v>190</v>
      </c>
      <c r="B7267">
        <v>4886</v>
      </c>
      <c r="C7267" t="s">
        <v>189</v>
      </c>
      <c r="D7267">
        <v>10394</v>
      </c>
      <c r="E7267" s="1">
        <v>5.8999999999999999E-3</v>
      </c>
      <c r="F7267" s="1">
        <v>0.93600000000000005</v>
      </c>
      <c r="G7267" s="1">
        <v>7.1000000000000004E-3</v>
      </c>
      <c r="H7267" s="1">
        <v>2.5999999999999999E-3</v>
      </c>
      <c r="I7267" s="1">
        <v>3.8E-3</v>
      </c>
      <c r="J7267" s="1">
        <v>8.3000000000000001E-3</v>
      </c>
      <c r="K7267" s="1">
        <v>3.0599999999999999E-2</v>
      </c>
      <c r="L7267" s="1">
        <v>6.4000000000000003E-3</v>
      </c>
      <c r="M7267" s="1">
        <v>1.8E-3</v>
      </c>
    </row>
    <row r="7268" spans="1:13">
      <c r="A7268" s="25" t="s">
        <v>191</v>
      </c>
      <c r="B7268">
        <v>5451</v>
      </c>
      <c r="C7268" t="s">
        <v>189</v>
      </c>
      <c r="D7268">
        <v>10394</v>
      </c>
      <c r="E7268" s="1">
        <v>5.5999999999999999E-3</v>
      </c>
      <c r="F7268" s="1">
        <v>0.90800000000000003</v>
      </c>
      <c r="G7268" s="1">
        <v>8.5000000000000006E-3</v>
      </c>
      <c r="H7268" s="1">
        <v>2.2000000000000001E-3</v>
      </c>
      <c r="I7268" s="1">
        <v>2.3E-3</v>
      </c>
      <c r="J7268" s="1">
        <v>5.4999999999999997E-3</v>
      </c>
      <c r="K7268" s="1">
        <v>6.5100000000000005E-2</v>
      </c>
      <c r="L7268" s="1">
        <v>4.1999999999999997E-3</v>
      </c>
      <c r="M7268" s="1">
        <v>2.3E-3</v>
      </c>
    </row>
    <row r="7269" spans="1:13">
      <c r="A7269" s="25" t="s">
        <v>192</v>
      </c>
      <c r="B7269">
        <v>10394</v>
      </c>
      <c r="C7269" t="s">
        <v>192</v>
      </c>
      <c r="D7269">
        <v>10394</v>
      </c>
      <c r="E7269" s="1">
        <v>5.7000000000000002E-3</v>
      </c>
      <c r="F7269" s="1">
        <v>0.91849999999999998</v>
      </c>
      <c r="G7269" s="1">
        <v>8.0000000000000002E-3</v>
      </c>
      <c r="H7269" s="1">
        <v>2.3E-3</v>
      </c>
      <c r="I7269" s="1">
        <v>2.8999999999999998E-3</v>
      </c>
      <c r="J7269" s="1">
        <v>6.4999999999999997E-3</v>
      </c>
      <c r="K7269" s="1">
        <v>5.21E-2</v>
      </c>
      <c r="L7269" s="1">
        <v>5.1000000000000004E-3</v>
      </c>
      <c r="M7269" s="1">
        <v>2.0999999999999999E-3</v>
      </c>
    </row>
    <row r="7271" spans="1:13" ht="57.95">
      <c r="A7271" s="25" t="s">
        <v>1846</v>
      </c>
    </row>
    <row r="7272" spans="1:13">
      <c r="A7272" s="25" t="s">
        <v>182</v>
      </c>
      <c r="B7272" t="s">
        <v>219</v>
      </c>
      <c r="C7272" t="s">
        <v>181</v>
      </c>
      <c r="D7272" t="s">
        <v>188</v>
      </c>
      <c r="E7272" t="s">
        <v>241</v>
      </c>
      <c r="F7272" t="s">
        <v>220</v>
      </c>
      <c r="G7272" t="s">
        <v>1838</v>
      </c>
      <c r="H7272" t="s">
        <v>243</v>
      </c>
      <c r="I7272" t="s">
        <v>1839</v>
      </c>
      <c r="J7272" t="s">
        <v>1840</v>
      </c>
      <c r="K7272" t="s">
        <v>1841</v>
      </c>
      <c r="L7272" t="s">
        <v>1842</v>
      </c>
      <c r="M7272" t="s">
        <v>1843</v>
      </c>
    </row>
    <row r="7273" spans="1:13" ht="29.1">
      <c r="A7273" s="25" t="s">
        <v>194</v>
      </c>
      <c r="B7273">
        <v>5938</v>
      </c>
      <c r="C7273" t="s">
        <v>189</v>
      </c>
      <c r="D7273">
        <v>10394</v>
      </c>
      <c r="E7273" s="1">
        <v>4.1000000000000003E-3</v>
      </c>
      <c r="F7273" s="1">
        <v>0.93669999999999998</v>
      </c>
      <c r="G7273" s="1">
        <v>8.3000000000000001E-3</v>
      </c>
      <c r="H7273" s="1">
        <v>1.9E-3</v>
      </c>
      <c r="I7273" s="1">
        <v>1.8E-3</v>
      </c>
      <c r="J7273" s="1">
        <v>7.1999999999999998E-3</v>
      </c>
      <c r="K7273" s="1">
        <v>3.5200000000000002E-2</v>
      </c>
      <c r="L7273" s="1">
        <v>4.8999999999999998E-3</v>
      </c>
      <c r="M7273" s="1">
        <v>2E-3</v>
      </c>
    </row>
    <row r="7274" spans="1:13" ht="29.1">
      <c r="A7274" s="25" t="s">
        <v>195</v>
      </c>
      <c r="B7274">
        <v>2692</v>
      </c>
      <c r="C7274" t="s">
        <v>189</v>
      </c>
      <c r="D7274">
        <v>10394</v>
      </c>
      <c r="E7274" s="1">
        <v>1.06E-2</v>
      </c>
      <c r="F7274" s="1">
        <v>0.89610000000000001</v>
      </c>
      <c r="G7274" s="1">
        <v>8.5000000000000006E-3</v>
      </c>
      <c r="H7274" s="1">
        <v>3.5999999999999999E-3</v>
      </c>
      <c r="I7274" s="1">
        <v>5.1000000000000004E-3</v>
      </c>
      <c r="J7274" s="1">
        <v>3.0999999999999999E-3</v>
      </c>
      <c r="K7274" s="1">
        <v>7.3099999999999998E-2</v>
      </c>
      <c r="L7274" s="1">
        <v>4.7000000000000002E-3</v>
      </c>
      <c r="M7274" s="1">
        <v>5.0000000000000001E-4</v>
      </c>
    </row>
    <row r="7275" spans="1:13" ht="29.1">
      <c r="A7275" s="25" t="s">
        <v>196</v>
      </c>
      <c r="B7275">
        <v>1707</v>
      </c>
      <c r="C7275" t="s">
        <v>189</v>
      </c>
      <c r="D7275">
        <v>10394</v>
      </c>
      <c r="E7275" s="1">
        <v>8.0999999999999996E-3</v>
      </c>
      <c r="F7275" s="1">
        <v>0.82740000000000002</v>
      </c>
      <c r="G7275" s="1">
        <v>4.3E-3</v>
      </c>
      <c r="H7275" s="1">
        <v>2.8999999999999998E-3</v>
      </c>
      <c r="I7275" s="1">
        <v>6.7000000000000002E-3</v>
      </c>
      <c r="J7275" s="1">
        <v>8.8999999999999999E-3</v>
      </c>
      <c r="K7275" s="1">
        <v>0.1358</v>
      </c>
      <c r="L7275" s="1">
        <v>7.0000000000000001E-3</v>
      </c>
      <c r="M7275" s="1">
        <v>6.1000000000000004E-3</v>
      </c>
    </row>
    <row r="7276" spans="1:13">
      <c r="A7276" s="25" t="s">
        <v>192</v>
      </c>
      <c r="B7276">
        <v>10394</v>
      </c>
      <c r="C7276" t="s">
        <v>192</v>
      </c>
      <c r="D7276">
        <v>10394</v>
      </c>
      <c r="E7276" s="1">
        <v>5.7000000000000002E-3</v>
      </c>
      <c r="F7276" s="1">
        <v>0.91849999999999998</v>
      </c>
      <c r="G7276" s="1">
        <v>8.0000000000000002E-3</v>
      </c>
      <c r="H7276" s="1">
        <v>2.3E-3</v>
      </c>
      <c r="I7276" s="1">
        <v>2.8999999999999998E-3</v>
      </c>
      <c r="J7276" s="1">
        <v>6.4999999999999997E-3</v>
      </c>
      <c r="K7276" s="1">
        <v>5.21E-2</v>
      </c>
      <c r="L7276" s="1">
        <v>5.1000000000000004E-3</v>
      </c>
      <c r="M7276" s="1">
        <v>2.0999999999999999E-3</v>
      </c>
    </row>
    <row r="7278" spans="1:13" ht="43.5">
      <c r="A7278" s="25" t="s">
        <v>1847</v>
      </c>
    </row>
    <row r="7279" spans="1:13">
      <c r="A7279" s="25" t="s">
        <v>182</v>
      </c>
      <c r="B7279" t="s">
        <v>219</v>
      </c>
      <c r="C7279" t="s">
        <v>181</v>
      </c>
      <c r="D7279" t="s">
        <v>188</v>
      </c>
      <c r="E7279" t="s">
        <v>241</v>
      </c>
      <c r="F7279" t="s">
        <v>220</v>
      </c>
      <c r="G7279" t="s">
        <v>1838</v>
      </c>
      <c r="H7279" t="s">
        <v>243</v>
      </c>
      <c r="I7279" t="s">
        <v>1839</v>
      </c>
      <c r="J7279" t="s">
        <v>1840</v>
      </c>
      <c r="K7279" t="s">
        <v>1841</v>
      </c>
      <c r="L7279" t="s">
        <v>1842</v>
      </c>
      <c r="M7279" t="s">
        <v>1843</v>
      </c>
    </row>
    <row r="7280" spans="1:13">
      <c r="A7280" s="25" t="s">
        <v>198</v>
      </c>
      <c r="B7280">
        <v>2251</v>
      </c>
      <c r="C7280" t="s">
        <v>189</v>
      </c>
      <c r="D7280">
        <v>10394</v>
      </c>
      <c r="E7280" s="1">
        <v>6.4000000000000003E-3</v>
      </c>
      <c r="F7280" s="1">
        <v>0.89259999999999995</v>
      </c>
      <c r="G7280" s="1">
        <v>1.55E-2</v>
      </c>
      <c r="H7280" s="1">
        <v>1.1000000000000001E-3</v>
      </c>
      <c r="I7280" s="1">
        <v>1.1299999999999999E-2</v>
      </c>
      <c r="J7280" s="1">
        <v>1.72E-2</v>
      </c>
      <c r="K7280" s="1">
        <v>5.4199999999999998E-2</v>
      </c>
      <c r="L7280" s="1">
        <v>5.0000000000000001E-3</v>
      </c>
      <c r="M7280" s="1">
        <v>3.3E-3</v>
      </c>
    </row>
    <row r="7281" spans="1:13">
      <c r="A7281" s="25" t="s">
        <v>199</v>
      </c>
      <c r="B7281">
        <v>8143</v>
      </c>
      <c r="C7281" t="s">
        <v>189</v>
      </c>
      <c r="D7281">
        <v>10394</v>
      </c>
      <c r="E7281" s="1">
        <v>5.5999999999999999E-3</v>
      </c>
      <c r="F7281" s="1">
        <v>0.92430000000000001</v>
      </c>
      <c r="G7281" s="1">
        <v>6.3E-3</v>
      </c>
      <c r="H7281" s="1">
        <v>2.5999999999999999E-3</v>
      </c>
      <c r="I7281" s="1">
        <v>1E-3</v>
      </c>
      <c r="J7281" s="1">
        <v>4.1000000000000003E-3</v>
      </c>
      <c r="K7281" s="1">
        <v>5.16E-2</v>
      </c>
      <c r="L7281" s="1">
        <v>5.1000000000000004E-3</v>
      </c>
      <c r="M7281" s="1">
        <v>1.8E-3</v>
      </c>
    </row>
    <row r="7282" spans="1:13">
      <c r="A7282" s="25" t="s">
        <v>192</v>
      </c>
      <c r="B7282">
        <v>10394</v>
      </c>
      <c r="C7282" t="s">
        <v>192</v>
      </c>
      <c r="D7282">
        <v>10394</v>
      </c>
      <c r="E7282" s="1">
        <v>5.7000000000000002E-3</v>
      </c>
      <c r="F7282" s="1">
        <v>0.91849999999999998</v>
      </c>
      <c r="G7282" s="1">
        <v>8.0000000000000002E-3</v>
      </c>
      <c r="H7282" s="1">
        <v>2.3E-3</v>
      </c>
      <c r="I7282" s="1">
        <v>2.8999999999999998E-3</v>
      </c>
      <c r="J7282" s="1">
        <v>6.4999999999999997E-3</v>
      </c>
      <c r="K7282" s="1">
        <v>5.21E-2</v>
      </c>
      <c r="L7282" s="1">
        <v>5.1000000000000004E-3</v>
      </c>
      <c r="M7282" s="1">
        <v>2.0999999999999999E-3</v>
      </c>
    </row>
    <row r="7284" spans="1:13" ht="43.5">
      <c r="A7284" s="25" t="s">
        <v>1848</v>
      </c>
    </row>
    <row r="7285" spans="1:13">
      <c r="A7285" s="25" t="s">
        <v>182</v>
      </c>
      <c r="B7285" t="s">
        <v>219</v>
      </c>
      <c r="C7285" t="s">
        <v>181</v>
      </c>
      <c r="D7285" t="s">
        <v>188</v>
      </c>
      <c r="E7285" t="s">
        <v>241</v>
      </c>
      <c r="F7285" t="s">
        <v>220</v>
      </c>
      <c r="G7285" t="s">
        <v>1838</v>
      </c>
      <c r="H7285" t="s">
        <v>243</v>
      </c>
      <c r="I7285" t="s">
        <v>1839</v>
      </c>
      <c r="J7285" t="s">
        <v>1840</v>
      </c>
      <c r="K7285" t="s">
        <v>1841</v>
      </c>
      <c r="L7285" t="s">
        <v>1842</v>
      </c>
      <c r="M7285" t="s">
        <v>1843</v>
      </c>
    </row>
    <row r="7286" spans="1:13">
      <c r="A7286" s="25" t="s">
        <v>201</v>
      </c>
      <c r="B7286">
        <v>765</v>
      </c>
      <c r="C7286" t="s">
        <v>189</v>
      </c>
      <c r="D7286">
        <v>10394</v>
      </c>
      <c r="E7286" s="1">
        <v>1E-3</v>
      </c>
      <c r="F7286" s="1">
        <v>0.45</v>
      </c>
      <c r="G7286" s="1">
        <v>2.6499999999999999E-2</v>
      </c>
      <c r="H7286" s="1">
        <v>2.9999999999999997E-4</v>
      </c>
      <c r="I7286" s="1">
        <v>2.3E-3</v>
      </c>
      <c r="J7286" s="1">
        <v>5.4000000000000003E-3</v>
      </c>
      <c r="K7286" s="1">
        <v>0.52200000000000002</v>
      </c>
      <c r="L7286" s="1">
        <v>2.3999999999999998E-3</v>
      </c>
      <c r="M7286" s="1">
        <v>5.1999999999999998E-3</v>
      </c>
    </row>
    <row r="7287" spans="1:13">
      <c r="A7287" s="25" t="s">
        <v>202</v>
      </c>
      <c r="B7287">
        <v>110</v>
      </c>
      <c r="C7287" t="s">
        <v>189</v>
      </c>
      <c r="D7287">
        <v>10394</v>
      </c>
      <c r="E7287" s="1">
        <v>2.5999999999999999E-3</v>
      </c>
      <c r="F7287" s="1">
        <v>0.82569999999999999</v>
      </c>
      <c r="G7287" s="1">
        <v>5.9999999999999995E-4</v>
      </c>
      <c r="I7287" s="1">
        <v>2.5000000000000001E-3</v>
      </c>
      <c r="K7287" s="1">
        <v>0.1686</v>
      </c>
      <c r="M7287" s="1">
        <v>1.8E-3</v>
      </c>
    </row>
    <row r="7288" spans="1:13">
      <c r="A7288" s="25" t="s">
        <v>203</v>
      </c>
      <c r="B7288">
        <v>8010</v>
      </c>
      <c r="C7288" t="s">
        <v>189</v>
      </c>
      <c r="D7288">
        <v>10394</v>
      </c>
      <c r="E7288" s="1">
        <v>6.1000000000000004E-3</v>
      </c>
      <c r="F7288" s="1">
        <v>0.96340000000000003</v>
      </c>
      <c r="G7288" s="1">
        <v>7.4000000000000003E-3</v>
      </c>
      <c r="H7288" s="1">
        <v>2.7000000000000001E-3</v>
      </c>
      <c r="I7288" s="1">
        <v>3.0999999999999999E-3</v>
      </c>
      <c r="J7288" s="1">
        <v>7.4999999999999997E-3</v>
      </c>
      <c r="K7288" s="1">
        <v>5.5999999999999999E-3</v>
      </c>
      <c r="L7288" s="1">
        <v>4.7999999999999996E-3</v>
      </c>
      <c r="M7288" s="1">
        <v>1.9E-3</v>
      </c>
    </row>
    <row r="7289" spans="1:13">
      <c r="A7289" s="25" t="s">
        <v>204</v>
      </c>
      <c r="B7289">
        <v>31</v>
      </c>
      <c r="C7289" t="s">
        <v>189</v>
      </c>
      <c r="D7289">
        <v>10394</v>
      </c>
      <c r="E7289" s="1">
        <v>1.9E-3</v>
      </c>
      <c r="F7289" s="1">
        <v>0.92569999999999997</v>
      </c>
      <c r="K7289" s="1">
        <v>7.2499999999999995E-2</v>
      </c>
    </row>
    <row r="7290" spans="1:13">
      <c r="A7290" s="25" t="s">
        <v>205</v>
      </c>
      <c r="B7290">
        <v>1478</v>
      </c>
      <c r="C7290" t="s">
        <v>189</v>
      </c>
      <c r="D7290">
        <v>10394</v>
      </c>
      <c r="E7290" s="1">
        <v>6.4000000000000003E-3</v>
      </c>
      <c r="F7290" s="1">
        <v>0.90249999999999997</v>
      </c>
      <c r="G7290" s="1">
        <v>2.5000000000000001E-3</v>
      </c>
      <c r="H7290" s="1">
        <v>1.2999999999999999E-3</v>
      </c>
      <c r="I7290" s="1">
        <v>2.2000000000000001E-3</v>
      </c>
      <c r="J7290" s="1">
        <v>1.6999999999999999E-3</v>
      </c>
      <c r="K7290" s="1">
        <v>7.4999999999999997E-2</v>
      </c>
      <c r="L7290" s="1">
        <v>8.3000000000000001E-3</v>
      </c>
      <c r="M7290" s="1">
        <v>1.5E-3</v>
      </c>
    </row>
    <row r="7291" spans="1:13">
      <c r="A7291" s="25" t="s">
        <v>192</v>
      </c>
      <c r="B7291">
        <v>10394</v>
      </c>
      <c r="C7291" t="s">
        <v>192</v>
      </c>
      <c r="D7291">
        <v>10394</v>
      </c>
      <c r="E7291" s="1">
        <v>5.7000000000000002E-3</v>
      </c>
      <c r="F7291" s="1">
        <v>0.91849999999999998</v>
      </c>
      <c r="G7291" s="1">
        <v>8.0000000000000002E-3</v>
      </c>
      <c r="H7291" s="1">
        <v>2.3E-3</v>
      </c>
      <c r="I7291" s="1">
        <v>2.8999999999999998E-3</v>
      </c>
      <c r="J7291" s="1">
        <v>6.4999999999999997E-3</v>
      </c>
      <c r="K7291" s="1">
        <v>5.21E-2</v>
      </c>
      <c r="L7291" s="1">
        <v>5.1000000000000004E-3</v>
      </c>
      <c r="M7291" s="1">
        <v>2.0999999999999999E-3</v>
      </c>
    </row>
    <row r="7293" spans="1:13" ht="43.5">
      <c r="A7293" s="25" t="s">
        <v>1849</v>
      </c>
    </row>
    <row r="7294" spans="1:13">
      <c r="A7294" s="25" t="s">
        <v>182</v>
      </c>
      <c r="B7294" t="s">
        <v>219</v>
      </c>
      <c r="C7294" t="s">
        <v>181</v>
      </c>
      <c r="D7294" t="s">
        <v>188</v>
      </c>
      <c r="E7294" t="s">
        <v>241</v>
      </c>
      <c r="F7294" t="s">
        <v>220</v>
      </c>
      <c r="G7294" t="s">
        <v>1838</v>
      </c>
      <c r="H7294" t="s">
        <v>243</v>
      </c>
      <c r="I7294" t="s">
        <v>1839</v>
      </c>
      <c r="J7294" t="s">
        <v>1840</v>
      </c>
      <c r="K7294" t="s">
        <v>1841</v>
      </c>
      <c r="L7294" t="s">
        <v>1842</v>
      </c>
      <c r="M7294" t="s">
        <v>1843</v>
      </c>
    </row>
    <row r="7295" spans="1:13">
      <c r="A7295" s="25" t="s">
        <v>207</v>
      </c>
      <c r="B7295">
        <v>7226</v>
      </c>
      <c r="C7295" t="s">
        <v>189</v>
      </c>
      <c r="D7295">
        <v>10394</v>
      </c>
      <c r="E7295" s="1">
        <v>6.0000000000000001E-3</v>
      </c>
      <c r="F7295" s="1">
        <v>0.91469999999999996</v>
      </c>
      <c r="G7295" s="1">
        <v>6.7999999999999996E-3</v>
      </c>
      <c r="H7295" s="1">
        <v>2.0999999999999999E-3</v>
      </c>
      <c r="I7295" s="1">
        <v>2.8999999999999998E-3</v>
      </c>
      <c r="J7295" s="1">
        <v>3.5000000000000001E-3</v>
      </c>
      <c r="K7295" s="1">
        <v>6.0299999999999999E-2</v>
      </c>
      <c r="L7295" s="1">
        <v>4.3E-3</v>
      </c>
      <c r="M7295" s="1">
        <v>2.2000000000000001E-3</v>
      </c>
    </row>
    <row r="7296" spans="1:13">
      <c r="A7296" s="25" t="s">
        <v>208</v>
      </c>
      <c r="B7296">
        <v>2235</v>
      </c>
      <c r="C7296" t="s">
        <v>189</v>
      </c>
      <c r="D7296">
        <v>10394</v>
      </c>
      <c r="E7296" s="1">
        <v>4.4999999999999997E-3</v>
      </c>
      <c r="F7296" s="1">
        <v>0.93940000000000001</v>
      </c>
      <c r="G7296" s="1">
        <v>1.06E-2</v>
      </c>
      <c r="H7296" s="1">
        <v>3.0999999999999999E-3</v>
      </c>
      <c r="I7296" s="1">
        <v>3.5000000000000001E-3</v>
      </c>
      <c r="J7296" s="1">
        <v>1.49E-2</v>
      </c>
      <c r="K7296" s="1">
        <v>2.3400000000000001E-2</v>
      </c>
      <c r="L7296" s="1">
        <v>2.2000000000000001E-3</v>
      </c>
      <c r="M7296" s="1">
        <v>1.2999999999999999E-3</v>
      </c>
    </row>
    <row r="7297" spans="1:17">
      <c r="A7297" s="25" t="s">
        <v>209</v>
      </c>
      <c r="B7297">
        <v>933</v>
      </c>
      <c r="C7297" t="s">
        <v>189</v>
      </c>
      <c r="D7297">
        <v>10394</v>
      </c>
      <c r="E7297" s="1">
        <v>7.3000000000000001E-3</v>
      </c>
      <c r="F7297" s="1">
        <v>0.89219999999999999</v>
      </c>
      <c r="G7297" s="1">
        <v>1.12E-2</v>
      </c>
      <c r="H7297" s="1">
        <v>2.5999999999999999E-3</v>
      </c>
      <c r="I7297" s="1">
        <v>1E-3</v>
      </c>
      <c r="J7297" s="1">
        <v>9.1000000000000004E-3</v>
      </c>
      <c r="K7297" s="1">
        <v>6.1699999999999998E-2</v>
      </c>
      <c r="L7297" s="1">
        <v>2.0500000000000001E-2</v>
      </c>
      <c r="M7297" s="1">
        <v>3.0999999999999999E-3</v>
      </c>
    </row>
    <row r="7298" spans="1:17">
      <c r="A7298" s="25" t="s">
        <v>192</v>
      </c>
      <c r="B7298">
        <v>10394</v>
      </c>
      <c r="C7298" t="s">
        <v>192</v>
      </c>
      <c r="D7298">
        <v>10394</v>
      </c>
      <c r="E7298" s="1">
        <v>5.7000000000000002E-3</v>
      </c>
      <c r="F7298" s="1">
        <v>0.91849999999999998</v>
      </c>
      <c r="G7298" s="1">
        <v>8.0000000000000002E-3</v>
      </c>
      <c r="H7298" s="1">
        <v>2.3E-3</v>
      </c>
      <c r="I7298" s="1">
        <v>2.8999999999999998E-3</v>
      </c>
      <c r="J7298" s="1">
        <v>6.4999999999999997E-3</v>
      </c>
      <c r="K7298" s="1">
        <v>5.21E-2</v>
      </c>
      <c r="L7298" s="1">
        <v>5.1000000000000004E-3</v>
      </c>
      <c r="M7298" s="1">
        <v>2.0999999999999999E-3</v>
      </c>
    </row>
    <row r="7300" spans="1:17" ht="43.5">
      <c r="A7300" s="25" t="s">
        <v>1850</v>
      </c>
    </row>
    <row r="7301" spans="1:17">
      <c r="A7301" s="25" t="s">
        <v>182</v>
      </c>
      <c r="B7301" t="s">
        <v>219</v>
      </c>
      <c r="C7301" t="s">
        <v>181</v>
      </c>
      <c r="D7301" t="s">
        <v>188</v>
      </c>
      <c r="E7301" t="s">
        <v>241</v>
      </c>
      <c r="F7301" t="s">
        <v>220</v>
      </c>
      <c r="G7301" t="s">
        <v>1838</v>
      </c>
      <c r="H7301" t="s">
        <v>243</v>
      </c>
      <c r="I7301" t="s">
        <v>1839</v>
      </c>
      <c r="J7301" t="s">
        <v>1840</v>
      </c>
      <c r="K7301" t="s">
        <v>1841</v>
      </c>
      <c r="L7301" t="s">
        <v>1842</v>
      </c>
      <c r="M7301" t="s">
        <v>1843</v>
      </c>
    </row>
    <row r="7302" spans="1:17">
      <c r="A7302" s="25" t="s">
        <v>211</v>
      </c>
      <c r="B7302">
        <v>4951</v>
      </c>
      <c r="C7302" t="s">
        <v>189</v>
      </c>
      <c r="D7302">
        <v>10394</v>
      </c>
      <c r="E7302" s="1">
        <v>4.4999999999999997E-3</v>
      </c>
      <c r="F7302" s="1">
        <v>0.9214</v>
      </c>
      <c r="G7302" s="1">
        <v>3.8E-3</v>
      </c>
      <c r="H7302" s="1">
        <v>2.2000000000000001E-3</v>
      </c>
      <c r="I7302" s="1">
        <v>2.7000000000000001E-3</v>
      </c>
      <c r="J7302" s="1">
        <v>4.4999999999999997E-3</v>
      </c>
      <c r="K7302" s="1">
        <v>5.8299999999999998E-2</v>
      </c>
      <c r="L7302" s="1">
        <v>4.0000000000000001E-3</v>
      </c>
      <c r="M7302" s="1">
        <v>2.7000000000000001E-3</v>
      </c>
    </row>
    <row r="7303" spans="1:17">
      <c r="A7303" s="25" t="s">
        <v>212</v>
      </c>
      <c r="B7303">
        <v>3364</v>
      </c>
      <c r="C7303" t="s">
        <v>189</v>
      </c>
      <c r="D7303">
        <v>10394</v>
      </c>
      <c r="E7303" s="1">
        <v>5.7000000000000002E-3</v>
      </c>
      <c r="F7303" s="1">
        <v>0.91320000000000001</v>
      </c>
      <c r="G7303" s="1">
        <v>1.2999999999999999E-2</v>
      </c>
      <c r="H7303" s="1">
        <v>2.3E-3</v>
      </c>
      <c r="I7303" s="1">
        <v>2.8999999999999998E-3</v>
      </c>
      <c r="J7303" s="1">
        <v>9.1999999999999998E-3</v>
      </c>
      <c r="K7303" s="1">
        <v>4.7399999999999998E-2</v>
      </c>
      <c r="L7303" s="1">
        <v>8.0000000000000002E-3</v>
      </c>
      <c r="M7303" s="1">
        <v>1.1999999999999999E-3</v>
      </c>
    </row>
    <row r="7304" spans="1:17">
      <c r="A7304" s="25" t="s">
        <v>213</v>
      </c>
      <c r="B7304">
        <v>2079</v>
      </c>
      <c r="C7304" t="s">
        <v>189</v>
      </c>
      <c r="D7304">
        <v>10394</v>
      </c>
      <c r="E7304" s="1">
        <v>8.5000000000000006E-3</v>
      </c>
      <c r="F7304" s="1">
        <v>0.92</v>
      </c>
      <c r="G7304" s="1">
        <v>9.7000000000000003E-3</v>
      </c>
      <c r="H7304" s="1">
        <v>2.8E-3</v>
      </c>
      <c r="I7304" s="1">
        <v>3.3E-3</v>
      </c>
      <c r="J7304" s="1">
        <v>7.0000000000000001E-3</v>
      </c>
      <c r="K7304" s="1">
        <v>4.5400000000000003E-2</v>
      </c>
      <c r="L7304" s="1">
        <v>3.0999999999999999E-3</v>
      </c>
      <c r="M7304" s="1">
        <v>2.0999999999999999E-3</v>
      </c>
    </row>
    <row r="7305" spans="1:17">
      <c r="A7305" s="25" t="s">
        <v>192</v>
      </c>
      <c r="B7305">
        <v>10394</v>
      </c>
      <c r="C7305" t="s">
        <v>192</v>
      </c>
      <c r="D7305">
        <v>10394</v>
      </c>
      <c r="E7305" s="1">
        <v>5.7000000000000002E-3</v>
      </c>
      <c r="F7305" s="1">
        <v>0.91849999999999998</v>
      </c>
      <c r="G7305" s="1">
        <v>8.0000000000000002E-3</v>
      </c>
      <c r="H7305" s="1">
        <v>2.3E-3</v>
      </c>
      <c r="I7305" s="1">
        <v>2.8999999999999998E-3</v>
      </c>
      <c r="J7305" s="1">
        <v>6.4999999999999997E-3</v>
      </c>
      <c r="K7305" s="1">
        <v>5.21E-2</v>
      </c>
      <c r="L7305" s="1">
        <v>5.1000000000000004E-3</v>
      </c>
      <c r="M7305" s="1">
        <v>2.0999999999999999E-3</v>
      </c>
    </row>
    <row r="7307" spans="1:17" ht="43.5">
      <c r="A7307" s="25" t="s">
        <v>1851</v>
      </c>
    </row>
    <row r="7308" spans="1:17">
      <c r="A7308" s="25" t="s">
        <v>182</v>
      </c>
      <c r="B7308" t="s">
        <v>219</v>
      </c>
      <c r="C7308" t="s">
        <v>181</v>
      </c>
      <c r="D7308" t="s">
        <v>188</v>
      </c>
      <c r="E7308" t="s">
        <v>241</v>
      </c>
      <c r="F7308" t="s">
        <v>324</v>
      </c>
      <c r="G7308" t="s">
        <v>243</v>
      </c>
      <c r="H7308" t="s">
        <v>1852</v>
      </c>
      <c r="I7308" t="s">
        <v>1853</v>
      </c>
      <c r="J7308" t="s">
        <v>1854</v>
      </c>
      <c r="K7308" t="s">
        <v>1855</v>
      </c>
      <c r="L7308" t="s">
        <v>1856</v>
      </c>
      <c r="M7308" t="s">
        <v>1857</v>
      </c>
      <c r="N7308" t="s">
        <v>1858</v>
      </c>
      <c r="O7308" t="s">
        <v>1859</v>
      </c>
      <c r="P7308" t="s">
        <v>1860</v>
      </c>
      <c r="Q7308" t="s">
        <v>1861</v>
      </c>
    </row>
    <row r="7309" spans="1:17">
      <c r="A7309" s="25" t="s">
        <v>215</v>
      </c>
      <c r="B7309">
        <v>3308</v>
      </c>
      <c r="C7309" t="s">
        <v>189</v>
      </c>
      <c r="D7309">
        <v>10433</v>
      </c>
      <c r="E7309" s="1">
        <v>1.7100000000000001E-2</v>
      </c>
      <c r="F7309" s="1">
        <v>0.87350000000000005</v>
      </c>
      <c r="G7309" s="1">
        <v>2.3999999999999998E-3</v>
      </c>
      <c r="H7309" s="1">
        <v>2.5899999999999999E-2</v>
      </c>
      <c r="I7309" s="1">
        <v>3.0000000000000001E-3</v>
      </c>
      <c r="J7309" s="1">
        <v>1.9199999999999998E-2</v>
      </c>
      <c r="K7309" s="1">
        <v>5.4999999999999997E-3</v>
      </c>
      <c r="L7309" s="1">
        <v>5.4000000000000003E-3</v>
      </c>
      <c r="M7309" s="1">
        <v>1.9400000000000001E-2</v>
      </c>
      <c r="N7309" s="1">
        <v>9.4999999999999998E-3</v>
      </c>
      <c r="O7309" s="1">
        <v>9.4999999999999998E-3</v>
      </c>
      <c r="P7309" s="1">
        <v>2.64E-2</v>
      </c>
      <c r="Q7309" s="1">
        <v>9.7999999999999997E-3</v>
      </c>
    </row>
    <row r="7310" spans="1:17">
      <c r="A7310" s="25" t="s">
        <v>216</v>
      </c>
      <c r="B7310">
        <v>2</v>
      </c>
      <c r="C7310" t="s">
        <v>189</v>
      </c>
      <c r="D7310">
        <v>10433</v>
      </c>
      <c r="F7310" s="1">
        <v>1</v>
      </c>
    </row>
    <row r="7311" spans="1:17">
      <c r="A7311" s="25" t="s">
        <v>217</v>
      </c>
      <c r="B7311">
        <v>7123</v>
      </c>
      <c r="C7311" t="s">
        <v>189</v>
      </c>
      <c r="D7311">
        <v>10433</v>
      </c>
      <c r="E7311" s="1">
        <v>1.38E-2</v>
      </c>
      <c r="F7311" s="1">
        <v>0.87190000000000001</v>
      </c>
      <c r="G7311" s="1">
        <v>4.4000000000000003E-3</v>
      </c>
      <c r="H7311" s="1">
        <v>1.12E-2</v>
      </c>
      <c r="I7311" s="1">
        <v>5.0000000000000001E-4</v>
      </c>
      <c r="J7311" s="1">
        <v>2.0500000000000001E-2</v>
      </c>
      <c r="K7311" s="1">
        <v>6.0000000000000001E-3</v>
      </c>
      <c r="L7311" s="1">
        <v>1.72E-2</v>
      </c>
      <c r="M7311" s="1">
        <v>2.3300000000000001E-2</v>
      </c>
      <c r="N7311" s="1">
        <v>7.9000000000000008E-3</v>
      </c>
      <c r="O7311" s="1">
        <v>4.3E-3</v>
      </c>
      <c r="P7311" s="1">
        <v>3.9300000000000002E-2</v>
      </c>
      <c r="Q7311" s="1">
        <v>7.7000000000000002E-3</v>
      </c>
    </row>
    <row r="7312" spans="1:17">
      <c r="A7312" s="25" t="s">
        <v>192</v>
      </c>
      <c r="B7312">
        <v>10433</v>
      </c>
      <c r="C7312" t="s">
        <v>192</v>
      </c>
      <c r="D7312">
        <v>10433</v>
      </c>
      <c r="E7312" s="1">
        <v>1.49E-2</v>
      </c>
      <c r="F7312" s="1">
        <v>0.87239999999999995</v>
      </c>
      <c r="G7312" s="1">
        <v>3.7000000000000002E-3</v>
      </c>
      <c r="H7312" s="1">
        <v>1.6199999999999999E-2</v>
      </c>
      <c r="I7312" s="1">
        <v>1.2999999999999999E-3</v>
      </c>
      <c r="J7312" s="1">
        <v>2.01E-2</v>
      </c>
      <c r="K7312" s="1">
        <v>5.7999999999999996E-3</v>
      </c>
      <c r="L7312" s="1">
        <v>1.32E-2</v>
      </c>
      <c r="M7312" s="1">
        <v>2.1899999999999999E-2</v>
      </c>
      <c r="N7312" s="1">
        <v>8.3999999999999995E-3</v>
      </c>
      <c r="O7312" s="1">
        <v>6.0000000000000001E-3</v>
      </c>
      <c r="P7312" s="1">
        <v>3.49E-2</v>
      </c>
      <c r="Q7312" s="1">
        <v>8.3999999999999995E-3</v>
      </c>
    </row>
    <row r="7314" spans="1:17" ht="43.5">
      <c r="A7314" s="25" t="s">
        <v>1862</v>
      </c>
    </row>
    <row r="7315" spans="1:17">
      <c r="A7315" s="25" t="s">
        <v>182</v>
      </c>
      <c r="B7315" t="s">
        <v>219</v>
      </c>
      <c r="C7315" t="s">
        <v>181</v>
      </c>
      <c r="D7315" t="s">
        <v>188</v>
      </c>
      <c r="E7315" t="s">
        <v>241</v>
      </c>
      <c r="F7315" t="s">
        <v>324</v>
      </c>
      <c r="G7315" t="s">
        <v>243</v>
      </c>
      <c r="H7315" t="s">
        <v>1852</v>
      </c>
      <c r="I7315" t="s">
        <v>1853</v>
      </c>
      <c r="J7315" t="s">
        <v>1854</v>
      </c>
      <c r="K7315" t="s">
        <v>1855</v>
      </c>
      <c r="L7315" t="s">
        <v>1856</v>
      </c>
      <c r="M7315" t="s">
        <v>1857</v>
      </c>
      <c r="N7315" t="s">
        <v>1858</v>
      </c>
      <c r="O7315" t="s">
        <v>1859</v>
      </c>
      <c r="P7315" t="s">
        <v>1860</v>
      </c>
      <c r="Q7315" t="s">
        <v>1861</v>
      </c>
    </row>
    <row r="7316" spans="1:17">
      <c r="A7316" s="25" t="s">
        <v>223</v>
      </c>
      <c r="B7316">
        <v>882</v>
      </c>
      <c r="C7316" t="s">
        <v>189</v>
      </c>
      <c r="D7316">
        <v>10433</v>
      </c>
      <c r="E7316" s="1">
        <v>1.7500000000000002E-2</v>
      </c>
      <c r="F7316" s="1">
        <v>0.875</v>
      </c>
      <c r="G7316" s="1">
        <v>4.7000000000000002E-3</v>
      </c>
      <c r="H7316" s="1">
        <v>1.24E-2</v>
      </c>
      <c r="I7316" s="1">
        <v>1.1000000000000001E-3</v>
      </c>
      <c r="J7316" s="1">
        <v>1.2699999999999999E-2</v>
      </c>
      <c r="K7316" s="1">
        <v>5.0000000000000001E-3</v>
      </c>
      <c r="L7316" s="1">
        <v>8.0000000000000002E-3</v>
      </c>
      <c r="M7316" s="1">
        <v>1.17E-2</v>
      </c>
      <c r="N7316" s="1">
        <v>1.4E-2</v>
      </c>
      <c r="O7316" s="1">
        <v>1.3899999999999999E-2</v>
      </c>
      <c r="P7316" s="1">
        <v>1.9099999999999999E-2</v>
      </c>
      <c r="Q7316" s="1">
        <v>1.66E-2</v>
      </c>
    </row>
    <row r="7317" spans="1:17">
      <c r="A7317" s="25" t="s">
        <v>224</v>
      </c>
      <c r="B7317">
        <v>2877</v>
      </c>
      <c r="C7317" t="s">
        <v>189</v>
      </c>
      <c r="D7317">
        <v>10433</v>
      </c>
      <c r="E7317" s="1">
        <v>1.1900000000000001E-2</v>
      </c>
      <c r="F7317" s="1">
        <v>0.85560000000000003</v>
      </c>
      <c r="G7317" s="1">
        <v>7.6E-3</v>
      </c>
      <c r="H7317" s="1">
        <v>2.87E-2</v>
      </c>
      <c r="I7317" s="1">
        <v>3.3E-3</v>
      </c>
      <c r="J7317" s="1">
        <v>1.7899999999999999E-2</v>
      </c>
      <c r="K7317" s="1">
        <v>9.4000000000000004E-3</v>
      </c>
      <c r="L7317" s="1">
        <v>1.7600000000000001E-2</v>
      </c>
      <c r="M7317" s="1">
        <v>2.0400000000000001E-2</v>
      </c>
      <c r="N7317" s="1">
        <v>1.0200000000000001E-2</v>
      </c>
      <c r="O7317" s="1">
        <v>7.4000000000000003E-3</v>
      </c>
      <c r="P7317" s="1">
        <v>3.4200000000000001E-2</v>
      </c>
      <c r="Q7317" s="1">
        <v>8.3999999999999995E-3</v>
      </c>
    </row>
    <row r="7318" spans="1:17">
      <c r="A7318" s="25" t="s">
        <v>225</v>
      </c>
      <c r="B7318">
        <v>2815</v>
      </c>
      <c r="C7318" t="s">
        <v>189</v>
      </c>
      <c r="D7318">
        <v>10433</v>
      </c>
      <c r="E7318" s="1">
        <v>1.4E-2</v>
      </c>
      <c r="F7318" s="1">
        <v>0.86539999999999995</v>
      </c>
      <c r="G7318" s="1">
        <v>2.8E-3</v>
      </c>
      <c r="H7318" s="1">
        <v>1.37E-2</v>
      </c>
      <c r="I7318" s="1">
        <v>8.9999999999999998E-4</v>
      </c>
      <c r="J7318" s="1">
        <v>2.53E-2</v>
      </c>
      <c r="K7318" s="1">
        <v>9.7000000000000003E-3</v>
      </c>
      <c r="L7318" s="1">
        <v>1.41E-2</v>
      </c>
      <c r="M7318" s="1">
        <v>2.1299999999999999E-2</v>
      </c>
      <c r="N7318" s="1">
        <v>1.3100000000000001E-2</v>
      </c>
      <c r="O7318" s="1">
        <v>6.3E-3</v>
      </c>
      <c r="P7318" s="1">
        <v>4.3400000000000001E-2</v>
      </c>
      <c r="Q7318" s="1">
        <v>8.9999999999999993E-3</v>
      </c>
    </row>
    <row r="7319" spans="1:17">
      <c r="A7319" s="25" t="s">
        <v>226</v>
      </c>
      <c r="B7319">
        <v>3859</v>
      </c>
      <c r="C7319" t="s">
        <v>189</v>
      </c>
      <c r="D7319">
        <v>10433</v>
      </c>
      <c r="E7319" s="1">
        <v>1.67E-2</v>
      </c>
      <c r="F7319" s="1">
        <v>0.8881</v>
      </c>
      <c r="G7319" s="1">
        <v>1.2999999999999999E-3</v>
      </c>
      <c r="H7319" s="1">
        <v>1.04E-2</v>
      </c>
      <c r="I7319" s="1">
        <v>2.9999999999999997E-4</v>
      </c>
      <c r="J7319" s="1">
        <v>2.06E-2</v>
      </c>
      <c r="K7319" s="1">
        <v>1E-3</v>
      </c>
      <c r="L7319" s="1">
        <v>1.11E-2</v>
      </c>
      <c r="M7319" s="1">
        <v>2.6800000000000001E-2</v>
      </c>
      <c r="N7319" s="1">
        <v>2.2000000000000001E-3</v>
      </c>
      <c r="O7319" s="1">
        <v>2.3E-3</v>
      </c>
      <c r="P7319" s="1">
        <v>3.5099999999999999E-2</v>
      </c>
      <c r="Q7319" s="1">
        <v>5.4000000000000003E-3</v>
      </c>
    </row>
    <row r="7320" spans="1:17">
      <c r="A7320" s="25" t="s">
        <v>192</v>
      </c>
      <c r="B7320">
        <v>10433</v>
      </c>
      <c r="C7320" t="s">
        <v>192</v>
      </c>
      <c r="D7320">
        <v>10433</v>
      </c>
      <c r="E7320" s="1">
        <v>1.49E-2</v>
      </c>
      <c r="F7320" s="1">
        <v>0.87239999999999995</v>
      </c>
      <c r="G7320" s="1">
        <v>3.7000000000000002E-3</v>
      </c>
      <c r="H7320" s="1">
        <v>1.6199999999999999E-2</v>
      </c>
      <c r="I7320" s="1">
        <v>1.2999999999999999E-3</v>
      </c>
      <c r="J7320" s="1">
        <v>2.01E-2</v>
      </c>
      <c r="K7320" s="1">
        <v>5.7999999999999996E-3</v>
      </c>
      <c r="L7320" s="1">
        <v>1.32E-2</v>
      </c>
      <c r="M7320" s="1">
        <v>2.1899999999999999E-2</v>
      </c>
      <c r="N7320" s="1">
        <v>8.3999999999999995E-3</v>
      </c>
      <c r="O7320" s="1">
        <v>6.0000000000000001E-3</v>
      </c>
      <c r="P7320" s="1">
        <v>3.49E-2</v>
      </c>
      <c r="Q7320" s="1">
        <v>8.3999999999999995E-3</v>
      </c>
    </row>
    <row r="7322" spans="1:17" ht="29.1">
      <c r="A7322" s="25" t="s">
        <v>1863</v>
      </c>
    </row>
    <row r="7323" spans="1:17">
      <c r="A7323" s="25" t="s">
        <v>182</v>
      </c>
      <c r="B7323" t="s">
        <v>219</v>
      </c>
      <c r="C7323" t="s">
        <v>181</v>
      </c>
      <c r="D7323" t="s">
        <v>188</v>
      </c>
      <c r="E7323" t="s">
        <v>241</v>
      </c>
      <c r="F7323" t="s">
        <v>324</v>
      </c>
      <c r="G7323" t="s">
        <v>243</v>
      </c>
      <c r="H7323" t="s">
        <v>1852</v>
      </c>
      <c r="I7323" t="s">
        <v>1853</v>
      </c>
      <c r="J7323" t="s">
        <v>1854</v>
      </c>
      <c r="K7323" t="s">
        <v>1855</v>
      </c>
      <c r="L7323" t="s">
        <v>1856</v>
      </c>
      <c r="M7323" t="s">
        <v>1857</v>
      </c>
      <c r="N7323" t="s">
        <v>1858</v>
      </c>
      <c r="O7323" t="s">
        <v>1859</v>
      </c>
      <c r="P7323" t="s">
        <v>1860</v>
      </c>
      <c r="Q7323" t="s">
        <v>1861</v>
      </c>
    </row>
    <row r="7324" spans="1:17">
      <c r="A7324" s="25" t="s">
        <v>190</v>
      </c>
      <c r="B7324">
        <v>4902</v>
      </c>
      <c r="C7324" t="s">
        <v>189</v>
      </c>
      <c r="D7324">
        <v>10433</v>
      </c>
      <c r="E7324" s="1">
        <v>1.5299999999999999E-2</v>
      </c>
      <c r="F7324" s="1">
        <v>0.87239999999999995</v>
      </c>
      <c r="G7324" s="1">
        <v>1.9E-3</v>
      </c>
      <c r="H7324" s="1">
        <v>1.2E-2</v>
      </c>
      <c r="I7324" s="1">
        <v>6.9999999999999999E-4</v>
      </c>
      <c r="J7324" s="1">
        <v>2.12E-2</v>
      </c>
      <c r="K7324" s="1">
        <v>3.3999999999999998E-3</v>
      </c>
      <c r="L7324" s="1">
        <v>7.1000000000000004E-3</v>
      </c>
      <c r="M7324" s="1">
        <v>2.3599999999999999E-2</v>
      </c>
      <c r="N7324" s="1">
        <v>7.3000000000000001E-3</v>
      </c>
      <c r="O7324" s="1">
        <v>4.1000000000000003E-3</v>
      </c>
      <c r="P7324" s="1">
        <v>4.5699999999999998E-2</v>
      </c>
      <c r="Q7324" s="1">
        <v>8.6E-3</v>
      </c>
    </row>
    <row r="7325" spans="1:17">
      <c r="A7325" s="25" t="s">
        <v>191</v>
      </c>
      <c r="B7325">
        <v>5474</v>
      </c>
      <c r="C7325" t="s">
        <v>189</v>
      </c>
      <c r="D7325">
        <v>10433</v>
      </c>
      <c r="E7325" s="1">
        <v>1.47E-2</v>
      </c>
      <c r="F7325" s="1">
        <v>0.87239999999999995</v>
      </c>
      <c r="G7325" s="1">
        <v>4.7999999999999996E-3</v>
      </c>
      <c r="H7325" s="1">
        <v>1.89E-2</v>
      </c>
      <c r="I7325" s="1">
        <v>1.8E-3</v>
      </c>
      <c r="J7325" s="1">
        <v>1.9400000000000001E-2</v>
      </c>
      <c r="K7325" s="1">
        <v>7.3000000000000001E-3</v>
      </c>
      <c r="L7325" s="1">
        <v>1.6899999999999998E-2</v>
      </c>
      <c r="M7325" s="1">
        <v>2.0899999999999998E-2</v>
      </c>
      <c r="N7325" s="1">
        <v>9.1000000000000004E-3</v>
      </c>
      <c r="O7325" s="1">
        <v>7.1999999999999998E-3</v>
      </c>
      <c r="P7325" s="1">
        <v>2.8299999999999999E-2</v>
      </c>
      <c r="Q7325" s="1">
        <v>8.3000000000000001E-3</v>
      </c>
    </row>
    <row r="7326" spans="1:17">
      <c r="A7326" s="25" t="s">
        <v>192</v>
      </c>
      <c r="B7326">
        <v>10433</v>
      </c>
      <c r="C7326" t="s">
        <v>192</v>
      </c>
      <c r="D7326">
        <v>10433</v>
      </c>
      <c r="E7326" s="1">
        <v>1.49E-2</v>
      </c>
      <c r="F7326" s="1">
        <v>0.87239999999999995</v>
      </c>
      <c r="G7326" s="1">
        <v>3.7000000000000002E-3</v>
      </c>
      <c r="H7326" s="1">
        <v>1.6199999999999999E-2</v>
      </c>
      <c r="I7326" s="1">
        <v>1.2999999999999999E-3</v>
      </c>
      <c r="J7326" s="1">
        <v>2.01E-2</v>
      </c>
      <c r="K7326" s="1">
        <v>5.7999999999999996E-3</v>
      </c>
      <c r="L7326" s="1">
        <v>1.32E-2</v>
      </c>
      <c r="M7326" s="1">
        <v>2.1899999999999999E-2</v>
      </c>
      <c r="N7326" s="1">
        <v>8.3999999999999995E-3</v>
      </c>
      <c r="O7326" s="1">
        <v>6.0000000000000001E-3</v>
      </c>
      <c r="P7326" s="1">
        <v>3.49E-2</v>
      </c>
      <c r="Q7326" s="1">
        <v>8.3999999999999995E-3</v>
      </c>
    </row>
    <row r="7328" spans="1:17" ht="43.5">
      <c r="A7328" s="25" t="s">
        <v>1864</v>
      </c>
    </row>
    <row r="7329" spans="1:17">
      <c r="A7329" s="25" t="s">
        <v>182</v>
      </c>
      <c r="B7329" t="s">
        <v>219</v>
      </c>
      <c r="C7329" t="s">
        <v>181</v>
      </c>
      <c r="D7329" t="s">
        <v>188</v>
      </c>
      <c r="E7329" t="s">
        <v>241</v>
      </c>
      <c r="F7329" t="s">
        <v>324</v>
      </c>
      <c r="G7329" t="s">
        <v>243</v>
      </c>
      <c r="H7329" t="s">
        <v>1852</v>
      </c>
      <c r="I7329" t="s">
        <v>1853</v>
      </c>
      <c r="J7329" t="s">
        <v>1854</v>
      </c>
      <c r="K7329" t="s">
        <v>1855</v>
      </c>
      <c r="L7329" t="s">
        <v>1856</v>
      </c>
      <c r="M7329" t="s">
        <v>1857</v>
      </c>
      <c r="N7329" t="s">
        <v>1858</v>
      </c>
      <c r="O7329" t="s">
        <v>1859</v>
      </c>
      <c r="P7329" t="s">
        <v>1860</v>
      </c>
      <c r="Q7329" t="s">
        <v>1861</v>
      </c>
    </row>
    <row r="7330" spans="1:17" ht="29.1">
      <c r="A7330" s="25" t="s">
        <v>194</v>
      </c>
      <c r="B7330">
        <v>5954</v>
      </c>
      <c r="C7330" t="s">
        <v>189</v>
      </c>
      <c r="D7330">
        <v>10433</v>
      </c>
      <c r="E7330" s="1">
        <v>1.4500000000000001E-2</v>
      </c>
      <c r="F7330" s="1">
        <v>0.87549999999999994</v>
      </c>
      <c r="G7330" s="1">
        <v>4.0000000000000001E-3</v>
      </c>
      <c r="H7330" s="1">
        <v>1.67E-2</v>
      </c>
      <c r="I7330" s="1">
        <v>1.5E-3</v>
      </c>
      <c r="J7330" s="1">
        <v>1.9199999999999998E-2</v>
      </c>
      <c r="K7330" s="1">
        <v>3.7000000000000002E-3</v>
      </c>
      <c r="L7330" s="1">
        <v>1.1900000000000001E-2</v>
      </c>
      <c r="M7330" s="1">
        <v>2.0799999999999999E-2</v>
      </c>
      <c r="N7330" s="1">
        <v>9.7999999999999997E-3</v>
      </c>
      <c r="O7330" s="1">
        <v>6.7000000000000002E-3</v>
      </c>
      <c r="P7330" s="1">
        <v>3.39E-2</v>
      </c>
      <c r="Q7330" s="1">
        <v>8.2000000000000007E-3</v>
      </c>
    </row>
    <row r="7331" spans="1:17" ht="29.1">
      <c r="A7331" s="25" t="s">
        <v>195</v>
      </c>
      <c r="B7331">
        <v>2703</v>
      </c>
      <c r="C7331" t="s">
        <v>189</v>
      </c>
      <c r="D7331">
        <v>10433</v>
      </c>
      <c r="E7331" s="1">
        <v>1.38E-2</v>
      </c>
      <c r="F7331" s="1">
        <v>0.87690000000000001</v>
      </c>
      <c r="G7331" s="1">
        <v>3.3E-3</v>
      </c>
      <c r="H7331" s="1">
        <v>1.12E-2</v>
      </c>
      <c r="I7331" s="1">
        <v>2.9999999999999997E-4</v>
      </c>
      <c r="J7331" s="1">
        <v>1.5100000000000001E-2</v>
      </c>
      <c r="K7331" s="1">
        <v>1.2999999999999999E-2</v>
      </c>
      <c r="L7331" s="1">
        <v>9.5999999999999992E-3</v>
      </c>
      <c r="M7331" s="1">
        <v>1.9300000000000001E-2</v>
      </c>
      <c r="N7331" s="1">
        <v>4.7000000000000002E-3</v>
      </c>
      <c r="O7331" s="1">
        <v>4.1999999999999997E-3</v>
      </c>
      <c r="P7331" s="1">
        <v>3.6299999999999999E-2</v>
      </c>
      <c r="Q7331" s="1">
        <v>8.6E-3</v>
      </c>
    </row>
    <row r="7332" spans="1:17" ht="29.1">
      <c r="A7332" s="25" t="s">
        <v>196</v>
      </c>
      <c r="B7332">
        <v>1719</v>
      </c>
      <c r="C7332" t="s">
        <v>189</v>
      </c>
      <c r="D7332">
        <v>10433</v>
      </c>
      <c r="E7332" s="1">
        <v>2.0199999999999999E-2</v>
      </c>
      <c r="F7332" s="1">
        <v>0.83879999999999999</v>
      </c>
      <c r="G7332" s="1">
        <v>2.5999999999999999E-3</v>
      </c>
      <c r="H7332" s="1">
        <v>2.3400000000000001E-2</v>
      </c>
      <c r="I7332" s="1">
        <v>2E-3</v>
      </c>
      <c r="J7332" s="1">
        <v>3.73E-2</v>
      </c>
      <c r="K7332" s="1">
        <v>7.1000000000000004E-3</v>
      </c>
      <c r="L7332" s="1">
        <v>3.0599999999999999E-2</v>
      </c>
      <c r="M7332" s="1">
        <v>3.6299999999999999E-2</v>
      </c>
      <c r="N7332" s="1">
        <v>5.4000000000000003E-3</v>
      </c>
      <c r="O7332" s="1">
        <v>4.5999999999999999E-3</v>
      </c>
      <c r="P7332" s="1">
        <v>4.0599999999999997E-2</v>
      </c>
      <c r="Q7332" s="1">
        <v>9.7000000000000003E-3</v>
      </c>
    </row>
    <row r="7333" spans="1:17">
      <c r="A7333" s="25" t="s">
        <v>192</v>
      </c>
      <c r="B7333">
        <v>10433</v>
      </c>
      <c r="C7333" t="s">
        <v>192</v>
      </c>
      <c r="D7333">
        <v>10433</v>
      </c>
      <c r="E7333" s="1">
        <v>1.49E-2</v>
      </c>
      <c r="F7333" s="1">
        <v>0.87239999999999995</v>
      </c>
      <c r="G7333" s="1">
        <v>3.7000000000000002E-3</v>
      </c>
      <c r="H7333" s="1">
        <v>1.6199999999999999E-2</v>
      </c>
      <c r="I7333" s="1">
        <v>1.2999999999999999E-3</v>
      </c>
      <c r="J7333" s="1">
        <v>2.01E-2</v>
      </c>
      <c r="K7333" s="1">
        <v>5.7999999999999996E-3</v>
      </c>
      <c r="L7333" s="1">
        <v>1.32E-2</v>
      </c>
      <c r="M7333" s="1">
        <v>2.1899999999999999E-2</v>
      </c>
      <c r="N7333" s="1">
        <v>8.3999999999999995E-3</v>
      </c>
      <c r="O7333" s="1">
        <v>6.0000000000000001E-3</v>
      </c>
      <c r="P7333" s="1">
        <v>3.49E-2</v>
      </c>
      <c r="Q7333" s="1">
        <v>8.3999999999999995E-3</v>
      </c>
    </row>
    <row r="7335" spans="1:17" ht="43.5">
      <c r="A7335" s="25" t="s">
        <v>1865</v>
      </c>
    </row>
    <row r="7336" spans="1:17">
      <c r="A7336" s="25" t="s">
        <v>182</v>
      </c>
      <c r="B7336" t="s">
        <v>219</v>
      </c>
      <c r="C7336" t="s">
        <v>181</v>
      </c>
      <c r="D7336" t="s">
        <v>188</v>
      </c>
      <c r="E7336" t="s">
        <v>241</v>
      </c>
      <c r="F7336" t="s">
        <v>324</v>
      </c>
      <c r="G7336" t="s">
        <v>243</v>
      </c>
      <c r="H7336" t="s">
        <v>1852</v>
      </c>
      <c r="I7336" t="s">
        <v>1853</v>
      </c>
      <c r="J7336" t="s">
        <v>1854</v>
      </c>
      <c r="K7336" t="s">
        <v>1855</v>
      </c>
      <c r="L7336" t="s">
        <v>1856</v>
      </c>
      <c r="M7336" t="s">
        <v>1857</v>
      </c>
      <c r="N7336" t="s">
        <v>1858</v>
      </c>
      <c r="O7336" t="s">
        <v>1859</v>
      </c>
      <c r="P7336" t="s">
        <v>1860</v>
      </c>
      <c r="Q7336" t="s">
        <v>1861</v>
      </c>
    </row>
    <row r="7337" spans="1:17">
      <c r="A7337" s="25" t="s">
        <v>198</v>
      </c>
      <c r="B7337">
        <v>2263</v>
      </c>
      <c r="C7337" t="s">
        <v>189</v>
      </c>
      <c r="D7337">
        <v>10433</v>
      </c>
      <c r="E7337" s="1">
        <v>2.4500000000000001E-2</v>
      </c>
      <c r="F7337" s="1">
        <v>0.80789999999999995</v>
      </c>
      <c r="G7337" s="1">
        <v>5.4999999999999997E-3</v>
      </c>
      <c r="H7337" s="1">
        <v>2.12E-2</v>
      </c>
      <c r="I7337" s="1">
        <v>1.6999999999999999E-3</v>
      </c>
      <c r="J7337" s="1">
        <v>3.95E-2</v>
      </c>
      <c r="K7337" s="1">
        <v>6.7999999999999996E-3</v>
      </c>
      <c r="L7337" s="1">
        <v>2.5600000000000001E-2</v>
      </c>
      <c r="M7337" s="1">
        <v>4.2500000000000003E-2</v>
      </c>
      <c r="N7337" s="1">
        <v>1.1599999999999999E-2</v>
      </c>
      <c r="O7337" s="1">
        <v>6.1999999999999998E-3</v>
      </c>
      <c r="P7337" s="1">
        <v>5.0500000000000003E-2</v>
      </c>
      <c r="Q7337" s="1">
        <v>7.7999999999999996E-3</v>
      </c>
    </row>
    <row r="7338" spans="1:17">
      <c r="A7338" s="25" t="s">
        <v>199</v>
      </c>
      <c r="B7338">
        <v>8170</v>
      </c>
      <c r="C7338" t="s">
        <v>189</v>
      </c>
      <c r="D7338">
        <v>10433</v>
      </c>
      <c r="E7338" s="1">
        <v>1.2699999999999999E-2</v>
      </c>
      <c r="F7338" s="1">
        <v>0.88690000000000002</v>
      </c>
      <c r="G7338" s="1">
        <v>3.3E-3</v>
      </c>
      <c r="H7338" s="1">
        <v>1.5100000000000001E-2</v>
      </c>
      <c r="I7338" s="1">
        <v>1.2999999999999999E-3</v>
      </c>
      <c r="J7338" s="1">
        <v>1.5699999999999999E-2</v>
      </c>
      <c r="K7338" s="1">
        <v>5.5999999999999999E-3</v>
      </c>
      <c r="L7338" s="1">
        <v>1.04E-2</v>
      </c>
      <c r="M7338" s="1">
        <v>1.7299999999999999E-2</v>
      </c>
      <c r="N7338" s="1">
        <v>7.7000000000000002E-3</v>
      </c>
      <c r="O7338" s="1">
        <v>6.0000000000000001E-3</v>
      </c>
      <c r="P7338" s="1">
        <v>3.1399999999999997E-2</v>
      </c>
      <c r="Q7338" s="1">
        <v>8.6E-3</v>
      </c>
    </row>
    <row r="7339" spans="1:17">
      <c r="A7339" s="25" t="s">
        <v>192</v>
      </c>
      <c r="B7339">
        <v>10433</v>
      </c>
      <c r="C7339" t="s">
        <v>192</v>
      </c>
      <c r="D7339">
        <v>10433</v>
      </c>
      <c r="E7339" s="1">
        <v>1.49E-2</v>
      </c>
      <c r="F7339" s="1">
        <v>0.87239999999999995</v>
      </c>
      <c r="G7339" s="1">
        <v>3.7000000000000002E-3</v>
      </c>
      <c r="H7339" s="1">
        <v>1.6199999999999999E-2</v>
      </c>
      <c r="I7339" s="1">
        <v>1.2999999999999999E-3</v>
      </c>
      <c r="J7339" s="1">
        <v>2.01E-2</v>
      </c>
      <c r="K7339" s="1">
        <v>5.7999999999999996E-3</v>
      </c>
      <c r="L7339" s="1">
        <v>1.32E-2</v>
      </c>
      <c r="M7339" s="1">
        <v>2.1899999999999999E-2</v>
      </c>
      <c r="N7339" s="1">
        <v>8.3999999999999995E-3</v>
      </c>
      <c r="O7339" s="1">
        <v>6.0000000000000001E-3</v>
      </c>
      <c r="P7339" s="1">
        <v>3.49E-2</v>
      </c>
      <c r="Q7339" s="1">
        <v>8.3999999999999995E-3</v>
      </c>
    </row>
    <row r="7341" spans="1:17" ht="43.5">
      <c r="A7341" s="25" t="s">
        <v>1866</v>
      </c>
    </row>
    <row r="7342" spans="1:17">
      <c r="A7342" s="25" t="s">
        <v>182</v>
      </c>
      <c r="B7342" t="s">
        <v>219</v>
      </c>
      <c r="C7342" t="s">
        <v>181</v>
      </c>
      <c r="D7342" t="s">
        <v>188</v>
      </c>
      <c r="E7342" t="s">
        <v>241</v>
      </c>
      <c r="F7342" t="s">
        <v>324</v>
      </c>
      <c r="G7342" t="s">
        <v>243</v>
      </c>
      <c r="H7342" t="s">
        <v>1852</v>
      </c>
      <c r="I7342" t="s">
        <v>1853</v>
      </c>
      <c r="J7342" t="s">
        <v>1854</v>
      </c>
      <c r="K7342" t="s">
        <v>1855</v>
      </c>
      <c r="L7342" t="s">
        <v>1856</v>
      </c>
      <c r="M7342" t="s">
        <v>1857</v>
      </c>
      <c r="N7342" t="s">
        <v>1858</v>
      </c>
      <c r="O7342" t="s">
        <v>1859</v>
      </c>
      <c r="P7342" t="s">
        <v>1860</v>
      </c>
      <c r="Q7342" t="s">
        <v>1861</v>
      </c>
    </row>
    <row r="7343" spans="1:17">
      <c r="A7343" s="25" t="s">
        <v>201</v>
      </c>
      <c r="B7343">
        <v>767</v>
      </c>
      <c r="C7343" t="s">
        <v>189</v>
      </c>
      <c r="D7343">
        <v>10433</v>
      </c>
      <c r="E7343" s="1">
        <v>9.5999999999999992E-3</v>
      </c>
      <c r="F7343" s="1">
        <v>0.70240000000000002</v>
      </c>
      <c r="G7343" s="1">
        <v>5.4999999999999997E-3</v>
      </c>
      <c r="H7343" s="1">
        <v>7.6E-3</v>
      </c>
      <c r="I7343" s="1">
        <v>1.7100000000000001E-2</v>
      </c>
      <c r="J7343" s="1">
        <v>4.3499999999999997E-2</v>
      </c>
      <c r="K7343" s="1">
        <v>7.9200000000000007E-2</v>
      </c>
      <c r="L7343" s="1">
        <v>0.13739999999999999</v>
      </c>
      <c r="M7343" s="1">
        <v>5.0900000000000001E-2</v>
      </c>
      <c r="N7343" s="1">
        <v>2.76E-2</v>
      </c>
      <c r="O7343" s="1">
        <v>5.1999999999999998E-3</v>
      </c>
      <c r="P7343" s="1">
        <v>6.1400000000000003E-2</v>
      </c>
      <c r="Q7343" s="1">
        <v>6.4999999999999997E-3</v>
      </c>
    </row>
    <row r="7344" spans="1:17">
      <c r="A7344" s="25" t="s">
        <v>202</v>
      </c>
      <c r="B7344">
        <v>110</v>
      </c>
      <c r="C7344" t="s">
        <v>189</v>
      </c>
      <c r="D7344">
        <v>10433</v>
      </c>
      <c r="E7344" s="1">
        <v>5.8999999999999999E-3</v>
      </c>
      <c r="F7344" s="1">
        <v>0.85399999999999998</v>
      </c>
      <c r="H7344" s="1">
        <v>1.6899999999999998E-2</v>
      </c>
      <c r="I7344" s="1">
        <v>1.8499999999999999E-2</v>
      </c>
      <c r="J7344" s="1">
        <v>1.47E-2</v>
      </c>
      <c r="K7344" s="1">
        <v>3.2599999999999997E-2</v>
      </c>
      <c r="L7344" s="1">
        <v>2.4500000000000001E-2</v>
      </c>
      <c r="M7344" s="1">
        <v>2.3900000000000001E-2</v>
      </c>
      <c r="N7344" s="1">
        <v>7.9000000000000008E-3</v>
      </c>
      <c r="P7344" s="1">
        <v>8.3199999999999996E-2</v>
      </c>
      <c r="Q7344" s="1">
        <v>4.0000000000000001E-3</v>
      </c>
    </row>
    <row r="7345" spans="1:17">
      <c r="A7345" s="25" t="s">
        <v>203</v>
      </c>
      <c r="B7345">
        <v>8041</v>
      </c>
      <c r="C7345" t="s">
        <v>189</v>
      </c>
      <c r="D7345">
        <v>10433</v>
      </c>
      <c r="E7345" s="1">
        <v>1.47E-2</v>
      </c>
      <c r="F7345" s="1">
        <v>0.88980000000000004</v>
      </c>
      <c r="G7345" s="1">
        <v>1.9E-3</v>
      </c>
      <c r="H7345" s="1">
        <v>1.4200000000000001E-2</v>
      </c>
      <c r="J7345" s="1">
        <v>1.84E-2</v>
      </c>
      <c r="L7345" s="1">
        <v>2.3E-3</v>
      </c>
      <c r="M7345" s="1">
        <v>2.07E-2</v>
      </c>
      <c r="N7345" s="1">
        <v>7.1000000000000004E-3</v>
      </c>
      <c r="O7345" s="1">
        <v>6.1000000000000004E-3</v>
      </c>
      <c r="P7345" s="1">
        <v>3.3000000000000002E-2</v>
      </c>
      <c r="Q7345" s="1">
        <v>8.2000000000000007E-3</v>
      </c>
    </row>
    <row r="7346" spans="1:17">
      <c r="A7346" s="25" t="s">
        <v>204</v>
      </c>
      <c r="B7346">
        <v>31</v>
      </c>
      <c r="C7346" t="s">
        <v>189</v>
      </c>
      <c r="D7346">
        <v>10433</v>
      </c>
      <c r="F7346" s="1">
        <v>0.84299999999999997</v>
      </c>
      <c r="M7346" s="1">
        <v>7.2400000000000006E-2</v>
      </c>
      <c r="P7346" s="1">
        <v>8.4599999999999995E-2</v>
      </c>
    </row>
    <row r="7347" spans="1:17">
      <c r="A7347" s="25" t="s">
        <v>205</v>
      </c>
      <c r="B7347">
        <v>1484</v>
      </c>
      <c r="C7347" t="s">
        <v>189</v>
      </c>
      <c r="D7347">
        <v>10433</v>
      </c>
      <c r="E7347" s="1">
        <v>1.9099999999999999E-2</v>
      </c>
      <c r="F7347" s="1">
        <v>0.86040000000000005</v>
      </c>
      <c r="G7347" s="1">
        <v>1.3299999999999999E-2</v>
      </c>
      <c r="H7347" s="1">
        <v>3.2599999999999997E-2</v>
      </c>
      <c r="I7347" s="1">
        <v>2.9999999999999997E-4</v>
      </c>
      <c r="J7347" s="1">
        <v>1.8200000000000001E-2</v>
      </c>
      <c r="K7347" s="1">
        <v>1E-3</v>
      </c>
      <c r="L7347" s="1">
        <v>1.2200000000000001E-2</v>
      </c>
      <c r="M7347" s="1">
        <v>1.3599999999999999E-2</v>
      </c>
      <c r="N7347" s="1">
        <v>6.4999999999999997E-3</v>
      </c>
      <c r="O7347" s="1">
        <v>6.4999999999999997E-3</v>
      </c>
      <c r="P7347" s="1">
        <v>3.0099999999999998E-2</v>
      </c>
      <c r="Q7347" s="1">
        <v>1.11E-2</v>
      </c>
    </row>
    <row r="7348" spans="1:17">
      <c r="A7348" s="25" t="s">
        <v>192</v>
      </c>
      <c r="B7348">
        <v>10433</v>
      </c>
      <c r="C7348" t="s">
        <v>192</v>
      </c>
      <c r="D7348">
        <v>10433</v>
      </c>
      <c r="E7348" s="1">
        <v>1.49E-2</v>
      </c>
      <c r="F7348" s="1">
        <v>0.87239999999999995</v>
      </c>
      <c r="G7348" s="1">
        <v>3.7000000000000002E-3</v>
      </c>
      <c r="H7348" s="1">
        <v>1.6199999999999999E-2</v>
      </c>
      <c r="I7348" s="1">
        <v>1.2999999999999999E-3</v>
      </c>
      <c r="J7348" s="1">
        <v>2.01E-2</v>
      </c>
      <c r="K7348" s="1">
        <v>5.7999999999999996E-3</v>
      </c>
      <c r="L7348" s="1">
        <v>1.32E-2</v>
      </c>
      <c r="M7348" s="1">
        <v>2.1899999999999999E-2</v>
      </c>
      <c r="N7348" s="1">
        <v>8.3999999999999995E-3</v>
      </c>
      <c r="O7348" s="1">
        <v>6.0000000000000001E-3</v>
      </c>
      <c r="P7348" s="1">
        <v>3.49E-2</v>
      </c>
      <c r="Q7348" s="1">
        <v>8.3999999999999995E-3</v>
      </c>
    </row>
    <row r="7350" spans="1:17" ht="43.5">
      <c r="A7350" s="25" t="s">
        <v>1867</v>
      </c>
    </row>
    <row r="7351" spans="1:17">
      <c r="A7351" s="25" t="s">
        <v>182</v>
      </c>
      <c r="B7351" t="s">
        <v>219</v>
      </c>
      <c r="C7351" t="s">
        <v>181</v>
      </c>
      <c r="D7351" t="s">
        <v>188</v>
      </c>
      <c r="E7351" t="s">
        <v>241</v>
      </c>
      <c r="F7351" t="s">
        <v>324</v>
      </c>
      <c r="G7351" t="s">
        <v>243</v>
      </c>
      <c r="H7351" t="s">
        <v>1852</v>
      </c>
      <c r="I7351" t="s">
        <v>1853</v>
      </c>
      <c r="J7351" t="s">
        <v>1854</v>
      </c>
      <c r="K7351" t="s">
        <v>1855</v>
      </c>
      <c r="L7351" t="s">
        <v>1856</v>
      </c>
      <c r="M7351" t="s">
        <v>1857</v>
      </c>
      <c r="N7351" t="s">
        <v>1858</v>
      </c>
      <c r="O7351" t="s">
        <v>1859</v>
      </c>
      <c r="P7351" t="s">
        <v>1860</v>
      </c>
      <c r="Q7351" t="s">
        <v>1861</v>
      </c>
    </row>
    <row r="7352" spans="1:17">
      <c r="A7352" s="25" t="s">
        <v>207</v>
      </c>
      <c r="B7352">
        <v>7253</v>
      </c>
      <c r="C7352" t="s">
        <v>189</v>
      </c>
      <c r="D7352">
        <v>10433</v>
      </c>
      <c r="E7352" s="1">
        <v>1.5299999999999999E-2</v>
      </c>
      <c r="F7352" s="1">
        <v>0.86960000000000004</v>
      </c>
      <c r="G7352" s="1">
        <v>4.1000000000000003E-3</v>
      </c>
      <c r="H7352" s="1">
        <v>1.7100000000000001E-2</v>
      </c>
      <c r="I7352" s="1">
        <v>1.6999999999999999E-3</v>
      </c>
      <c r="J7352" s="1">
        <v>2.01E-2</v>
      </c>
      <c r="K7352" s="1">
        <v>7.1999999999999998E-3</v>
      </c>
      <c r="L7352" s="1">
        <v>1.37E-2</v>
      </c>
      <c r="M7352" s="1">
        <v>2.1299999999999999E-2</v>
      </c>
      <c r="N7352" s="1">
        <v>1.11E-2</v>
      </c>
      <c r="O7352" s="1">
        <v>5.0000000000000001E-3</v>
      </c>
      <c r="P7352" s="1">
        <v>3.5799999999999998E-2</v>
      </c>
      <c r="Q7352" s="1">
        <v>7.6E-3</v>
      </c>
    </row>
    <row r="7353" spans="1:17">
      <c r="A7353" s="25" t="s">
        <v>208</v>
      </c>
      <c r="B7353">
        <v>2245</v>
      </c>
      <c r="C7353" t="s">
        <v>189</v>
      </c>
      <c r="D7353">
        <v>10433</v>
      </c>
      <c r="E7353" s="1">
        <v>1.7000000000000001E-2</v>
      </c>
      <c r="F7353" s="1">
        <v>0.88419999999999999</v>
      </c>
      <c r="G7353" s="1">
        <v>2.5999999999999999E-3</v>
      </c>
      <c r="H7353" s="1">
        <v>1.4500000000000001E-2</v>
      </c>
      <c r="I7353" s="1">
        <v>1E-4</v>
      </c>
      <c r="J7353" s="1">
        <v>2.0299999999999999E-2</v>
      </c>
      <c r="K7353" s="1">
        <v>1.5E-3</v>
      </c>
      <c r="L7353" s="1">
        <v>7.7000000000000002E-3</v>
      </c>
      <c r="M7353" s="1">
        <v>2.4400000000000002E-2</v>
      </c>
      <c r="N7353" s="1">
        <v>2E-3</v>
      </c>
      <c r="O7353" s="1">
        <v>9.4999999999999998E-3</v>
      </c>
      <c r="P7353" s="1">
        <v>2.8500000000000001E-2</v>
      </c>
      <c r="Q7353" s="1">
        <v>1.18E-2</v>
      </c>
    </row>
    <row r="7354" spans="1:17">
      <c r="A7354" s="25" t="s">
        <v>209</v>
      </c>
      <c r="B7354">
        <v>935</v>
      </c>
      <c r="C7354" t="s">
        <v>189</v>
      </c>
      <c r="D7354">
        <v>10433</v>
      </c>
      <c r="E7354" s="1">
        <v>5.1999999999999998E-3</v>
      </c>
      <c r="F7354" s="1">
        <v>0.86429999999999996</v>
      </c>
      <c r="G7354" s="1">
        <v>3.3E-3</v>
      </c>
      <c r="H7354" s="1">
        <v>1.3599999999999999E-2</v>
      </c>
      <c r="I7354" s="1">
        <v>2.2000000000000001E-3</v>
      </c>
      <c r="J7354" s="1">
        <v>1.9E-2</v>
      </c>
      <c r="K7354" s="1">
        <v>6.0000000000000001E-3</v>
      </c>
      <c r="L7354" s="1">
        <v>2.3699999999999999E-2</v>
      </c>
      <c r="M7354" s="1">
        <v>2.0500000000000001E-2</v>
      </c>
      <c r="N7354" s="1">
        <v>3.0000000000000001E-3</v>
      </c>
      <c r="O7354" s="1">
        <v>5.4000000000000003E-3</v>
      </c>
      <c r="P7354" s="1">
        <v>4.5499999999999999E-2</v>
      </c>
      <c r="Q7354" s="1">
        <v>6.3E-3</v>
      </c>
    </row>
    <row r="7355" spans="1:17">
      <c r="A7355" s="25" t="s">
        <v>192</v>
      </c>
      <c r="B7355">
        <v>10433</v>
      </c>
      <c r="C7355" t="s">
        <v>192</v>
      </c>
      <c r="D7355">
        <v>10433</v>
      </c>
      <c r="E7355" s="1">
        <v>1.49E-2</v>
      </c>
      <c r="F7355" s="1">
        <v>0.87239999999999995</v>
      </c>
      <c r="G7355" s="1">
        <v>3.7000000000000002E-3</v>
      </c>
      <c r="H7355" s="1">
        <v>1.6199999999999999E-2</v>
      </c>
      <c r="I7355" s="1">
        <v>1.2999999999999999E-3</v>
      </c>
      <c r="J7355" s="1">
        <v>2.01E-2</v>
      </c>
      <c r="K7355" s="1">
        <v>5.7999999999999996E-3</v>
      </c>
      <c r="L7355" s="1">
        <v>1.32E-2</v>
      </c>
      <c r="M7355" s="1">
        <v>2.1899999999999999E-2</v>
      </c>
      <c r="N7355" s="1">
        <v>8.3999999999999995E-3</v>
      </c>
      <c r="O7355" s="1">
        <v>6.0000000000000001E-3</v>
      </c>
      <c r="P7355" s="1">
        <v>3.49E-2</v>
      </c>
      <c r="Q7355" s="1">
        <v>8.3999999999999995E-3</v>
      </c>
    </row>
    <row r="7357" spans="1:17" ht="43.5">
      <c r="A7357" s="25" t="s">
        <v>1868</v>
      </c>
    </row>
    <row r="7358" spans="1:17">
      <c r="A7358" s="25" t="s">
        <v>182</v>
      </c>
      <c r="B7358" t="s">
        <v>219</v>
      </c>
      <c r="C7358" t="s">
        <v>181</v>
      </c>
      <c r="D7358" t="s">
        <v>188</v>
      </c>
      <c r="E7358" t="s">
        <v>241</v>
      </c>
      <c r="F7358" t="s">
        <v>324</v>
      </c>
      <c r="G7358" t="s">
        <v>243</v>
      </c>
      <c r="H7358" t="s">
        <v>1852</v>
      </c>
      <c r="I7358" t="s">
        <v>1853</v>
      </c>
      <c r="J7358" t="s">
        <v>1854</v>
      </c>
      <c r="K7358" t="s">
        <v>1855</v>
      </c>
      <c r="L7358" t="s">
        <v>1856</v>
      </c>
      <c r="M7358" t="s">
        <v>1857</v>
      </c>
      <c r="N7358" t="s">
        <v>1858</v>
      </c>
      <c r="O7358" t="s">
        <v>1859</v>
      </c>
      <c r="P7358" t="s">
        <v>1860</v>
      </c>
      <c r="Q7358" t="s">
        <v>1861</v>
      </c>
    </row>
    <row r="7359" spans="1:17">
      <c r="A7359" s="25" t="s">
        <v>211</v>
      </c>
      <c r="B7359">
        <v>4971</v>
      </c>
      <c r="C7359" t="s">
        <v>189</v>
      </c>
      <c r="D7359">
        <v>10433</v>
      </c>
      <c r="E7359" s="1">
        <v>1.2699999999999999E-2</v>
      </c>
      <c r="F7359" s="1">
        <v>0.87590000000000001</v>
      </c>
      <c r="G7359" s="1">
        <v>5.8999999999999999E-3</v>
      </c>
      <c r="H7359" s="1">
        <v>1.8200000000000001E-2</v>
      </c>
      <c r="I7359" s="1">
        <v>8.0000000000000004E-4</v>
      </c>
      <c r="J7359" s="1">
        <v>1.5599999999999999E-2</v>
      </c>
      <c r="K7359" s="1">
        <v>3.3999999999999998E-3</v>
      </c>
      <c r="L7359" s="1">
        <v>1.38E-2</v>
      </c>
      <c r="M7359" s="1">
        <v>0.02</v>
      </c>
      <c r="N7359" s="1">
        <v>7.6E-3</v>
      </c>
      <c r="O7359" s="1">
        <v>6.3E-3</v>
      </c>
      <c r="P7359" s="1">
        <v>3.4500000000000003E-2</v>
      </c>
      <c r="Q7359" s="1">
        <v>7.7999999999999996E-3</v>
      </c>
    </row>
    <row r="7360" spans="1:17">
      <c r="A7360" s="25" t="s">
        <v>212</v>
      </c>
      <c r="B7360">
        <v>3376</v>
      </c>
      <c r="C7360" t="s">
        <v>189</v>
      </c>
      <c r="D7360">
        <v>10433</v>
      </c>
      <c r="E7360" s="1">
        <v>1.5100000000000001E-2</v>
      </c>
      <c r="F7360" s="1">
        <v>0.876</v>
      </c>
      <c r="G7360" s="1">
        <v>1.5E-3</v>
      </c>
      <c r="H7360" s="1">
        <v>5.7000000000000002E-3</v>
      </c>
      <c r="I7360" s="1">
        <v>8.0000000000000004E-4</v>
      </c>
      <c r="J7360" s="1">
        <v>2.8799999999999999E-2</v>
      </c>
      <c r="K7360" s="1">
        <v>6.8999999999999999E-3</v>
      </c>
      <c r="L7360" s="1">
        <v>1.5800000000000002E-2</v>
      </c>
      <c r="M7360" s="1">
        <v>2.63E-2</v>
      </c>
      <c r="N7360" s="1">
        <v>8.8000000000000005E-3</v>
      </c>
      <c r="O7360" s="1">
        <v>2.8999999999999998E-3</v>
      </c>
      <c r="P7360" s="1">
        <v>0.04</v>
      </c>
      <c r="Q7360" s="1">
        <v>6.3E-3</v>
      </c>
    </row>
    <row r="7361" spans="1:17">
      <c r="A7361" s="25" t="s">
        <v>213</v>
      </c>
      <c r="B7361">
        <v>2086</v>
      </c>
      <c r="C7361" t="s">
        <v>189</v>
      </c>
      <c r="D7361">
        <v>10433</v>
      </c>
      <c r="E7361" s="1">
        <v>1.9300000000000001E-2</v>
      </c>
      <c r="F7361" s="1">
        <v>0.86</v>
      </c>
      <c r="G7361" s="1">
        <v>2.3E-3</v>
      </c>
      <c r="H7361" s="1">
        <v>2.7E-2</v>
      </c>
      <c r="I7361" s="1">
        <v>3.3E-3</v>
      </c>
      <c r="J7361" s="1">
        <v>1.7399999999999999E-2</v>
      </c>
      <c r="K7361" s="1">
        <v>9.7000000000000003E-3</v>
      </c>
      <c r="L7361" s="1">
        <v>7.9000000000000008E-3</v>
      </c>
      <c r="M7361" s="1">
        <v>1.9900000000000001E-2</v>
      </c>
      <c r="N7361" s="1">
        <v>9.5999999999999992E-3</v>
      </c>
      <c r="O7361" s="1">
        <v>0.01</v>
      </c>
      <c r="P7361" s="1">
        <v>2.8799999999999999E-2</v>
      </c>
      <c r="Q7361" s="1">
        <v>1.2800000000000001E-2</v>
      </c>
    </row>
    <row r="7362" spans="1:17">
      <c r="A7362" s="25" t="s">
        <v>192</v>
      </c>
      <c r="B7362">
        <v>10433</v>
      </c>
      <c r="C7362" t="s">
        <v>192</v>
      </c>
      <c r="D7362">
        <v>10433</v>
      </c>
      <c r="E7362" s="1">
        <v>1.49E-2</v>
      </c>
      <c r="F7362" s="1">
        <v>0.87239999999999995</v>
      </c>
      <c r="G7362" s="1">
        <v>3.7000000000000002E-3</v>
      </c>
      <c r="H7362" s="1">
        <v>1.6199999999999999E-2</v>
      </c>
      <c r="I7362" s="1">
        <v>1.2999999999999999E-3</v>
      </c>
      <c r="J7362" s="1">
        <v>2.01E-2</v>
      </c>
      <c r="K7362" s="1">
        <v>5.7999999999999996E-3</v>
      </c>
      <c r="L7362" s="1">
        <v>1.32E-2</v>
      </c>
      <c r="M7362" s="1">
        <v>2.1899999999999999E-2</v>
      </c>
      <c r="N7362" s="1">
        <v>8.3999999999999995E-3</v>
      </c>
      <c r="O7362" s="1">
        <v>6.0000000000000001E-3</v>
      </c>
      <c r="P7362" s="1">
        <v>3.49E-2</v>
      </c>
      <c r="Q7362" s="1">
        <v>8.3999999999999995E-3</v>
      </c>
    </row>
    <row r="7364" spans="1:17" ht="43.5">
      <c r="A7364" s="25" t="s">
        <v>1869</v>
      </c>
    </row>
    <row r="7365" spans="1:17">
      <c r="A7365" s="25" t="s">
        <v>182</v>
      </c>
      <c r="B7365" t="s">
        <v>219</v>
      </c>
      <c r="C7365" t="s">
        <v>181</v>
      </c>
      <c r="D7365" t="s">
        <v>188</v>
      </c>
      <c r="E7365" t="s">
        <v>241</v>
      </c>
      <c r="F7365" t="s">
        <v>220</v>
      </c>
      <c r="G7365" t="s">
        <v>243</v>
      </c>
      <c r="H7365" t="s">
        <v>221</v>
      </c>
    </row>
    <row r="7366" spans="1:17">
      <c r="A7366" s="25" t="s">
        <v>215</v>
      </c>
      <c r="B7366">
        <v>3305</v>
      </c>
      <c r="C7366" t="s">
        <v>189</v>
      </c>
      <c r="D7366">
        <v>10419</v>
      </c>
      <c r="E7366" s="1">
        <v>1.5299999999999999E-2</v>
      </c>
      <c r="F7366" s="1">
        <v>0.84030000000000005</v>
      </c>
      <c r="G7366" s="1">
        <v>2.9999999999999997E-4</v>
      </c>
      <c r="H7366" s="1">
        <v>0.14410000000000001</v>
      </c>
    </row>
    <row r="7367" spans="1:17">
      <c r="A7367" s="25" t="s">
        <v>216</v>
      </c>
      <c r="B7367">
        <v>2</v>
      </c>
      <c r="C7367" t="s">
        <v>189</v>
      </c>
      <c r="D7367">
        <v>10419</v>
      </c>
      <c r="F7367" s="1">
        <v>1</v>
      </c>
    </row>
    <row r="7368" spans="1:17">
      <c r="A7368" s="25" t="s">
        <v>217</v>
      </c>
      <c r="B7368">
        <v>7112</v>
      </c>
      <c r="C7368" t="s">
        <v>189</v>
      </c>
      <c r="D7368">
        <v>10419</v>
      </c>
      <c r="E7368" s="1">
        <v>1.26E-2</v>
      </c>
      <c r="F7368" s="1">
        <v>0.82169999999999999</v>
      </c>
      <c r="G7368" s="1">
        <v>1.1000000000000001E-3</v>
      </c>
      <c r="H7368" s="1">
        <v>0.1646</v>
      </c>
    </row>
    <row r="7369" spans="1:17">
      <c r="A7369" s="25" t="s">
        <v>192</v>
      </c>
      <c r="B7369">
        <v>10419</v>
      </c>
      <c r="C7369" t="s">
        <v>192</v>
      </c>
      <c r="D7369">
        <v>10419</v>
      </c>
      <c r="E7369" s="1">
        <v>1.35E-2</v>
      </c>
      <c r="F7369" s="1">
        <v>0.82799999999999996</v>
      </c>
      <c r="G7369" s="1">
        <v>8.0000000000000004E-4</v>
      </c>
      <c r="H7369" s="1">
        <v>0.15759999999999999</v>
      </c>
    </row>
    <row r="7371" spans="1:17" ht="43.5">
      <c r="A7371" s="25" t="s">
        <v>1870</v>
      </c>
    </row>
    <row r="7372" spans="1:17">
      <c r="A7372" s="25" t="s">
        <v>182</v>
      </c>
      <c r="B7372" t="s">
        <v>219</v>
      </c>
      <c r="C7372" t="s">
        <v>181</v>
      </c>
      <c r="D7372" t="s">
        <v>188</v>
      </c>
      <c r="E7372" t="s">
        <v>241</v>
      </c>
      <c r="F7372" t="s">
        <v>220</v>
      </c>
      <c r="G7372" t="s">
        <v>243</v>
      </c>
      <c r="H7372" t="s">
        <v>221</v>
      </c>
    </row>
    <row r="7373" spans="1:17">
      <c r="A7373" s="25" t="s">
        <v>223</v>
      </c>
      <c r="B7373">
        <v>881</v>
      </c>
      <c r="C7373" t="s">
        <v>189</v>
      </c>
      <c r="D7373">
        <v>10419</v>
      </c>
      <c r="E7373" s="1">
        <v>1.15E-2</v>
      </c>
      <c r="F7373" s="1">
        <v>0.82299999999999995</v>
      </c>
      <c r="G7373" s="1">
        <v>2.0000000000000001E-4</v>
      </c>
      <c r="H7373" s="1">
        <v>0.1653</v>
      </c>
    </row>
    <row r="7374" spans="1:17">
      <c r="A7374" s="25" t="s">
        <v>224</v>
      </c>
      <c r="B7374">
        <v>2874</v>
      </c>
      <c r="C7374" t="s">
        <v>189</v>
      </c>
      <c r="D7374">
        <v>10419</v>
      </c>
      <c r="E7374" s="1">
        <v>7.3000000000000001E-3</v>
      </c>
      <c r="F7374" s="1">
        <v>0.81679999999999997</v>
      </c>
      <c r="G7374" s="1">
        <v>6.9999999999999999E-4</v>
      </c>
      <c r="H7374" s="1">
        <v>0.17519999999999999</v>
      </c>
    </row>
    <row r="7375" spans="1:17">
      <c r="A7375" s="25" t="s">
        <v>225</v>
      </c>
      <c r="B7375">
        <v>2810</v>
      </c>
      <c r="C7375" t="s">
        <v>189</v>
      </c>
      <c r="D7375">
        <v>10419</v>
      </c>
      <c r="E7375" s="1">
        <v>9.1999999999999998E-3</v>
      </c>
      <c r="F7375" s="1">
        <v>0.82969999999999999</v>
      </c>
      <c r="G7375" s="1">
        <v>8.9999999999999998E-4</v>
      </c>
      <c r="H7375" s="1">
        <v>0.16009999999999999</v>
      </c>
    </row>
    <row r="7376" spans="1:17">
      <c r="A7376" s="25" t="s">
        <v>226</v>
      </c>
      <c r="B7376">
        <v>3854</v>
      </c>
      <c r="C7376" t="s">
        <v>189</v>
      </c>
      <c r="D7376">
        <v>10419</v>
      </c>
      <c r="E7376" s="1">
        <v>2.1499999999999998E-2</v>
      </c>
      <c r="F7376" s="1">
        <v>0.83660000000000001</v>
      </c>
      <c r="G7376" s="1">
        <v>1.1000000000000001E-3</v>
      </c>
      <c r="H7376" s="1">
        <v>0.14080000000000001</v>
      </c>
    </row>
    <row r="7377" spans="1:8">
      <c r="A7377" s="25" t="s">
        <v>192</v>
      </c>
      <c r="B7377">
        <v>10419</v>
      </c>
      <c r="C7377" t="s">
        <v>192</v>
      </c>
      <c r="D7377">
        <v>10419</v>
      </c>
      <c r="E7377" s="1">
        <v>1.35E-2</v>
      </c>
      <c r="F7377" s="1">
        <v>0.82799999999999996</v>
      </c>
      <c r="G7377" s="1">
        <v>8.0000000000000004E-4</v>
      </c>
      <c r="H7377" s="1">
        <v>0.15759999999999999</v>
      </c>
    </row>
    <row r="7379" spans="1:8" ht="43.5">
      <c r="A7379" s="25" t="s">
        <v>1871</v>
      </c>
    </row>
    <row r="7380" spans="1:8">
      <c r="A7380" s="25" t="s">
        <v>182</v>
      </c>
      <c r="B7380" t="s">
        <v>219</v>
      </c>
      <c r="C7380" t="s">
        <v>181</v>
      </c>
      <c r="D7380" t="s">
        <v>188</v>
      </c>
      <c r="E7380" t="s">
        <v>241</v>
      </c>
      <c r="F7380" t="s">
        <v>220</v>
      </c>
      <c r="G7380" t="s">
        <v>243</v>
      </c>
      <c r="H7380" t="s">
        <v>221</v>
      </c>
    </row>
    <row r="7381" spans="1:8">
      <c r="A7381" s="25" t="s">
        <v>190</v>
      </c>
      <c r="B7381">
        <v>4899</v>
      </c>
      <c r="C7381" t="s">
        <v>189</v>
      </c>
      <c r="D7381">
        <v>10419</v>
      </c>
      <c r="E7381" s="1">
        <v>1.5900000000000001E-2</v>
      </c>
      <c r="F7381" s="1">
        <v>0.83420000000000005</v>
      </c>
      <c r="G7381" s="1">
        <v>1.4E-3</v>
      </c>
      <c r="H7381" s="1">
        <v>0.14849999999999999</v>
      </c>
    </row>
    <row r="7382" spans="1:8">
      <c r="A7382" s="25" t="s">
        <v>191</v>
      </c>
      <c r="B7382">
        <v>5463</v>
      </c>
      <c r="C7382" t="s">
        <v>189</v>
      </c>
      <c r="D7382">
        <v>10419</v>
      </c>
      <c r="E7382" s="1">
        <v>1.21E-2</v>
      </c>
      <c r="F7382" s="1">
        <v>0.82430000000000003</v>
      </c>
      <c r="G7382" s="1">
        <v>5.0000000000000001E-4</v>
      </c>
      <c r="H7382" s="1">
        <v>0.16320000000000001</v>
      </c>
    </row>
    <row r="7383" spans="1:8">
      <c r="A7383" s="25" t="s">
        <v>192</v>
      </c>
      <c r="B7383">
        <v>10419</v>
      </c>
      <c r="C7383" t="s">
        <v>192</v>
      </c>
      <c r="D7383">
        <v>10419</v>
      </c>
      <c r="E7383" s="1">
        <v>1.35E-2</v>
      </c>
      <c r="F7383" s="1">
        <v>0.82799999999999996</v>
      </c>
      <c r="G7383" s="1">
        <v>8.0000000000000004E-4</v>
      </c>
      <c r="H7383" s="1">
        <v>0.15759999999999999</v>
      </c>
    </row>
    <row r="7385" spans="1:8" ht="43.5">
      <c r="A7385" s="25" t="s">
        <v>1872</v>
      </c>
    </row>
    <row r="7386" spans="1:8">
      <c r="A7386" s="25" t="s">
        <v>182</v>
      </c>
      <c r="B7386" t="s">
        <v>219</v>
      </c>
      <c r="C7386" t="s">
        <v>181</v>
      </c>
      <c r="D7386" t="s">
        <v>188</v>
      </c>
      <c r="E7386" t="s">
        <v>241</v>
      </c>
      <c r="F7386" t="s">
        <v>220</v>
      </c>
      <c r="G7386" t="s">
        <v>243</v>
      </c>
      <c r="H7386" t="s">
        <v>221</v>
      </c>
    </row>
    <row r="7387" spans="1:8" ht="29.1">
      <c r="A7387" s="25" t="s">
        <v>194</v>
      </c>
      <c r="B7387">
        <v>5948</v>
      </c>
      <c r="C7387" t="s">
        <v>189</v>
      </c>
      <c r="D7387">
        <v>10419</v>
      </c>
      <c r="E7387" s="1">
        <v>1.46E-2</v>
      </c>
      <c r="F7387" s="1">
        <v>0.82140000000000002</v>
      </c>
      <c r="G7387" s="1">
        <v>1E-3</v>
      </c>
      <c r="H7387" s="1">
        <v>0.16300000000000001</v>
      </c>
    </row>
    <row r="7388" spans="1:8" ht="29.1">
      <c r="A7388" s="25" t="s">
        <v>195</v>
      </c>
      <c r="B7388">
        <v>2700</v>
      </c>
      <c r="C7388" t="s">
        <v>189</v>
      </c>
      <c r="D7388">
        <v>10419</v>
      </c>
      <c r="E7388" s="1">
        <v>9.5999999999999992E-3</v>
      </c>
      <c r="F7388" s="1">
        <v>0.874</v>
      </c>
      <c r="G7388" s="1">
        <v>2.9999999999999997E-4</v>
      </c>
      <c r="H7388" s="1">
        <v>0.11609999999999999</v>
      </c>
    </row>
    <row r="7389" spans="1:8" ht="29.1">
      <c r="A7389" s="25" t="s">
        <v>196</v>
      </c>
      <c r="B7389">
        <v>1714</v>
      </c>
      <c r="C7389" t="s">
        <v>189</v>
      </c>
      <c r="D7389">
        <v>10419</v>
      </c>
      <c r="E7389" s="1">
        <v>1.35E-2</v>
      </c>
      <c r="F7389" s="1">
        <v>0.7843</v>
      </c>
      <c r="G7389" s="1">
        <v>8.0000000000000004E-4</v>
      </c>
      <c r="H7389" s="1">
        <v>0.2014</v>
      </c>
    </row>
    <row r="7390" spans="1:8">
      <c r="A7390" s="25" t="s">
        <v>192</v>
      </c>
      <c r="B7390">
        <v>10419</v>
      </c>
      <c r="C7390" t="s">
        <v>192</v>
      </c>
      <c r="D7390">
        <v>10419</v>
      </c>
      <c r="E7390" s="1">
        <v>1.35E-2</v>
      </c>
      <c r="F7390" s="1">
        <v>0.82799999999999996</v>
      </c>
      <c r="G7390" s="1">
        <v>8.0000000000000004E-4</v>
      </c>
      <c r="H7390" s="1">
        <v>0.15759999999999999</v>
      </c>
    </row>
    <row r="7392" spans="1:8" ht="43.5">
      <c r="A7392" s="25" t="s">
        <v>1873</v>
      </c>
    </row>
    <row r="7393" spans="1:8">
      <c r="A7393" s="25" t="s">
        <v>182</v>
      </c>
      <c r="B7393" t="s">
        <v>219</v>
      </c>
      <c r="C7393" t="s">
        <v>181</v>
      </c>
      <c r="D7393" t="s">
        <v>188</v>
      </c>
      <c r="E7393" t="s">
        <v>241</v>
      </c>
      <c r="F7393" t="s">
        <v>220</v>
      </c>
      <c r="G7393" t="s">
        <v>243</v>
      </c>
      <c r="H7393" t="s">
        <v>221</v>
      </c>
    </row>
    <row r="7394" spans="1:8">
      <c r="A7394" s="25" t="s">
        <v>198</v>
      </c>
      <c r="B7394">
        <v>2260</v>
      </c>
      <c r="C7394" t="s">
        <v>189</v>
      </c>
      <c r="D7394">
        <v>10419</v>
      </c>
      <c r="E7394" s="1">
        <v>2.4799999999999999E-2</v>
      </c>
      <c r="F7394" s="1">
        <v>0.76459999999999995</v>
      </c>
      <c r="G7394" s="1">
        <v>2.0000000000000001E-4</v>
      </c>
      <c r="H7394" s="1">
        <v>0.2104</v>
      </c>
    </row>
    <row r="7395" spans="1:8">
      <c r="A7395" s="25" t="s">
        <v>199</v>
      </c>
      <c r="B7395">
        <v>8159</v>
      </c>
      <c r="C7395" t="s">
        <v>189</v>
      </c>
      <c r="D7395">
        <v>10419</v>
      </c>
      <c r="E7395" s="1">
        <v>1.0999999999999999E-2</v>
      </c>
      <c r="F7395" s="1">
        <v>0.84230000000000005</v>
      </c>
      <c r="G7395" s="1">
        <v>1E-3</v>
      </c>
      <c r="H7395" s="1">
        <v>0.1457</v>
      </c>
    </row>
    <row r="7396" spans="1:8">
      <c r="A7396" s="25" t="s">
        <v>192</v>
      </c>
      <c r="B7396">
        <v>10419</v>
      </c>
      <c r="C7396" t="s">
        <v>192</v>
      </c>
      <c r="D7396">
        <v>10419</v>
      </c>
      <c r="E7396" s="1">
        <v>1.35E-2</v>
      </c>
      <c r="F7396" s="1">
        <v>0.82799999999999996</v>
      </c>
      <c r="G7396" s="1">
        <v>8.0000000000000004E-4</v>
      </c>
      <c r="H7396" s="1">
        <v>0.15759999999999999</v>
      </c>
    </row>
    <row r="7398" spans="1:8" ht="43.5">
      <c r="A7398" s="25" t="s">
        <v>1874</v>
      </c>
    </row>
    <row r="7399" spans="1:8">
      <c r="A7399" s="25" t="s">
        <v>182</v>
      </c>
      <c r="B7399" t="s">
        <v>219</v>
      </c>
      <c r="C7399" t="s">
        <v>181</v>
      </c>
      <c r="D7399" t="s">
        <v>188</v>
      </c>
      <c r="E7399" t="s">
        <v>241</v>
      </c>
      <c r="F7399" t="s">
        <v>220</v>
      </c>
      <c r="G7399" t="s">
        <v>243</v>
      </c>
      <c r="H7399" t="s">
        <v>221</v>
      </c>
    </row>
    <row r="7400" spans="1:8">
      <c r="A7400" s="25" t="s">
        <v>201</v>
      </c>
      <c r="B7400">
        <v>763</v>
      </c>
      <c r="C7400" t="s">
        <v>189</v>
      </c>
      <c r="D7400">
        <v>10419</v>
      </c>
      <c r="E7400" s="1">
        <v>3.4099999999999998E-2</v>
      </c>
      <c r="F7400" s="1">
        <v>0.66449999999999998</v>
      </c>
      <c r="G7400" s="1">
        <v>2.8999999999999998E-3</v>
      </c>
      <c r="H7400" s="1">
        <v>0.29849999999999999</v>
      </c>
    </row>
    <row r="7401" spans="1:8">
      <c r="A7401" s="25" t="s">
        <v>202</v>
      </c>
      <c r="B7401">
        <v>110</v>
      </c>
      <c r="C7401" t="s">
        <v>189</v>
      </c>
      <c r="D7401">
        <v>10419</v>
      </c>
      <c r="E7401" s="1">
        <v>2.0299999999999999E-2</v>
      </c>
      <c r="F7401" s="1">
        <v>0.82930000000000004</v>
      </c>
      <c r="H7401" s="1">
        <v>0.15029999999999999</v>
      </c>
    </row>
    <row r="7402" spans="1:8">
      <c r="A7402" s="25" t="s">
        <v>203</v>
      </c>
      <c r="B7402">
        <v>8034</v>
      </c>
      <c r="C7402" t="s">
        <v>189</v>
      </c>
      <c r="D7402">
        <v>10419</v>
      </c>
      <c r="E7402" s="1">
        <v>1.21E-2</v>
      </c>
      <c r="F7402" s="1">
        <v>0.84230000000000005</v>
      </c>
      <c r="G7402" s="1">
        <v>8.0000000000000004E-4</v>
      </c>
      <c r="H7402" s="1">
        <v>0.1449</v>
      </c>
    </row>
    <row r="7403" spans="1:8">
      <c r="A7403" s="25" t="s">
        <v>204</v>
      </c>
      <c r="B7403">
        <v>31</v>
      </c>
      <c r="C7403" t="s">
        <v>189</v>
      </c>
      <c r="D7403">
        <v>10419</v>
      </c>
      <c r="F7403" s="1">
        <v>0.7792</v>
      </c>
      <c r="H7403" s="1">
        <v>0.2208</v>
      </c>
    </row>
    <row r="7404" spans="1:8">
      <c r="A7404" s="25" t="s">
        <v>205</v>
      </c>
      <c r="B7404">
        <v>1481</v>
      </c>
      <c r="C7404" t="s">
        <v>189</v>
      </c>
      <c r="D7404">
        <v>10419</v>
      </c>
      <c r="E7404" s="1">
        <v>1.14E-2</v>
      </c>
      <c r="F7404" s="1">
        <v>0.82979999999999998</v>
      </c>
      <c r="G7404" s="1">
        <v>2.9999999999999997E-4</v>
      </c>
      <c r="H7404" s="1">
        <v>0.1585</v>
      </c>
    </row>
    <row r="7405" spans="1:8">
      <c r="A7405" s="25" t="s">
        <v>192</v>
      </c>
      <c r="B7405">
        <v>10419</v>
      </c>
      <c r="C7405" t="s">
        <v>192</v>
      </c>
      <c r="D7405">
        <v>10419</v>
      </c>
      <c r="E7405" s="1">
        <v>1.35E-2</v>
      </c>
      <c r="F7405" s="1">
        <v>0.82799999999999996</v>
      </c>
      <c r="G7405" s="1">
        <v>8.0000000000000004E-4</v>
      </c>
      <c r="H7405" s="1">
        <v>0.15759999999999999</v>
      </c>
    </row>
    <row r="7407" spans="1:8" ht="43.5">
      <c r="A7407" s="25" t="s">
        <v>1875</v>
      </c>
    </row>
    <row r="7408" spans="1:8">
      <c r="A7408" s="25" t="s">
        <v>182</v>
      </c>
      <c r="B7408" t="s">
        <v>219</v>
      </c>
      <c r="C7408" t="s">
        <v>181</v>
      </c>
      <c r="D7408" t="s">
        <v>188</v>
      </c>
      <c r="E7408" t="s">
        <v>241</v>
      </c>
      <c r="F7408" t="s">
        <v>220</v>
      </c>
      <c r="G7408" t="s">
        <v>243</v>
      </c>
      <c r="H7408" t="s">
        <v>221</v>
      </c>
    </row>
    <row r="7409" spans="1:17">
      <c r="A7409" s="25" t="s">
        <v>207</v>
      </c>
      <c r="B7409">
        <v>7242</v>
      </c>
      <c r="C7409" t="s">
        <v>189</v>
      </c>
      <c r="D7409">
        <v>10419</v>
      </c>
      <c r="E7409" s="1">
        <v>1.2699999999999999E-2</v>
      </c>
      <c r="F7409" s="1">
        <v>0.82440000000000002</v>
      </c>
      <c r="G7409" s="1">
        <v>1.1000000000000001E-3</v>
      </c>
      <c r="H7409" s="1">
        <v>0.16189999999999999</v>
      </c>
    </row>
    <row r="7410" spans="1:17">
      <c r="A7410" s="25" t="s">
        <v>208</v>
      </c>
      <c r="B7410">
        <v>2244</v>
      </c>
      <c r="C7410" t="s">
        <v>189</v>
      </c>
      <c r="D7410">
        <v>10419</v>
      </c>
      <c r="E7410" s="1">
        <v>1.55E-2</v>
      </c>
      <c r="F7410" s="1">
        <v>0.86360000000000003</v>
      </c>
      <c r="G7410" s="1">
        <v>4.0000000000000002E-4</v>
      </c>
      <c r="H7410" s="1">
        <v>0.1205</v>
      </c>
    </row>
    <row r="7411" spans="1:17">
      <c r="A7411" s="25" t="s">
        <v>209</v>
      </c>
      <c r="B7411">
        <v>933</v>
      </c>
      <c r="C7411" t="s">
        <v>189</v>
      </c>
      <c r="D7411">
        <v>10419</v>
      </c>
      <c r="E7411" s="1">
        <v>1.54E-2</v>
      </c>
      <c r="F7411" s="1">
        <v>0.75839999999999996</v>
      </c>
      <c r="H7411" s="1">
        <v>0.22620000000000001</v>
      </c>
    </row>
    <row r="7412" spans="1:17">
      <c r="A7412" s="25" t="s">
        <v>192</v>
      </c>
      <c r="B7412">
        <v>10419</v>
      </c>
      <c r="C7412" t="s">
        <v>192</v>
      </c>
      <c r="D7412">
        <v>10419</v>
      </c>
      <c r="E7412" s="1">
        <v>1.35E-2</v>
      </c>
      <c r="F7412" s="1">
        <v>0.82799999999999996</v>
      </c>
      <c r="G7412" s="1">
        <v>8.0000000000000004E-4</v>
      </c>
      <c r="H7412" s="1">
        <v>0.15759999999999999</v>
      </c>
    </row>
    <row r="7414" spans="1:17" ht="43.5">
      <c r="A7414" s="25" t="s">
        <v>1876</v>
      </c>
    </row>
    <row r="7415" spans="1:17">
      <c r="A7415" s="25" t="s">
        <v>182</v>
      </c>
      <c r="B7415" t="s">
        <v>219</v>
      </c>
      <c r="C7415" t="s">
        <v>181</v>
      </c>
      <c r="D7415" t="s">
        <v>188</v>
      </c>
      <c r="E7415" t="s">
        <v>241</v>
      </c>
      <c r="F7415" t="s">
        <v>220</v>
      </c>
      <c r="G7415" t="s">
        <v>243</v>
      </c>
      <c r="H7415" t="s">
        <v>221</v>
      </c>
    </row>
    <row r="7416" spans="1:17">
      <c r="A7416" s="25" t="s">
        <v>211</v>
      </c>
      <c r="B7416">
        <v>4963</v>
      </c>
      <c r="C7416" t="s">
        <v>189</v>
      </c>
      <c r="D7416">
        <v>10419</v>
      </c>
      <c r="E7416" s="1">
        <v>1.2699999999999999E-2</v>
      </c>
      <c r="F7416" s="1">
        <v>0.82569999999999999</v>
      </c>
      <c r="G7416" s="1">
        <v>8.0000000000000004E-4</v>
      </c>
      <c r="H7416" s="1">
        <v>0.16089999999999999</v>
      </c>
    </row>
    <row r="7417" spans="1:17">
      <c r="A7417" s="25" t="s">
        <v>212</v>
      </c>
      <c r="B7417">
        <v>3373</v>
      </c>
      <c r="C7417" t="s">
        <v>189</v>
      </c>
      <c r="D7417">
        <v>10419</v>
      </c>
      <c r="E7417" s="1">
        <v>1.6899999999999998E-2</v>
      </c>
      <c r="F7417" s="1">
        <v>0.82079999999999997</v>
      </c>
      <c r="G7417" s="1">
        <v>6.9999999999999999E-4</v>
      </c>
      <c r="H7417" s="1">
        <v>0.16159999999999999</v>
      </c>
    </row>
    <row r="7418" spans="1:17">
      <c r="A7418" s="25" t="s">
        <v>213</v>
      </c>
      <c r="B7418">
        <v>2083</v>
      </c>
      <c r="C7418" t="s">
        <v>189</v>
      </c>
      <c r="D7418">
        <v>10419</v>
      </c>
      <c r="E7418" s="1">
        <v>1.06E-2</v>
      </c>
      <c r="F7418" s="1">
        <v>0.84340000000000004</v>
      </c>
      <c r="G7418" s="1">
        <v>1.1999999999999999E-3</v>
      </c>
      <c r="H7418" s="1">
        <v>0.1449</v>
      </c>
    </row>
    <row r="7419" spans="1:17">
      <c r="A7419" s="25" t="s">
        <v>192</v>
      </c>
      <c r="B7419">
        <v>10419</v>
      </c>
      <c r="C7419" t="s">
        <v>192</v>
      </c>
      <c r="D7419">
        <v>10419</v>
      </c>
      <c r="E7419" s="1">
        <v>1.35E-2</v>
      </c>
      <c r="F7419" s="1">
        <v>0.82799999999999996</v>
      </c>
      <c r="G7419" s="1">
        <v>8.0000000000000004E-4</v>
      </c>
      <c r="H7419" s="1">
        <v>0.15759999999999999</v>
      </c>
    </row>
    <row r="7421" spans="1:17" ht="43.5">
      <c r="A7421" s="25" t="s">
        <v>1877</v>
      </c>
    </row>
    <row r="7422" spans="1:17">
      <c r="A7422" s="25" t="s">
        <v>182</v>
      </c>
      <c r="B7422" t="s">
        <v>219</v>
      </c>
      <c r="C7422" t="s">
        <v>181</v>
      </c>
      <c r="D7422" t="s">
        <v>188</v>
      </c>
      <c r="E7422" t="s">
        <v>324</v>
      </c>
      <c r="F7422" t="s">
        <v>269</v>
      </c>
      <c r="G7422" t="s">
        <v>243</v>
      </c>
      <c r="H7422" t="s">
        <v>1878</v>
      </c>
      <c r="I7422" t="s">
        <v>1879</v>
      </c>
      <c r="J7422" t="s">
        <v>1744</v>
      </c>
      <c r="K7422" t="s">
        <v>1880</v>
      </c>
      <c r="L7422" t="s">
        <v>1881</v>
      </c>
      <c r="M7422" t="s">
        <v>1882</v>
      </c>
      <c r="N7422" t="s">
        <v>1883</v>
      </c>
      <c r="O7422" t="s">
        <v>1884</v>
      </c>
      <c r="P7422" t="s">
        <v>1885</v>
      </c>
      <c r="Q7422" t="s">
        <v>1886</v>
      </c>
    </row>
    <row r="7423" spans="1:17">
      <c r="A7423" s="25" t="s">
        <v>215</v>
      </c>
      <c r="B7423">
        <v>460</v>
      </c>
      <c r="C7423" t="s">
        <v>189</v>
      </c>
      <c r="D7423">
        <v>1584</v>
      </c>
      <c r="E7423" s="1">
        <v>0.58179999999999998</v>
      </c>
      <c r="F7423" s="1">
        <v>1.5299999999999999E-2</v>
      </c>
      <c r="G7423" s="1">
        <v>9.4000000000000004E-3</v>
      </c>
      <c r="H7423" s="1">
        <v>4.4600000000000001E-2</v>
      </c>
      <c r="I7423" s="1">
        <v>4.36E-2</v>
      </c>
      <c r="J7423" s="1">
        <v>2.5399999999999999E-2</v>
      </c>
      <c r="K7423" s="1">
        <v>8.1500000000000003E-2</v>
      </c>
      <c r="L7423" s="1">
        <v>5.57E-2</v>
      </c>
      <c r="M7423" s="1">
        <v>0.12379999999999999</v>
      </c>
      <c r="N7423" s="1">
        <v>2.8500000000000001E-2</v>
      </c>
      <c r="O7423" s="1">
        <v>3.0700000000000002E-2</v>
      </c>
      <c r="P7423" s="1">
        <v>2.47E-2</v>
      </c>
      <c r="Q7423" s="1">
        <v>0.1414</v>
      </c>
    </row>
    <row r="7424" spans="1:17">
      <c r="A7424" s="25" t="s">
        <v>217</v>
      </c>
      <c r="B7424">
        <v>1124</v>
      </c>
      <c r="C7424" t="s">
        <v>189</v>
      </c>
      <c r="D7424">
        <v>1584</v>
      </c>
      <c r="E7424" s="1">
        <v>0.59719999999999995</v>
      </c>
      <c r="F7424" s="1">
        <v>1.4999999999999999E-2</v>
      </c>
      <c r="G7424" s="1">
        <v>7.1999999999999998E-3</v>
      </c>
      <c r="H7424" s="1">
        <v>3.0700000000000002E-2</v>
      </c>
      <c r="I7424" s="1">
        <v>4.2900000000000001E-2</v>
      </c>
      <c r="J7424" s="1">
        <v>2.0999999999999999E-3</v>
      </c>
      <c r="K7424" s="1">
        <v>9.8100000000000007E-2</v>
      </c>
      <c r="L7424" s="1">
        <v>9.1999999999999998E-2</v>
      </c>
      <c r="M7424" s="1">
        <v>0.1288</v>
      </c>
      <c r="N7424" s="1">
        <v>2.6200000000000001E-2</v>
      </c>
      <c r="O7424" s="1">
        <v>3.9199999999999999E-2</v>
      </c>
      <c r="P7424" s="1">
        <v>3.2599999999999997E-2</v>
      </c>
      <c r="Q7424" s="1">
        <v>0.14249999999999999</v>
      </c>
    </row>
    <row r="7425" spans="1:17">
      <c r="A7425" s="25" t="s">
        <v>192</v>
      </c>
      <c r="B7425">
        <v>1584</v>
      </c>
      <c r="C7425" t="s">
        <v>192</v>
      </c>
      <c r="D7425">
        <v>1584</v>
      </c>
      <c r="E7425" s="1">
        <v>0.59240000000000004</v>
      </c>
      <c r="F7425" s="1">
        <v>1.5100000000000001E-2</v>
      </c>
      <c r="G7425" s="1">
        <v>7.9000000000000008E-3</v>
      </c>
      <c r="H7425" s="1">
        <v>3.5000000000000003E-2</v>
      </c>
      <c r="I7425" s="1">
        <v>4.3099999999999999E-2</v>
      </c>
      <c r="J7425" s="1">
        <v>9.4000000000000004E-3</v>
      </c>
      <c r="K7425" s="1">
        <v>9.2899999999999996E-2</v>
      </c>
      <c r="L7425" s="1">
        <v>8.0699999999999994E-2</v>
      </c>
      <c r="M7425" s="1">
        <v>0.12720000000000001</v>
      </c>
      <c r="N7425" s="1">
        <v>2.69E-2</v>
      </c>
      <c r="O7425" s="1">
        <v>3.6499999999999998E-2</v>
      </c>
      <c r="P7425" s="1">
        <v>3.0099999999999998E-2</v>
      </c>
      <c r="Q7425" s="1">
        <v>0.14219999999999999</v>
      </c>
    </row>
    <row r="7427" spans="1:17" ht="43.5">
      <c r="A7427" s="25" t="s">
        <v>1887</v>
      </c>
    </row>
    <row r="7428" spans="1:17">
      <c r="A7428" s="25" t="s">
        <v>182</v>
      </c>
      <c r="B7428" t="s">
        <v>219</v>
      </c>
      <c r="C7428" t="s">
        <v>181</v>
      </c>
      <c r="D7428" t="s">
        <v>188</v>
      </c>
      <c r="E7428" t="s">
        <v>324</v>
      </c>
      <c r="F7428" t="s">
        <v>269</v>
      </c>
      <c r="G7428" t="s">
        <v>243</v>
      </c>
      <c r="H7428" t="s">
        <v>1878</v>
      </c>
      <c r="I7428" t="s">
        <v>1879</v>
      </c>
      <c r="J7428" t="s">
        <v>1744</v>
      </c>
      <c r="K7428" t="s">
        <v>1880</v>
      </c>
      <c r="L7428" t="s">
        <v>1881</v>
      </c>
      <c r="M7428" t="s">
        <v>1882</v>
      </c>
      <c r="N7428" t="s">
        <v>1883</v>
      </c>
      <c r="O7428" t="s">
        <v>1884</v>
      </c>
      <c r="P7428" t="s">
        <v>1885</v>
      </c>
      <c r="Q7428" t="s">
        <v>1886</v>
      </c>
    </row>
    <row r="7429" spans="1:17">
      <c r="A7429" s="25" t="s">
        <v>223</v>
      </c>
      <c r="B7429">
        <v>144</v>
      </c>
      <c r="C7429" t="s">
        <v>189</v>
      </c>
      <c r="D7429">
        <v>1584</v>
      </c>
      <c r="E7429" s="1">
        <v>0.75509999999999999</v>
      </c>
      <c r="F7429" s="1">
        <v>7.0000000000000001E-3</v>
      </c>
      <c r="G7429" s="1">
        <v>1.4E-3</v>
      </c>
      <c r="H7429" s="1">
        <v>4.5499999999999999E-2</v>
      </c>
      <c r="I7429" s="1">
        <v>4.3999999999999997E-2</v>
      </c>
      <c r="J7429" s="1">
        <v>3.2099999999999997E-2</v>
      </c>
      <c r="K7429" s="1">
        <v>6.6400000000000001E-2</v>
      </c>
      <c r="L7429" s="1">
        <v>6.3299999999999995E-2</v>
      </c>
      <c r="M7429" s="1">
        <v>9.8500000000000004E-2</v>
      </c>
      <c r="N7429" s="1">
        <v>8.0000000000000004E-4</v>
      </c>
      <c r="O7429" s="1">
        <v>2.1399999999999999E-2</v>
      </c>
      <c r="P7429" s="1">
        <v>3.5799999999999998E-2</v>
      </c>
      <c r="Q7429" s="1">
        <v>8.9700000000000002E-2</v>
      </c>
    </row>
    <row r="7430" spans="1:17">
      <c r="A7430" s="25" t="s">
        <v>224</v>
      </c>
      <c r="B7430">
        <v>482</v>
      </c>
      <c r="C7430" t="s">
        <v>189</v>
      </c>
      <c r="D7430">
        <v>1584</v>
      </c>
      <c r="E7430" s="1">
        <v>0.65329999999999999</v>
      </c>
      <c r="F7430" s="1">
        <v>1.8599999999999998E-2</v>
      </c>
      <c r="G7430" s="1">
        <v>4.3E-3</v>
      </c>
      <c r="H7430" s="1">
        <v>2.8799999999999999E-2</v>
      </c>
      <c r="I7430" s="1">
        <v>2.1000000000000001E-2</v>
      </c>
      <c r="J7430" s="1">
        <v>9.1000000000000004E-3</v>
      </c>
      <c r="K7430" s="1">
        <v>7.8799999999999995E-2</v>
      </c>
      <c r="L7430" s="1">
        <v>6.7400000000000002E-2</v>
      </c>
      <c r="M7430" s="1">
        <v>9.5600000000000004E-2</v>
      </c>
      <c r="N7430" s="1">
        <v>8.9999999999999993E-3</v>
      </c>
      <c r="O7430" s="1">
        <v>3.8100000000000002E-2</v>
      </c>
      <c r="P7430" s="1">
        <v>3.56E-2</v>
      </c>
      <c r="Q7430" s="1">
        <v>0.13159999999999999</v>
      </c>
    </row>
    <row r="7431" spans="1:17">
      <c r="A7431" s="25" t="s">
        <v>225</v>
      </c>
      <c r="B7431">
        <v>421</v>
      </c>
      <c r="C7431" t="s">
        <v>189</v>
      </c>
      <c r="D7431">
        <v>1584</v>
      </c>
      <c r="E7431" s="1">
        <v>0.57669999999999999</v>
      </c>
      <c r="F7431" s="1">
        <v>2.12E-2</v>
      </c>
      <c r="G7431" s="1">
        <v>1.4200000000000001E-2</v>
      </c>
      <c r="H7431" s="1">
        <v>3.4799999999999998E-2</v>
      </c>
      <c r="I7431" s="1">
        <v>4.4699999999999997E-2</v>
      </c>
      <c r="J7431" s="1">
        <v>9.2999999999999992E-3</v>
      </c>
      <c r="K7431" s="1">
        <v>9.7299999999999998E-2</v>
      </c>
      <c r="L7431" s="1">
        <v>5.7599999999999998E-2</v>
      </c>
      <c r="M7431" s="1">
        <v>0.1389</v>
      </c>
      <c r="N7431" s="1">
        <v>2.53E-2</v>
      </c>
      <c r="O7431" s="1">
        <v>3.8399999999999997E-2</v>
      </c>
      <c r="P7431" s="1">
        <v>2.8299999999999999E-2</v>
      </c>
      <c r="Q7431" s="1">
        <v>0.153</v>
      </c>
    </row>
    <row r="7432" spans="1:17">
      <c r="A7432" s="25" t="s">
        <v>226</v>
      </c>
      <c r="B7432">
        <v>537</v>
      </c>
      <c r="C7432" t="s">
        <v>189</v>
      </c>
      <c r="D7432">
        <v>1584</v>
      </c>
      <c r="E7432" s="1">
        <v>0.48699999999999999</v>
      </c>
      <c r="F7432" s="1">
        <v>1.0500000000000001E-2</v>
      </c>
      <c r="G7432" s="1">
        <v>8.6999999999999994E-3</v>
      </c>
      <c r="H7432" s="1">
        <v>3.6499999999999998E-2</v>
      </c>
      <c r="I7432" s="1">
        <v>6.1100000000000002E-2</v>
      </c>
      <c r="J7432" s="1">
        <v>8.0000000000000004E-4</v>
      </c>
      <c r="K7432" s="1">
        <v>0.1125</v>
      </c>
      <c r="L7432" s="1">
        <v>0.11650000000000001</v>
      </c>
      <c r="M7432" s="1">
        <v>0.1575</v>
      </c>
      <c r="N7432" s="1">
        <v>5.4199999999999998E-2</v>
      </c>
      <c r="O7432" s="1">
        <v>3.9699999999999999E-2</v>
      </c>
      <c r="P7432" s="1">
        <v>2.4400000000000002E-2</v>
      </c>
      <c r="Q7432" s="1">
        <v>0.16389999999999999</v>
      </c>
    </row>
    <row r="7433" spans="1:17">
      <c r="A7433" s="25" t="s">
        <v>192</v>
      </c>
      <c r="B7433">
        <v>1584</v>
      </c>
      <c r="C7433" t="s">
        <v>192</v>
      </c>
      <c r="D7433">
        <v>1584</v>
      </c>
      <c r="E7433" s="1">
        <v>0.59240000000000004</v>
      </c>
      <c r="F7433" s="1">
        <v>1.5100000000000001E-2</v>
      </c>
      <c r="G7433" s="1">
        <v>7.9000000000000008E-3</v>
      </c>
      <c r="H7433" s="1">
        <v>3.5000000000000003E-2</v>
      </c>
      <c r="I7433" s="1">
        <v>4.3099999999999999E-2</v>
      </c>
      <c r="J7433" s="1">
        <v>9.4000000000000004E-3</v>
      </c>
      <c r="K7433" s="1">
        <v>9.2899999999999996E-2</v>
      </c>
      <c r="L7433" s="1">
        <v>8.0699999999999994E-2</v>
      </c>
      <c r="M7433" s="1">
        <v>0.12720000000000001</v>
      </c>
      <c r="N7433" s="1">
        <v>2.69E-2</v>
      </c>
      <c r="O7433" s="1">
        <v>3.6499999999999998E-2</v>
      </c>
      <c r="P7433" s="1">
        <v>3.0099999999999998E-2</v>
      </c>
      <c r="Q7433" s="1">
        <v>0.14219999999999999</v>
      </c>
    </row>
    <row r="7435" spans="1:17" ht="43.5">
      <c r="A7435" s="25" t="s">
        <v>1888</v>
      </c>
    </row>
    <row r="7436" spans="1:17">
      <c r="A7436" s="25" t="s">
        <v>182</v>
      </c>
      <c r="B7436" t="s">
        <v>219</v>
      </c>
      <c r="C7436" t="s">
        <v>181</v>
      </c>
      <c r="D7436" t="s">
        <v>188</v>
      </c>
      <c r="E7436" t="s">
        <v>324</v>
      </c>
      <c r="F7436" t="s">
        <v>269</v>
      </c>
      <c r="G7436" t="s">
        <v>243</v>
      </c>
      <c r="H7436" t="s">
        <v>1878</v>
      </c>
      <c r="I7436" t="s">
        <v>1879</v>
      </c>
      <c r="J7436" t="s">
        <v>1744</v>
      </c>
      <c r="K7436" t="s">
        <v>1880</v>
      </c>
      <c r="L7436" t="s">
        <v>1881</v>
      </c>
      <c r="M7436" t="s">
        <v>1882</v>
      </c>
      <c r="N7436" t="s">
        <v>1883</v>
      </c>
      <c r="O7436" t="s">
        <v>1884</v>
      </c>
      <c r="P7436" t="s">
        <v>1885</v>
      </c>
      <c r="Q7436" t="s">
        <v>1886</v>
      </c>
    </row>
    <row r="7437" spans="1:17">
      <c r="A7437" s="25" t="s">
        <v>190</v>
      </c>
      <c r="B7437">
        <v>726</v>
      </c>
      <c r="C7437" t="s">
        <v>189</v>
      </c>
      <c r="D7437">
        <v>1584</v>
      </c>
      <c r="E7437" s="1">
        <v>0.52839999999999998</v>
      </c>
      <c r="F7437" s="1">
        <v>1.0500000000000001E-2</v>
      </c>
      <c r="G7437" s="1">
        <v>1.15E-2</v>
      </c>
      <c r="H7437" s="1">
        <v>2.58E-2</v>
      </c>
      <c r="I7437" s="1">
        <v>6.4399999999999999E-2</v>
      </c>
      <c r="J7437" s="1">
        <v>4.1000000000000003E-3</v>
      </c>
      <c r="K7437" s="1">
        <v>0.1232</v>
      </c>
      <c r="L7437" s="1">
        <v>0.12570000000000001</v>
      </c>
      <c r="M7437" s="1">
        <v>0.1643</v>
      </c>
      <c r="N7437" s="1">
        <v>2.4E-2</v>
      </c>
      <c r="O7437" s="1">
        <v>3.5200000000000002E-2</v>
      </c>
      <c r="P7437" s="1">
        <v>7.6100000000000001E-2</v>
      </c>
      <c r="Q7437" s="1">
        <v>0.1149</v>
      </c>
    </row>
    <row r="7438" spans="1:17">
      <c r="A7438" s="25" t="s">
        <v>191</v>
      </c>
      <c r="B7438">
        <v>846</v>
      </c>
      <c r="C7438" t="s">
        <v>189</v>
      </c>
      <c r="D7438">
        <v>1584</v>
      </c>
      <c r="E7438" s="1">
        <v>0.628</v>
      </c>
      <c r="F7438" s="1">
        <v>1.77E-2</v>
      </c>
      <c r="G7438" s="1">
        <v>5.7999999999999996E-3</v>
      </c>
      <c r="H7438" s="1">
        <v>4.0300000000000002E-2</v>
      </c>
      <c r="I7438" s="1">
        <v>3.1300000000000001E-2</v>
      </c>
      <c r="J7438" s="1">
        <v>1.24E-2</v>
      </c>
      <c r="K7438" s="1">
        <v>7.6100000000000001E-2</v>
      </c>
      <c r="L7438" s="1">
        <v>5.5199999999999999E-2</v>
      </c>
      <c r="M7438" s="1">
        <v>0.10630000000000001</v>
      </c>
      <c r="N7438" s="1">
        <v>2.86E-2</v>
      </c>
      <c r="O7438" s="1">
        <v>3.7400000000000003E-2</v>
      </c>
      <c r="P7438" s="1">
        <v>4.3E-3</v>
      </c>
      <c r="Q7438" s="1">
        <v>0.15759999999999999</v>
      </c>
    </row>
    <row r="7439" spans="1:17">
      <c r="A7439" s="25" t="s">
        <v>192</v>
      </c>
      <c r="B7439">
        <v>1584</v>
      </c>
      <c r="C7439" t="s">
        <v>192</v>
      </c>
      <c r="D7439">
        <v>1584</v>
      </c>
      <c r="E7439" s="1">
        <v>0.59240000000000004</v>
      </c>
      <c r="F7439" s="1">
        <v>1.5100000000000001E-2</v>
      </c>
      <c r="G7439" s="1">
        <v>7.9000000000000008E-3</v>
      </c>
      <c r="H7439" s="1">
        <v>3.5000000000000003E-2</v>
      </c>
      <c r="I7439" s="1">
        <v>4.3099999999999999E-2</v>
      </c>
      <c r="J7439" s="1">
        <v>9.4000000000000004E-3</v>
      </c>
      <c r="K7439" s="1">
        <v>9.2899999999999996E-2</v>
      </c>
      <c r="L7439" s="1">
        <v>8.0699999999999994E-2</v>
      </c>
      <c r="M7439" s="1">
        <v>0.12720000000000001</v>
      </c>
      <c r="N7439" s="1">
        <v>2.69E-2</v>
      </c>
      <c r="O7439" s="1">
        <v>3.6499999999999998E-2</v>
      </c>
      <c r="P7439" s="1">
        <v>3.0099999999999998E-2</v>
      </c>
      <c r="Q7439" s="1">
        <v>0.14219999999999999</v>
      </c>
    </row>
    <row r="7441" spans="1:17" ht="57.95">
      <c r="A7441" s="25" t="s">
        <v>1889</v>
      </c>
    </row>
    <row r="7442" spans="1:17">
      <c r="A7442" s="25" t="s">
        <v>182</v>
      </c>
      <c r="B7442" t="s">
        <v>219</v>
      </c>
      <c r="C7442" t="s">
        <v>181</v>
      </c>
      <c r="D7442" t="s">
        <v>188</v>
      </c>
      <c r="E7442" t="s">
        <v>324</v>
      </c>
      <c r="F7442" t="s">
        <v>269</v>
      </c>
      <c r="G7442" t="s">
        <v>243</v>
      </c>
      <c r="H7442" t="s">
        <v>1878</v>
      </c>
      <c r="I7442" t="s">
        <v>1879</v>
      </c>
      <c r="J7442" t="s">
        <v>1744</v>
      </c>
      <c r="K7442" t="s">
        <v>1880</v>
      </c>
      <c r="L7442" t="s">
        <v>1881</v>
      </c>
      <c r="M7442" t="s">
        <v>1882</v>
      </c>
      <c r="N7442" t="s">
        <v>1883</v>
      </c>
      <c r="O7442" t="s">
        <v>1884</v>
      </c>
      <c r="P7442" t="s">
        <v>1885</v>
      </c>
      <c r="Q7442" t="s">
        <v>1886</v>
      </c>
    </row>
    <row r="7443" spans="1:17" ht="29.1">
      <c r="A7443" s="25" t="s">
        <v>194</v>
      </c>
      <c r="B7443">
        <v>869</v>
      </c>
      <c r="C7443" t="s">
        <v>189</v>
      </c>
      <c r="D7443">
        <v>1584</v>
      </c>
      <c r="E7443" s="1">
        <v>0.6</v>
      </c>
      <c r="F7443" s="1">
        <v>8.0000000000000002E-3</v>
      </c>
      <c r="G7443" s="1">
        <v>4.5999999999999999E-3</v>
      </c>
      <c r="H7443" s="1">
        <v>3.1E-2</v>
      </c>
      <c r="I7443" s="1">
        <v>4.3999999999999997E-2</v>
      </c>
      <c r="J7443" s="1">
        <v>9.2999999999999992E-3</v>
      </c>
      <c r="K7443" s="1">
        <v>0.1023</v>
      </c>
      <c r="L7443" s="1">
        <v>8.5199999999999998E-2</v>
      </c>
      <c r="M7443" s="1">
        <v>0.1278</v>
      </c>
      <c r="N7443" s="1">
        <v>3.0499999999999999E-2</v>
      </c>
      <c r="O7443" s="1">
        <v>3.56E-2</v>
      </c>
      <c r="P7443" s="1">
        <v>3.4599999999999999E-2</v>
      </c>
      <c r="Q7443" s="1">
        <v>0.14119999999999999</v>
      </c>
    </row>
    <row r="7444" spans="1:17" ht="29.1">
      <c r="A7444" s="25" t="s">
        <v>195</v>
      </c>
      <c r="B7444">
        <v>430</v>
      </c>
      <c r="C7444" t="s">
        <v>189</v>
      </c>
      <c r="D7444">
        <v>1584</v>
      </c>
      <c r="E7444" s="1">
        <v>0.61250000000000004</v>
      </c>
      <c r="F7444" s="1">
        <v>1.12E-2</v>
      </c>
      <c r="G7444" s="1">
        <v>3.0200000000000001E-2</v>
      </c>
      <c r="H7444" s="1">
        <v>2.5999999999999999E-2</v>
      </c>
      <c r="I7444" s="1">
        <v>4.5699999999999998E-2</v>
      </c>
      <c r="J7444" s="1">
        <v>6.4000000000000003E-3</v>
      </c>
      <c r="K7444" s="1">
        <v>6.1100000000000002E-2</v>
      </c>
      <c r="L7444" s="1">
        <v>4.7600000000000003E-2</v>
      </c>
      <c r="M7444" s="1">
        <v>9.6799999999999997E-2</v>
      </c>
      <c r="N7444" s="1">
        <v>9.7999999999999997E-3</v>
      </c>
      <c r="O7444" s="1">
        <v>3.6400000000000002E-2</v>
      </c>
      <c r="P7444" s="1">
        <v>1.72E-2</v>
      </c>
      <c r="Q7444" s="1">
        <v>0.14949999999999999</v>
      </c>
    </row>
    <row r="7445" spans="1:17" ht="29.1">
      <c r="A7445" s="25" t="s">
        <v>196</v>
      </c>
      <c r="B7445">
        <v>273</v>
      </c>
      <c r="C7445" t="s">
        <v>189</v>
      </c>
      <c r="D7445">
        <v>1584</v>
      </c>
      <c r="E7445" s="1">
        <v>0.51980000000000004</v>
      </c>
      <c r="F7445" s="1">
        <v>6.3200000000000006E-2</v>
      </c>
      <c r="G7445" s="1">
        <v>2E-3</v>
      </c>
      <c r="H7445" s="1">
        <v>7.0499999999999993E-2</v>
      </c>
      <c r="I7445" s="1">
        <v>3.5400000000000001E-2</v>
      </c>
      <c r="J7445" s="1">
        <v>1.34E-2</v>
      </c>
      <c r="K7445" s="1">
        <v>7.3800000000000004E-2</v>
      </c>
      <c r="L7445" s="1">
        <v>9.1600000000000001E-2</v>
      </c>
      <c r="M7445" s="1">
        <v>0.15840000000000001</v>
      </c>
      <c r="N7445" s="1">
        <v>2.53E-2</v>
      </c>
      <c r="O7445" s="1">
        <v>4.2599999999999999E-2</v>
      </c>
      <c r="P7445" s="1">
        <v>1.8100000000000002E-2</v>
      </c>
      <c r="Q7445" s="1">
        <v>0.13980000000000001</v>
      </c>
    </row>
    <row r="7446" spans="1:17">
      <c r="A7446" s="25" t="s">
        <v>192</v>
      </c>
      <c r="B7446">
        <v>1584</v>
      </c>
      <c r="C7446" t="s">
        <v>192</v>
      </c>
      <c r="D7446">
        <v>1584</v>
      </c>
      <c r="E7446" s="1">
        <v>0.59240000000000004</v>
      </c>
      <c r="F7446" s="1">
        <v>1.5100000000000001E-2</v>
      </c>
      <c r="G7446" s="1">
        <v>7.9000000000000008E-3</v>
      </c>
      <c r="H7446" s="1">
        <v>3.5000000000000003E-2</v>
      </c>
      <c r="I7446" s="1">
        <v>4.3099999999999999E-2</v>
      </c>
      <c r="J7446" s="1">
        <v>9.4000000000000004E-3</v>
      </c>
      <c r="K7446" s="1">
        <v>9.2899999999999996E-2</v>
      </c>
      <c r="L7446" s="1">
        <v>8.0699999999999994E-2</v>
      </c>
      <c r="M7446" s="1">
        <v>0.12720000000000001</v>
      </c>
      <c r="N7446" s="1">
        <v>2.69E-2</v>
      </c>
      <c r="O7446" s="1">
        <v>3.6499999999999998E-2</v>
      </c>
      <c r="P7446" s="1">
        <v>3.0099999999999998E-2</v>
      </c>
      <c r="Q7446" s="1">
        <v>0.14219999999999999</v>
      </c>
    </row>
    <row r="7448" spans="1:17" ht="43.5">
      <c r="A7448" s="25" t="s">
        <v>1890</v>
      </c>
    </row>
    <row r="7449" spans="1:17">
      <c r="A7449" s="25" t="s">
        <v>182</v>
      </c>
      <c r="B7449" t="s">
        <v>219</v>
      </c>
      <c r="C7449" t="s">
        <v>181</v>
      </c>
      <c r="D7449" t="s">
        <v>188</v>
      </c>
      <c r="E7449" t="s">
        <v>324</v>
      </c>
      <c r="F7449" t="s">
        <v>269</v>
      </c>
      <c r="G7449" t="s">
        <v>243</v>
      </c>
      <c r="H7449" t="s">
        <v>1878</v>
      </c>
      <c r="I7449" t="s">
        <v>1879</v>
      </c>
      <c r="J7449" t="s">
        <v>1744</v>
      </c>
      <c r="K7449" t="s">
        <v>1880</v>
      </c>
      <c r="L7449" t="s">
        <v>1881</v>
      </c>
      <c r="M7449" t="s">
        <v>1882</v>
      </c>
      <c r="N7449" t="s">
        <v>1883</v>
      </c>
      <c r="O7449" t="s">
        <v>1884</v>
      </c>
      <c r="P7449" t="s">
        <v>1885</v>
      </c>
      <c r="Q7449" t="s">
        <v>1886</v>
      </c>
    </row>
    <row r="7450" spans="1:17">
      <c r="A7450" s="25" t="s">
        <v>198</v>
      </c>
      <c r="B7450">
        <v>431</v>
      </c>
      <c r="C7450" t="s">
        <v>189</v>
      </c>
      <c r="D7450">
        <v>1584</v>
      </c>
      <c r="E7450" s="1">
        <v>0.45839999999999997</v>
      </c>
      <c r="F7450" s="1">
        <v>1.67E-2</v>
      </c>
      <c r="G7450" s="1">
        <v>1.32E-2</v>
      </c>
      <c r="H7450" s="1">
        <v>5.3199999999999997E-2</v>
      </c>
      <c r="I7450" s="1">
        <v>5.6399999999999999E-2</v>
      </c>
      <c r="J7450" s="1">
        <v>1E-3</v>
      </c>
      <c r="K7450" s="1">
        <v>0.1356</v>
      </c>
      <c r="L7450" s="1">
        <v>0.10290000000000001</v>
      </c>
      <c r="M7450" s="1">
        <v>0.19639999999999999</v>
      </c>
      <c r="N7450" s="1">
        <v>9.2799999999999994E-2</v>
      </c>
      <c r="O7450" s="1">
        <v>1.8100000000000002E-2</v>
      </c>
      <c r="P7450" s="1">
        <v>2.92E-2</v>
      </c>
      <c r="Q7450" s="1">
        <v>0.16819999999999999</v>
      </c>
    </row>
    <row r="7451" spans="1:17">
      <c r="A7451" s="25" t="s">
        <v>199</v>
      </c>
      <c r="B7451">
        <v>1153</v>
      </c>
      <c r="C7451" t="s">
        <v>189</v>
      </c>
      <c r="D7451">
        <v>1584</v>
      </c>
      <c r="E7451" s="1">
        <v>0.63570000000000004</v>
      </c>
      <c r="F7451" s="1">
        <v>1.46E-2</v>
      </c>
      <c r="G7451" s="1">
        <v>6.1000000000000004E-3</v>
      </c>
      <c r="H7451" s="1">
        <v>2.9100000000000001E-2</v>
      </c>
      <c r="I7451" s="1">
        <v>3.8800000000000001E-2</v>
      </c>
      <c r="J7451" s="1">
        <v>1.2E-2</v>
      </c>
      <c r="K7451" s="1">
        <v>7.9100000000000004E-2</v>
      </c>
      <c r="L7451" s="1">
        <v>7.3499999999999996E-2</v>
      </c>
      <c r="M7451" s="1">
        <v>0.1048</v>
      </c>
      <c r="N7451" s="1">
        <v>5.5999999999999999E-3</v>
      </c>
      <c r="O7451" s="1">
        <v>4.2500000000000003E-2</v>
      </c>
      <c r="P7451" s="1">
        <v>3.04E-2</v>
      </c>
      <c r="Q7451" s="1">
        <v>0.1338</v>
      </c>
    </row>
    <row r="7452" spans="1:17">
      <c r="A7452" s="25" t="s">
        <v>192</v>
      </c>
      <c r="B7452">
        <v>1584</v>
      </c>
      <c r="C7452" t="s">
        <v>192</v>
      </c>
      <c r="D7452">
        <v>1584</v>
      </c>
      <c r="E7452" s="1">
        <v>0.59240000000000004</v>
      </c>
      <c r="F7452" s="1">
        <v>1.5100000000000001E-2</v>
      </c>
      <c r="G7452" s="1">
        <v>7.9000000000000008E-3</v>
      </c>
      <c r="H7452" s="1">
        <v>3.5000000000000003E-2</v>
      </c>
      <c r="I7452" s="1">
        <v>4.3099999999999999E-2</v>
      </c>
      <c r="J7452" s="1">
        <v>9.4000000000000004E-3</v>
      </c>
      <c r="K7452" s="1">
        <v>9.2899999999999996E-2</v>
      </c>
      <c r="L7452" s="1">
        <v>8.0699999999999994E-2</v>
      </c>
      <c r="M7452" s="1">
        <v>0.12720000000000001</v>
      </c>
      <c r="N7452" s="1">
        <v>2.69E-2</v>
      </c>
      <c r="O7452" s="1">
        <v>3.6499999999999998E-2</v>
      </c>
      <c r="P7452" s="1">
        <v>3.0099999999999998E-2</v>
      </c>
      <c r="Q7452" s="1">
        <v>0.14219999999999999</v>
      </c>
    </row>
    <row r="7454" spans="1:17" ht="43.5">
      <c r="A7454" s="25" t="s">
        <v>1891</v>
      </c>
    </row>
    <row r="7455" spans="1:17">
      <c r="A7455" s="25" t="s">
        <v>182</v>
      </c>
      <c r="B7455" t="s">
        <v>219</v>
      </c>
      <c r="C7455" t="s">
        <v>181</v>
      </c>
      <c r="D7455" t="s">
        <v>188</v>
      </c>
      <c r="E7455" t="s">
        <v>324</v>
      </c>
      <c r="F7455" t="s">
        <v>269</v>
      </c>
      <c r="G7455" t="s">
        <v>243</v>
      </c>
      <c r="H7455" t="s">
        <v>1878</v>
      </c>
      <c r="I7455" t="s">
        <v>1879</v>
      </c>
      <c r="J7455" t="s">
        <v>1744</v>
      </c>
      <c r="K7455" t="s">
        <v>1880</v>
      </c>
      <c r="L7455" t="s">
        <v>1881</v>
      </c>
      <c r="M7455" t="s">
        <v>1882</v>
      </c>
      <c r="N7455" t="s">
        <v>1883</v>
      </c>
      <c r="O7455" t="s">
        <v>1884</v>
      </c>
      <c r="P7455" t="s">
        <v>1885</v>
      </c>
      <c r="Q7455" t="s">
        <v>1886</v>
      </c>
    </row>
    <row r="7456" spans="1:17">
      <c r="A7456" s="25" t="s">
        <v>201</v>
      </c>
      <c r="B7456">
        <v>196</v>
      </c>
      <c r="C7456" t="s">
        <v>189</v>
      </c>
      <c r="D7456">
        <v>1584</v>
      </c>
      <c r="E7456" s="1">
        <v>0.62229999999999996</v>
      </c>
      <c r="F7456" s="1">
        <v>1.9099999999999999E-2</v>
      </c>
      <c r="H7456" s="1">
        <v>3.0499999999999999E-2</v>
      </c>
      <c r="I7456" s="1">
        <v>5.5999999999999999E-3</v>
      </c>
      <c r="J7456" s="1">
        <v>2.1999999999999999E-2</v>
      </c>
      <c r="K7456" s="1">
        <v>7.6499999999999999E-2</v>
      </c>
      <c r="L7456" s="1">
        <v>9.3799999999999994E-2</v>
      </c>
      <c r="M7456" s="1">
        <v>7.8899999999999998E-2</v>
      </c>
      <c r="N7456" s="1">
        <v>1.03E-2</v>
      </c>
      <c r="O7456" s="1">
        <v>6.2600000000000003E-2</v>
      </c>
      <c r="P7456" s="1">
        <v>1.9E-3</v>
      </c>
      <c r="Q7456" s="1">
        <v>0.15540000000000001</v>
      </c>
    </row>
    <row r="7457" spans="1:17">
      <c r="A7457" s="25" t="s">
        <v>202</v>
      </c>
      <c r="B7457">
        <v>16</v>
      </c>
      <c r="C7457" t="s">
        <v>189</v>
      </c>
      <c r="D7457">
        <v>1584</v>
      </c>
      <c r="E7457" s="1">
        <v>0.44650000000000001</v>
      </c>
      <c r="G7457" s="1">
        <v>4.4299999999999999E-2</v>
      </c>
      <c r="J7457" s="1">
        <v>2.7300000000000001E-2</v>
      </c>
      <c r="K7457" s="1">
        <v>1.2E-2</v>
      </c>
      <c r="L7457" s="1">
        <v>0.24399999999999999</v>
      </c>
      <c r="M7457" s="1">
        <v>0.1757</v>
      </c>
      <c r="O7457" s="1">
        <v>0.15820000000000001</v>
      </c>
      <c r="P7457" s="1">
        <v>4.4299999999999999E-2</v>
      </c>
      <c r="Q7457" s="1">
        <v>0.1263</v>
      </c>
    </row>
    <row r="7458" spans="1:17">
      <c r="A7458" s="25" t="s">
        <v>203</v>
      </c>
      <c r="B7458">
        <v>1101</v>
      </c>
      <c r="C7458" t="s">
        <v>189</v>
      </c>
      <c r="D7458">
        <v>1584</v>
      </c>
      <c r="E7458" s="1">
        <v>0.56699999999999995</v>
      </c>
      <c r="F7458" s="1">
        <v>1.3299999999999999E-2</v>
      </c>
      <c r="G7458" s="1">
        <v>1.0500000000000001E-2</v>
      </c>
      <c r="H7458" s="1">
        <v>3.78E-2</v>
      </c>
      <c r="I7458" s="1">
        <v>5.7799999999999997E-2</v>
      </c>
      <c r="J7458" s="1">
        <v>6.7000000000000002E-3</v>
      </c>
      <c r="K7458" s="1">
        <v>9.0899999999999995E-2</v>
      </c>
      <c r="L7458" s="1">
        <v>7.8700000000000006E-2</v>
      </c>
      <c r="M7458" s="1">
        <v>0.1399</v>
      </c>
      <c r="N7458" s="1">
        <v>3.2599999999999997E-2</v>
      </c>
      <c r="O7458" s="1">
        <v>3.15E-2</v>
      </c>
      <c r="P7458" s="1">
        <v>3.9100000000000003E-2</v>
      </c>
      <c r="Q7458" s="1">
        <v>0.14219999999999999</v>
      </c>
    </row>
    <row r="7459" spans="1:17">
      <c r="A7459" s="25" t="s">
        <v>204</v>
      </c>
      <c r="B7459">
        <v>5</v>
      </c>
      <c r="C7459" t="s">
        <v>189</v>
      </c>
      <c r="D7459">
        <v>1584</v>
      </c>
      <c r="E7459" s="1">
        <v>0.127</v>
      </c>
      <c r="K7459" s="1">
        <v>0.2172</v>
      </c>
      <c r="Q7459" s="1">
        <v>0.65569999999999995</v>
      </c>
    </row>
    <row r="7460" spans="1:17">
      <c r="A7460" s="25" t="s">
        <v>205</v>
      </c>
      <c r="B7460">
        <v>266</v>
      </c>
      <c r="C7460" t="s">
        <v>189</v>
      </c>
      <c r="D7460">
        <v>1584</v>
      </c>
      <c r="E7460" s="1">
        <v>0.71179999999999999</v>
      </c>
      <c r="F7460" s="1">
        <v>2.1299999999999999E-2</v>
      </c>
      <c r="H7460" s="1">
        <v>2.69E-2</v>
      </c>
      <c r="I7460" s="1">
        <v>4.4999999999999997E-3</v>
      </c>
      <c r="J7460" s="1">
        <v>1.0699999999999999E-2</v>
      </c>
      <c r="K7460" s="1">
        <v>0.12</v>
      </c>
      <c r="L7460" s="1">
        <v>7.3599999999999999E-2</v>
      </c>
      <c r="M7460" s="1">
        <v>0.1071</v>
      </c>
      <c r="N7460" s="1">
        <v>1.46E-2</v>
      </c>
      <c r="O7460" s="1">
        <v>3.3799999999999997E-2</v>
      </c>
      <c r="P7460" s="1">
        <v>1.0200000000000001E-2</v>
      </c>
      <c r="Q7460" s="1">
        <v>0.1201</v>
      </c>
    </row>
    <row r="7461" spans="1:17">
      <c r="A7461" s="25" t="s">
        <v>192</v>
      </c>
      <c r="B7461">
        <v>1584</v>
      </c>
      <c r="C7461" t="s">
        <v>192</v>
      </c>
      <c r="D7461">
        <v>1584</v>
      </c>
      <c r="E7461" s="1">
        <v>0.59240000000000004</v>
      </c>
      <c r="F7461" s="1">
        <v>1.5100000000000001E-2</v>
      </c>
      <c r="G7461" s="1">
        <v>7.9000000000000008E-3</v>
      </c>
      <c r="H7461" s="1">
        <v>3.5000000000000003E-2</v>
      </c>
      <c r="I7461" s="1">
        <v>4.3099999999999999E-2</v>
      </c>
      <c r="J7461" s="1">
        <v>9.4000000000000004E-3</v>
      </c>
      <c r="K7461" s="1">
        <v>9.2899999999999996E-2</v>
      </c>
      <c r="L7461" s="1">
        <v>8.0699999999999994E-2</v>
      </c>
      <c r="M7461" s="1">
        <v>0.12720000000000001</v>
      </c>
      <c r="N7461" s="1">
        <v>2.69E-2</v>
      </c>
      <c r="O7461" s="1">
        <v>3.6499999999999998E-2</v>
      </c>
      <c r="P7461" s="1">
        <v>3.0099999999999998E-2</v>
      </c>
      <c r="Q7461" s="1">
        <v>0.14219999999999999</v>
      </c>
    </row>
    <row r="7463" spans="1:17" ht="43.5">
      <c r="A7463" s="25" t="s">
        <v>1892</v>
      </c>
    </row>
    <row r="7464" spans="1:17">
      <c r="A7464" s="25" t="s">
        <v>182</v>
      </c>
      <c r="B7464" t="s">
        <v>219</v>
      </c>
      <c r="C7464" t="s">
        <v>181</v>
      </c>
      <c r="D7464" t="s">
        <v>188</v>
      </c>
      <c r="E7464" t="s">
        <v>324</v>
      </c>
      <c r="F7464" t="s">
        <v>269</v>
      </c>
      <c r="G7464" t="s">
        <v>243</v>
      </c>
      <c r="H7464" t="s">
        <v>1878</v>
      </c>
      <c r="I7464" t="s">
        <v>1879</v>
      </c>
      <c r="J7464" t="s">
        <v>1744</v>
      </c>
      <c r="K7464" t="s">
        <v>1880</v>
      </c>
      <c r="L7464" t="s">
        <v>1881</v>
      </c>
      <c r="M7464" t="s">
        <v>1882</v>
      </c>
      <c r="N7464" t="s">
        <v>1883</v>
      </c>
      <c r="O7464" t="s">
        <v>1884</v>
      </c>
      <c r="P7464" t="s">
        <v>1885</v>
      </c>
      <c r="Q7464" t="s">
        <v>1886</v>
      </c>
    </row>
    <row r="7465" spans="1:17">
      <c r="A7465" s="25" t="s">
        <v>207</v>
      </c>
      <c r="B7465">
        <v>1101</v>
      </c>
      <c r="C7465" t="s">
        <v>189</v>
      </c>
      <c r="D7465">
        <v>1584</v>
      </c>
      <c r="E7465" s="1">
        <v>0.61419999999999997</v>
      </c>
      <c r="F7465" s="1">
        <v>1.6899999999999998E-2</v>
      </c>
      <c r="G7465" s="1">
        <v>8.3999999999999995E-3</v>
      </c>
      <c r="H7465" s="1">
        <v>3.5499999999999997E-2</v>
      </c>
      <c r="I7465" s="1">
        <v>4.0800000000000003E-2</v>
      </c>
      <c r="J7465" s="1">
        <v>7.4999999999999997E-3</v>
      </c>
      <c r="K7465" s="1">
        <v>9.2100000000000001E-2</v>
      </c>
      <c r="L7465" s="1">
        <v>7.0999999999999994E-2</v>
      </c>
      <c r="M7465" s="1">
        <v>0.1211</v>
      </c>
      <c r="N7465" s="1">
        <v>3.44E-2</v>
      </c>
      <c r="O7465" s="1">
        <v>3.7400000000000003E-2</v>
      </c>
      <c r="P7465" s="1">
        <v>3.0099999999999998E-2</v>
      </c>
      <c r="Q7465" s="1">
        <v>0.15260000000000001</v>
      </c>
    </row>
    <row r="7466" spans="1:17">
      <c r="A7466" s="25" t="s">
        <v>208</v>
      </c>
      <c r="B7466">
        <v>287</v>
      </c>
      <c r="C7466" t="s">
        <v>189</v>
      </c>
      <c r="D7466">
        <v>1584</v>
      </c>
      <c r="E7466" s="1">
        <v>0.4617</v>
      </c>
      <c r="F7466" s="1">
        <v>1.06E-2</v>
      </c>
      <c r="G7466" s="1">
        <v>1.06E-2</v>
      </c>
      <c r="H7466" s="1">
        <v>3.5099999999999999E-2</v>
      </c>
      <c r="I7466" s="1">
        <v>5.3699999999999998E-2</v>
      </c>
      <c r="J7466" s="1">
        <v>2.2599999999999999E-2</v>
      </c>
      <c r="K7466" s="1">
        <v>9.9299999999999999E-2</v>
      </c>
      <c r="L7466" s="1">
        <v>9.7900000000000001E-2</v>
      </c>
      <c r="M7466" s="1">
        <v>0.14180000000000001</v>
      </c>
      <c r="N7466" s="1">
        <v>8.8000000000000005E-3</v>
      </c>
      <c r="O7466" s="1">
        <v>5.04E-2</v>
      </c>
      <c r="P7466" s="1">
        <v>3.0499999999999999E-2</v>
      </c>
      <c r="Q7466" s="1">
        <v>0.1424</v>
      </c>
    </row>
    <row r="7467" spans="1:17">
      <c r="A7467" s="25" t="s">
        <v>209</v>
      </c>
      <c r="B7467">
        <v>196</v>
      </c>
      <c r="C7467" t="s">
        <v>189</v>
      </c>
      <c r="D7467">
        <v>1584</v>
      </c>
      <c r="E7467" s="1">
        <v>0.65380000000000005</v>
      </c>
      <c r="F7467" s="1">
        <v>1.04E-2</v>
      </c>
      <c r="H7467" s="1">
        <v>3.15E-2</v>
      </c>
      <c r="I7467" s="1">
        <v>4.19E-2</v>
      </c>
      <c r="J7467" s="1">
        <v>1.1000000000000001E-3</v>
      </c>
      <c r="K7467" s="1">
        <v>8.8200000000000001E-2</v>
      </c>
      <c r="L7467" s="1">
        <v>0.1159</v>
      </c>
      <c r="M7467" s="1">
        <v>0.14369999999999999</v>
      </c>
      <c r="N7467" s="1">
        <v>7.4000000000000003E-3</v>
      </c>
      <c r="O7467" s="1">
        <v>1.0200000000000001E-2</v>
      </c>
      <c r="P7467" s="1">
        <v>2.98E-2</v>
      </c>
      <c r="Q7467" s="1">
        <v>7.6200000000000004E-2</v>
      </c>
    </row>
    <row r="7468" spans="1:17">
      <c r="A7468" s="25" t="s">
        <v>192</v>
      </c>
      <c r="B7468">
        <v>1584</v>
      </c>
      <c r="C7468" t="s">
        <v>192</v>
      </c>
      <c r="D7468">
        <v>1584</v>
      </c>
      <c r="E7468" s="1">
        <v>0.59240000000000004</v>
      </c>
      <c r="F7468" s="1">
        <v>1.5100000000000001E-2</v>
      </c>
      <c r="G7468" s="1">
        <v>7.9000000000000008E-3</v>
      </c>
      <c r="H7468" s="1">
        <v>3.5000000000000003E-2</v>
      </c>
      <c r="I7468" s="1">
        <v>4.3099999999999999E-2</v>
      </c>
      <c r="J7468" s="1">
        <v>9.4000000000000004E-3</v>
      </c>
      <c r="K7468" s="1">
        <v>9.2899999999999996E-2</v>
      </c>
      <c r="L7468" s="1">
        <v>8.0699999999999994E-2</v>
      </c>
      <c r="M7468" s="1">
        <v>0.12720000000000001</v>
      </c>
      <c r="N7468" s="1">
        <v>2.69E-2</v>
      </c>
      <c r="O7468" s="1">
        <v>3.6499999999999998E-2</v>
      </c>
      <c r="P7468" s="1">
        <v>3.0099999999999998E-2</v>
      </c>
      <c r="Q7468" s="1">
        <v>0.14219999999999999</v>
      </c>
    </row>
    <row r="7470" spans="1:17" ht="43.5">
      <c r="A7470" s="25" t="s">
        <v>1893</v>
      </c>
    </row>
    <row r="7471" spans="1:17">
      <c r="A7471" s="25" t="s">
        <v>182</v>
      </c>
      <c r="B7471" t="s">
        <v>219</v>
      </c>
      <c r="C7471" t="s">
        <v>181</v>
      </c>
      <c r="D7471" t="s">
        <v>188</v>
      </c>
      <c r="E7471" t="s">
        <v>324</v>
      </c>
      <c r="F7471" t="s">
        <v>269</v>
      </c>
      <c r="G7471" t="s">
        <v>243</v>
      </c>
      <c r="H7471" t="s">
        <v>1878</v>
      </c>
      <c r="I7471" t="s">
        <v>1879</v>
      </c>
      <c r="J7471" t="s">
        <v>1744</v>
      </c>
      <c r="K7471" t="s">
        <v>1880</v>
      </c>
      <c r="L7471" t="s">
        <v>1881</v>
      </c>
      <c r="M7471" t="s">
        <v>1882</v>
      </c>
      <c r="N7471" t="s">
        <v>1883</v>
      </c>
      <c r="O7471" t="s">
        <v>1884</v>
      </c>
      <c r="P7471" t="s">
        <v>1885</v>
      </c>
      <c r="Q7471" t="s">
        <v>1886</v>
      </c>
    </row>
    <row r="7472" spans="1:17">
      <c r="A7472" s="25" t="s">
        <v>211</v>
      </c>
      <c r="B7472">
        <v>764</v>
      </c>
      <c r="C7472" t="s">
        <v>189</v>
      </c>
      <c r="D7472">
        <v>1584</v>
      </c>
      <c r="E7472" s="1">
        <v>0.61699999999999999</v>
      </c>
      <c r="F7472" s="1">
        <v>1.77E-2</v>
      </c>
      <c r="G7472" s="1">
        <v>7.7999999999999996E-3</v>
      </c>
      <c r="H7472" s="1">
        <v>3.0700000000000002E-2</v>
      </c>
      <c r="I7472" s="1">
        <v>3.8800000000000001E-2</v>
      </c>
      <c r="J7472" s="1">
        <v>6.1999999999999998E-3</v>
      </c>
      <c r="K7472" s="1">
        <v>0.1033</v>
      </c>
      <c r="L7472" s="1">
        <v>8.3099999999999993E-2</v>
      </c>
      <c r="M7472" s="1">
        <v>0.13150000000000001</v>
      </c>
      <c r="N7472" s="1">
        <v>3.0800000000000001E-2</v>
      </c>
      <c r="O7472" s="1">
        <v>3.15E-2</v>
      </c>
      <c r="P7472" s="1">
        <v>2.53E-2</v>
      </c>
      <c r="Q7472" s="1">
        <v>0.14410000000000001</v>
      </c>
    </row>
    <row r="7473" spans="1:20">
      <c r="A7473" s="25" t="s">
        <v>212</v>
      </c>
      <c r="B7473">
        <v>533</v>
      </c>
      <c r="C7473" t="s">
        <v>189</v>
      </c>
      <c r="D7473">
        <v>1584</v>
      </c>
      <c r="E7473" s="1">
        <v>0.54659999999999997</v>
      </c>
      <c r="F7473" s="1">
        <v>1.0999999999999999E-2</v>
      </c>
      <c r="G7473" s="1">
        <v>1.2999999999999999E-2</v>
      </c>
      <c r="H7473" s="1">
        <v>2.3800000000000002E-2</v>
      </c>
      <c r="I7473" s="1">
        <v>4.9099999999999998E-2</v>
      </c>
      <c r="K7473" s="1">
        <v>9.5799999999999996E-2</v>
      </c>
      <c r="L7473" s="1">
        <v>9.4700000000000006E-2</v>
      </c>
      <c r="M7473" s="1">
        <v>0.1396</v>
      </c>
      <c r="N7473" s="1">
        <v>3.15E-2</v>
      </c>
      <c r="O7473" s="1">
        <v>4.7199999999999999E-2</v>
      </c>
      <c r="P7473" s="1">
        <v>3.8800000000000001E-2</v>
      </c>
      <c r="Q7473" s="1">
        <v>0.12790000000000001</v>
      </c>
    </row>
    <row r="7474" spans="1:20">
      <c r="A7474" s="25" t="s">
        <v>213</v>
      </c>
      <c r="B7474">
        <v>287</v>
      </c>
      <c r="C7474" t="s">
        <v>189</v>
      </c>
      <c r="D7474">
        <v>1584</v>
      </c>
      <c r="E7474" s="1">
        <v>0.60660000000000003</v>
      </c>
      <c r="F7474" s="1">
        <v>1.54E-2</v>
      </c>
      <c r="H7474" s="1">
        <v>6.3E-2</v>
      </c>
      <c r="I7474" s="1">
        <v>4.3900000000000002E-2</v>
      </c>
      <c r="J7474" s="1">
        <v>3.1600000000000003E-2</v>
      </c>
      <c r="K7474" s="1">
        <v>6.3899999999999998E-2</v>
      </c>
      <c r="L7474" s="1">
        <v>5.2699999999999997E-2</v>
      </c>
      <c r="M7474" s="1">
        <v>9.74E-2</v>
      </c>
      <c r="N7474" s="1">
        <v>1.0500000000000001E-2</v>
      </c>
      <c r="O7474" s="1">
        <v>3.1699999999999999E-2</v>
      </c>
      <c r="P7474" s="1">
        <v>2.7799999999999998E-2</v>
      </c>
      <c r="Q7474" s="1">
        <v>0.1603</v>
      </c>
    </row>
    <row r="7475" spans="1:20">
      <c r="A7475" s="25" t="s">
        <v>192</v>
      </c>
      <c r="B7475">
        <v>1584</v>
      </c>
      <c r="C7475" t="s">
        <v>192</v>
      </c>
      <c r="D7475">
        <v>1584</v>
      </c>
      <c r="E7475" s="1">
        <v>0.59240000000000004</v>
      </c>
      <c r="F7475" s="1">
        <v>1.5100000000000001E-2</v>
      </c>
      <c r="G7475" s="1">
        <v>7.9000000000000008E-3</v>
      </c>
      <c r="H7475" s="1">
        <v>3.5000000000000003E-2</v>
      </c>
      <c r="I7475" s="1">
        <v>4.3099999999999999E-2</v>
      </c>
      <c r="J7475" s="1">
        <v>9.4000000000000004E-3</v>
      </c>
      <c r="K7475" s="1">
        <v>9.2899999999999996E-2</v>
      </c>
      <c r="L7475" s="1">
        <v>8.0699999999999994E-2</v>
      </c>
      <c r="M7475" s="1">
        <v>0.12720000000000001</v>
      </c>
      <c r="N7475" s="1">
        <v>2.69E-2</v>
      </c>
      <c r="O7475" s="1">
        <v>3.6499999999999998E-2</v>
      </c>
      <c r="P7475" s="1">
        <v>3.0099999999999998E-2</v>
      </c>
      <c r="Q7475" s="1">
        <v>0.14219999999999999</v>
      </c>
    </row>
    <row r="7477" spans="1:20" ht="43.5">
      <c r="A7477" s="25" t="s">
        <v>1894</v>
      </c>
    </row>
    <row r="7478" spans="1:20">
      <c r="A7478" s="25" t="s">
        <v>182</v>
      </c>
      <c r="B7478" t="s">
        <v>219</v>
      </c>
      <c r="C7478" t="s">
        <v>181</v>
      </c>
      <c r="D7478" t="s">
        <v>188</v>
      </c>
      <c r="E7478" t="s">
        <v>1895</v>
      </c>
      <c r="F7478" t="s">
        <v>241</v>
      </c>
      <c r="G7478" t="s">
        <v>1896</v>
      </c>
      <c r="H7478" t="s">
        <v>1897</v>
      </c>
      <c r="I7478" t="s">
        <v>1898</v>
      </c>
      <c r="J7478" t="s">
        <v>1899</v>
      </c>
      <c r="K7478" t="s">
        <v>324</v>
      </c>
      <c r="L7478" t="s">
        <v>269</v>
      </c>
      <c r="M7478" t="s">
        <v>676</v>
      </c>
      <c r="N7478" t="s">
        <v>1900</v>
      </c>
      <c r="O7478" t="s">
        <v>1901</v>
      </c>
      <c r="P7478" t="s">
        <v>1902</v>
      </c>
      <c r="Q7478" t="s">
        <v>1903</v>
      </c>
      <c r="R7478" t="s">
        <v>1904</v>
      </c>
      <c r="S7478" t="s">
        <v>1905</v>
      </c>
      <c r="T7478" t="s">
        <v>1906</v>
      </c>
    </row>
    <row r="7479" spans="1:20">
      <c r="A7479" s="25" t="s">
        <v>215</v>
      </c>
      <c r="B7479">
        <v>3302</v>
      </c>
      <c r="C7479" t="s">
        <v>189</v>
      </c>
      <c r="D7479">
        <v>10414</v>
      </c>
      <c r="E7479" s="1">
        <v>9.3299999999999994E-2</v>
      </c>
      <c r="F7479" s="1">
        <v>0.3826</v>
      </c>
      <c r="G7479" s="1">
        <v>0.2034</v>
      </c>
      <c r="H7479" s="1">
        <v>0.40250000000000002</v>
      </c>
      <c r="I7479" s="1">
        <v>0.2104</v>
      </c>
      <c r="J7479" s="1">
        <v>0.1537</v>
      </c>
      <c r="K7479" s="1">
        <v>0.1479</v>
      </c>
      <c r="M7479" s="1">
        <v>2.3E-3</v>
      </c>
      <c r="N7479" s="1">
        <v>0.1968</v>
      </c>
      <c r="O7479" s="1">
        <v>0.18260000000000001</v>
      </c>
      <c r="P7479" s="1">
        <v>0.20669999999999999</v>
      </c>
      <c r="Q7479" s="1">
        <v>0.1051</v>
      </c>
      <c r="R7479" s="1">
        <v>7.3899999999999993E-2</v>
      </c>
      <c r="S7479" s="1">
        <v>9.0700000000000003E-2</v>
      </c>
      <c r="T7479" s="1">
        <v>0.12770000000000001</v>
      </c>
    </row>
    <row r="7480" spans="1:20">
      <c r="A7480" s="25" t="s">
        <v>216</v>
      </c>
      <c r="B7480">
        <v>2</v>
      </c>
      <c r="C7480" t="s">
        <v>189</v>
      </c>
      <c r="D7480">
        <v>10414</v>
      </c>
      <c r="F7480" s="1">
        <v>1</v>
      </c>
    </row>
    <row r="7481" spans="1:20">
      <c r="A7481" s="25" t="s">
        <v>217</v>
      </c>
      <c r="B7481">
        <v>7110</v>
      </c>
      <c r="C7481" t="s">
        <v>189</v>
      </c>
      <c r="D7481">
        <v>10414</v>
      </c>
      <c r="E7481" s="1">
        <v>8.6699999999999999E-2</v>
      </c>
      <c r="F7481" s="1">
        <v>0.2641</v>
      </c>
      <c r="G7481" s="1">
        <v>0.18779999999999999</v>
      </c>
      <c r="H7481" s="1">
        <v>0.43669999999999998</v>
      </c>
      <c r="I7481" s="1">
        <v>0.19950000000000001</v>
      </c>
      <c r="J7481" s="1">
        <v>0.14369999999999999</v>
      </c>
      <c r="K7481" s="1">
        <v>0.19489999999999999</v>
      </c>
      <c r="L7481" s="1">
        <v>1.1000000000000001E-3</v>
      </c>
      <c r="M7481" s="1">
        <v>1.2999999999999999E-3</v>
      </c>
      <c r="N7481" s="1">
        <v>0.23089999999999999</v>
      </c>
      <c r="O7481" s="1">
        <v>0.19070000000000001</v>
      </c>
      <c r="P7481" s="1">
        <v>0.22900000000000001</v>
      </c>
      <c r="Q7481" s="1">
        <v>8.5999999999999993E-2</v>
      </c>
      <c r="R7481" s="1">
        <v>5.9499999999999997E-2</v>
      </c>
      <c r="S7481" s="1">
        <v>8.43E-2</v>
      </c>
      <c r="T7481" s="1">
        <v>0.1143</v>
      </c>
    </row>
    <row r="7482" spans="1:20">
      <c r="A7482" s="25" t="s">
        <v>192</v>
      </c>
      <c r="B7482">
        <v>10414</v>
      </c>
      <c r="C7482" t="s">
        <v>192</v>
      </c>
      <c r="D7482">
        <v>10414</v>
      </c>
      <c r="E7482" s="1">
        <v>8.8900000000000007E-2</v>
      </c>
      <c r="F7482" s="1">
        <v>0.30449999999999999</v>
      </c>
      <c r="G7482" s="1">
        <v>0.19309999999999999</v>
      </c>
      <c r="H7482" s="1">
        <v>0.42499999999999999</v>
      </c>
      <c r="I7482" s="1">
        <v>0.2031</v>
      </c>
      <c r="J7482" s="1">
        <v>0.14710000000000001</v>
      </c>
      <c r="K7482" s="1">
        <v>0.1789</v>
      </c>
      <c r="L7482" s="1">
        <v>6.9999999999999999E-4</v>
      </c>
      <c r="M7482" s="1">
        <v>1.6999999999999999E-3</v>
      </c>
      <c r="N7482" s="1">
        <v>0.21929999999999999</v>
      </c>
      <c r="O7482" s="1">
        <v>0.18790000000000001</v>
      </c>
      <c r="P7482" s="1">
        <v>0.22140000000000001</v>
      </c>
      <c r="Q7482" s="1">
        <v>9.2499999999999999E-2</v>
      </c>
      <c r="R7482" s="1">
        <v>6.4399999999999999E-2</v>
      </c>
      <c r="S7482" s="1">
        <v>8.6499999999999994E-2</v>
      </c>
      <c r="T7482" s="1">
        <v>0.11890000000000001</v>
      </c>
    </row>
    <row r="7484" spans="1:20" ht="43.5">
      <c r="A7484" s="25" t="s">
        <v>1907</v>
      </c>
    </row>
    <row r="7485" spans="1:20">
      <c r="A7485" s="25" t="s">
        <v>182</v>
      </c>
      <c r="B7485" t="s">
        <v>219</v>
      </c>
      <c r="C7485" t="s">
        <v>181</v>
      </c>
      <c r="D7485" t="s">
        <v>188</v>
      </c>
      <c r="E7485" t="s">
        <v>1895</v>
      </c>
      <c r="F7485" t="s">
        <v>241</v>
      </c>
      <c r="G7485" t="s">
        <v>1896</v>
      </c>
      <c r="H7485" t="s">
        <v>1897</v>
      </c>
      <c r="I7485" t="s">
        <v>1898</v>
      </c>
      <c r="J7485" t="s">
        <v>1899</v>
      </c>
      <c r="K7485" t="s">
        <v>324</v>
      </c>
      <c r="L7485" t="s">
        <v>269</v>
      </c>
      <c r="M7485" t="s">
        <v>676</v>
      </c>
      <c r="N7485" t="s">
        <v>1900</v>
      </c>
      <c r="O7485" t="s">
        <v>1901</v>
      </c>
      <c r="P7485" t="s">
        <v>1902</v>
      </c>
      <c r="Q7485" t="s">
        <v>1903</v>
      </c>
      <c r="R7485" t="s">
        <v>1904</v>
      </c>
      <c r="S7485" t="s">
        <v>1905</v>
      </c>
      <c r="T7485" t="s">
        <v>1906</v>
      </c>
    </row>
    <row r="7486" spans="1:20">
      <c r="A7486" s="25" t="s">
        <v>223</v>
      </c>
      <c r="B7486">
        <v>882</v>
      </c>
      <c r="C7486" t="s">
        <v>189</v>
      </c>
      <c r="D7486">
        <v>10414</v>
      </c>
      <c r="E7486" s="1">
        <v>0.1231</v>
      </c>
      <c r="F7486" s="1">
        <v>0.2109</v>
      </c>
      <c r="G7486" s="1">
        <v>0.27760000000000001</v>
      </c>
      <c r="H7486" s="1">
        <v>0.52290000000000003</v>
      </c>
      <c r="I7486" s="1">
        <v>0.32419999999999999</v>
      </c>
      <c r="J7486" s="1">
        <v>0.2077</v>
      </c>
      <c r="K7486" s="1">
        <v>0.1295</v>
      </c>
      <c r="M7486" s="1">
        <v>5.0000000000000001E-4</v>
      </c>
      <c r="N7486" s="1">
        <v>0.36919999999999997</v>
      </c>
      <c r="O7486" s="1">
        <v>0.32329999999999998</v>
      </c>
      <c r="P7486" s="1">
        <v>0.35339999999999999</v>
      </c>
      <c r="Q7486" s="1">
        <v>0.16320000000000001</v>
      </c>
      <c r="R7486" s="1">
        <v>9.8400000000000001E-2</v>
      </c>
      <c r="S7486" s="1">
        <v>0.12620000000000001</v>
      </c>
      <c r="T7486" s="1">
        <v>0.2157</v>
      </c>
    </row>
    <row r="7487" spans="1:20">
      <c r="A7487" s="25" t="s">
        <v>224</v>
      </c>
      <c r="B7487">
        <v>2872</v>
      </c>
      <c r="C7487" t="s">
        <v>189</v>
      </c>
      <c r="D7487">
        <v>10414</v>
      </c>
      <c r="E7487" s="1">
        <v>0.10979999999999999</v>
      </c>
      <c r="F7487" s="1">
        <v>0.2283</v>
      </c>
      <c r="G7487" s="1">
        <v>0.2238</v>
      </c>
      <c r="H7487" s="1">
        <v>0.48459999999999998</v>
      </c>
      <c r="I7487" s="1">
        <v>0.2646</v>
      </c>
      <c r="J7487" s="1">
        <v>0.19750000000000001</v>
      </c>
      <c r="K7487" s="1">
        <v>0.1643</v>
      </c>
      <c r="L7487" s="1">
        <v>2.7000000000000001E-3</v>
      </c>
      <c r="M7487" s="1">
        <v>1.6999999999999999E-3</v>
      </c>
      <c r="N7487" s="1">
        <v>0.31719999999999998</v>
      </c>
      <c r="O7487" s="1">
        <v>0.25659999999999999</v>
      </c>
      <c r="P7487" s="1">
        <v>0.30030000000000001</v>
      </c>
      <c r="Q7487" s="1">
        <v>0.14219999999999999</v>
      </c>
      <c r="R7487" s="1">
        <v>7.7700000000000005E-2</v>
      </c>
      <c r="S7487" s="1">
        <v>0.105</v>
      </c>
      <c r="T7487" s="1">
        <v>0.16350000000000001</v>
      </c>
    </row>
    <row r="7488" spans="1:20">
      <c r="A7488" s="25" t="s">
        <v>225</v>
      </c>
      <c r="B7488">
        <v>2810</v>
      </c>
      <c r="C7488" t="s">
        <v>189</v>
      </c>
      <c r="D7488">
        <v>10414</v>
      </c>
      <c r="E7488" s="1">
        <v>9.9099999999999994E-2</v>
      </c>
      <c r="F7488" s="1">
        <v>0.28610000000000002</v>
      </c>
      <c r="G7488" s="1">
        <v>0.2031</v>
      </c>
      <c r="H7488" s="1">
        <v>0.43190000000000001</v>
      </c>
      <c r="I7488" s="1">
        <v>0.2114</v>
      </c>
      <c r="J7488" s="1">
        <v>0.14230000000000001</v>
      </c>
      <c r="K7488" s="1">
        <v>0.19670000000000001</v>
      </c>
      <c r="L7488" s="1">
        <v>0</v>
      </c>
      <c r="M7488" s="1">
        <v>2.3999999999999998E-3</v>
      </c>
      <c r="N7488" s="1">
        <v>0.21010000000000001</v>
      </c>
      <c r="O7488" s="1">
        <v>0.17910000000000001</v>
      </c>
      <c r="P7488" s="1">
        <v>0.2089</v>
      </c>
      <c r="Q7488" s="1">
        <v>8.9700000000000002E-2</v>
      </c>
      <c r="R7488" s="1">
        <v>6.8000000000000005E-2</v>
      </c>
      <c r="S7488" s="1">
        <v>9.0899999999999995E-2</v>
      </c>
      <c r="T7488" s="1">
        <v>0.11749999999999999</v>
      </c>
    </row>
    <row r="7489" spans="1:20">
      <c r="A7489" s="25" t="s">
        <v>226</v>
      </c>
      <c r="B7489">
        <v>3850</v>
      </c>
      <c r="C7489" t="s">
        <v>189</v>
      </c>
      <c r="D7489">
        <v>10414</v>
      </c>
      <c r="E7489" s="1">
        <v>5.6099999999999997E-2</v>
      </c>
      <c r="F7489" s="1">
        <v>0.40160000000000001</v>
      </c>
      <c r="G7489" s="1">
        <v>0.13669999999999999</v>
      </c>
      <c r="H7489" s="1">
        <v>0.3458</v>
      </c>
      <c r="I7489" s="1">
        <v>0.114</v>
      </c>
      <c r="J7489" s="1">
        <v>9.4500000000000001E-2</v>
      </c>
      <c r="K7489" s="1">
        <v>0.19400000000000001</v>
      </c>
      <c r="L7489" s="1">
        <v>1E-4</v>
      </c>
      <c r="M7489" s="1">
        <v>1.6000000000000001E-3</v>
      </c>
      <c r="N7489" s="1">
        <v>0.10639999999999999</v>
      </c>
      <c r="O7489" s="1">
        <v>0.10009999999999999</v>
      </c>
      <c r="P7489" s="1">
        <v>0.12989999999999999</v>
      </c>
      <c r="Q7489" s="1">
        <v>3.5700000000000003E-2</v>
      </c>
      <c r="R7489" s="1">
        <v>4.1200000000000001E-2</v>
      </c>
      <c r="S7489" s="1">
        <v>5.7200000000000001E-2</v>
      </c>
      <c r="T7489" s="1">
        <v>5.6099999999999997E-2</v>
      </c>
    </row>
    <row r="7490" spans="1:20">
      <c r="A7490" s="25" t="s">
        <v>192</v>
      </c>
      <c r="B7490">
        <v>10414</v>
      </c>
      <c r="C7490" t="s">
        <v>192</v>
      </c>
      <c r="D7490">
        <v>10414</v>
      </c>
      <c r="E7490" s="1">
        <v>8.8900000000000007E-2</v>
      </c>
      <c r="F7490" s="1">
        <v>0.30449999999999999</v>
      </c>
      <c r="G7490" s="1">
        <v>0.19309999999999999</v>
      </c>
      <c r="H7490" s="1">
        <v>0.42499999999999999</v>
      </c>
      <c r="I7490" s="1">
        <v>0.2031</v>
      </c>
      <c r="J7490" s="1">
        <v>0.14710000000000001</v>
      </c>
      <c r="K7490" s="1">
        <v>0.1789</v>
      </c>
      <c r="L7490" s="1">
        <v>6.9999999999999999E-4</v>
      </c>
      <c r="M7490" s="1">
        <v>1.6999999999999999E-3</v>
      </c>
      <c r="N7490" s="1">
        <v>0.21929999999999999</v>
      </c>
      <c r="O7490" s="1">
        <v>0.18790000000000001</v>
      </c>
      <c r="P7490" s="1">
        <v>0.22140000000000001</v>
      </c>
      <c r="Q7490" s="1">
        <v>9.2499999999999999E-2</v>
      </c>
      <c r="R7490" s="1">
        <v>6.4399999999999999E-2</v>
      </c>
      <c r="S7490" s="1">
        <v>8.6499999999999994E-2</v>
      </c>
      <c r="T7490" s="1">
        <v>0.11890000000000001</v>
      </c>
    </row>
    <row r="7492" spans="1:20" ht="43.5">
      <c r="A7492" s="25" t="s">
        <v>1908</v>
      </c>
    </row>
    <row r="7493" spans="1:20">
      <c r="A7493" s="25" t="s">
        <v>182</v>
      </c>
      <c r="B7493" t="s">
        <v>219</v>
      </c>
      <c r="C7493" t="s">
        <v>181</v>
      </c>
      <c r="D7493" t="s">
        <v>188</v>
      </c>
      <c r="E7493" t="s">
        <v>1895</v>
      </c>
      <c r="F7493" t="s">
        <v>241</v>
      </c>
      <c r="G7493" t="s">
        <v>1896</v>
      </c>
      <c r="H7493" t="s">
        <v>1897</v>
      </c>
      <c r="I7493" t="s">
        <v>1898</v>
      </c>
      <c r="J7493" t="s">
        <v>1899</v>
      </c>
      <c r="K7493" t="s">
        <v>324</v>
      </c>
      <c r="L7493" t="s">
        <v>269</v>
      </c>
      <c r="M7493" t="s">
        <v>676</v>
      </c>
      <c r="N7493" t="s">
        <v>1900</v>
      </c>
      <c r="O7493" t="s">
        <v>1901</v>
      </c>
      <c r="P7493" t="s">
        <v>1902</v>
      </c>
      <c r="Q7493" t="s">
        <v>1903</v>
      </c>
      <c r="R7493" t="s">
        <v>1904</v>
      </c>
      <c r="S7493" t="s">
        <v>1905</v>
      </c>
      <c r="T7493" t="s">
        <v>1906</v>
      </c>
    </row>
    <row r="7494" spans="1:20">
      <c r="A7494" s="25" t="s">
        <v>190</v>
      </c>
      <c r="B7494">
        <v>4893</v>
      </c>
      <c r="C7494" t="s">
        <v>189</v>
      </c>
      <c r="D7494">
        <v>10414</v>
      </c>
      <c r="E7494" s="1">
        <v>3.4200000000000001E-2</v>
      </c>
      <c r="F7494" s="1">
        <v>0.26900000000000002</v>
      </c>
      <c r="G7494" s="1">
        <v>9.6299999999999997E-2</v>
      </c>
      <c r="H7494" s="1">
        <v>0.30420000000000003</v>
      </c>
      <c r="I7494" s="1">
        <v>7.2599999999999998E-2</v>
      </c>
      <c r="J7494" s="1">
        <v>3.6799999999999999E-2</v>
      </c>
      <c r="K7494" s="1">
        <v>0.36459999999999998</v>
      </c>
      <c r="M7494" s="1">
        <v>1.6000000000000001E-3</v>
      </c>
      <c r="N7494" s="1">
        <v>7.1099999999999997E-2</v>
      </c>
      <c r="O7494" s="1">
        <v>7.3999999999999996E-2</v>
      </c>
      <c r="P7494" s="1">
        <v>6.9500000000000006E-2</v>
      </c>
      <c r="Q7494" s="1">
        <v>1.54E-2</v>
      </c>
      <c r="R7494" s="1">
        <v>2.2100000000000002E-2</v>
      </c>
      <c r="S7494" s="1">
        <v>2.9000000000000001E-2</v>
      </c>
      <c r="T7494" s="1">
        <v>1.77E-2</v>
      </c>
    </row>
    <row r="7495" spans="1:20">
      <c r="A7495" s="25" t="s">
        <v>191</v>
      </c>
      <c r="B7495">
        <v>5464</v>
      </c>
      <c r="C7495" t="s">
        <v>189</v>
      </c>
      <c r="D7495">
        <v>10414</v>
      </c>
      <c r="E7495" s="1">
        <v>0.1229</v>
      </c>
      <c r="F7495" s="1">
        <v>0.32579999999999998</v>
      </c>
      <c r="G7495" s="1">
        <v>0.25319999999999998</v>
      </c>
      <c r="H7495" s="1">
        <v>0.5</v>
      </c>
      <c r="I7495" s="1">
        <v>0.28389999999999999</v>
      </c>
      <c r="J7495" s="1">
        <v>0.21529999999999999</v>
      </c>
      <c r="K7495" s="1">
        <v>6.4399999999999999E-2</v>
      </c>
      <c r="L7495" s="1">
        <v>1.1999999999999999E-3</v>
      </c>
      <c r="M7495" s="1">
        <v>1.6999999999999999E-3</v>
      </c>
      <c r="N7495" s="1">
        <v>0.31090000000000001</v>
      </c>
      <c r="O7495" s="1">
        <v>0.25840000000000002</v>
      </c>
      <c r="P7495" s="1">
        <v>0.31540000000000001</v>
      </c>
      <c r="Q7495" s="1">
        <v>0.14019999999999999</v>
      </c>
      <c r="R7495" s="1">
        <v>9.0499999999999997E-2</v>
      </c>
      <c r="S7495" s="1">
        <v>0.1221</v>
      </c>
      <c r="T7495" s="1">
        <v>0.18149999999999999</v>
      </c>
    </row>
    <row r="7496" spans="1:20">
      <c r="A7496" s="25" t="s">
        <v>192</v>
      </c>
      <c r="B7496">
        <v>10414</v>
      </c>
      <c r="C7496" t="s">
        <v>192</v>
      </c>
      <c r="D7496">
        <v>10414</v>
      </c>
      <c r="E7496" s="1">
        <v>8.8900000000000007E-2</v>
      </c>
      <c r="F7496" s="1">
        <v>0.30449999999999999</v>
      </c>
      <c r="G7496" s="1">
        <v>0.19309999999999999</v>
      </c>
      <c r="H7496" s="1">
        <v>0.42499999999999999</v>
      </c>
      <c r="I7496" s="1">
        <v>0.2031</v>
      </c>
      <c r="J7496" s="1">
        <v>0.14710000000000001</v>
      </c>
      <c r="K7496" s="1">
        <v>0.1789</v>
      </c>
      <c r="L7496" s="1">
        <v>6.9999999999999999E-4</v>
      </c>
      <c r="M7496" s="1">
        <v>1.6999999999999999E-3</v>
      </c>
      <c r="N7496" s="1">
        <v>0.21929999999999999</v>
      </c>
      <c r="O7496" s="1">
        <v>0.18790000000000001</v>
      </c>
      <c r="P7496" s="1">
        <v>0.22140000000000001</v>
      </c>
      <c r="Q7496" s="1">
        <v>9.2499999999999999E-2</v>
      </c>
      <c r="R7496" s="1">
        <v>6.4399999999999999E-2</v>
      </c>
      <c r="S7496" s="1">
        <v>8.6499999999999994E-2</v>
      </c>
      <c r="T7496" s="1">
        <v>0.11890000000000001</v>
      </c>
    </row>
    <row r="7498" spans="1:20" ht="43.5">
      <c r="A7498" s="25" t="s">
        <v>1909</v>
      </c>
    </row>
    <row r="7499" spans="1:20">
      <c r="A7499" s="25" t="s">
        <v>182</v>
      </c>
      <c r="B7499" t="s">
        <v>219</v>
      </c>
      <c r="C7499" t="s">
        <v>181</v>
      </c>
      <c r="D7499" t="s">
        <v>188</v>
      </c>
      <c r="E7499" t="s">
        <v>1895</v>
      </c>
      <c r="F7499" t="s">
        <v>241</v>
      </c>
      <c r="G7499" t="s">
        <v>1896</v>
      </c>
      <c r="H7499" t="s">
        <v>1897</v>
      </c>
      <c r="I7499" t="s">
        <v>1898</v>
      </c>
      <c r="J7499" t="s">
        <v>1899</v>
      </c>
      <c r="K7499" t="s">
        <v>324</v>
      </c>
      <c r="L7499" t="s">
        <v>269</v>
      </c>
      <c r="M7499" t="s">
        <v>676</v>
      </c>
      <c r="N7499" t="s">
        <v>1900</v>
      </c>
      <c r="O7499" t="s">
        <v>1901</v>
      </c>
      <c r="P7499" t="s">
        <v>1902</v>
      </c>
      <c r="Q7499" t="s">
        <v>1903</v>
      </c>
      <c r="R7499" t="s">
        <v>1904</v>
      </c>
      <c r="S7499" t="s">
        <v>1905</v>
      </c>
      <c r="T7499" t="s">
        <v>1906</v>
      </c>
    </row>
    <row r="7500" spans="1:20" ht="29.1">
      <c r="A7500" s="25" t="s">
        <v>194</v>
      </c>
      <c r="B7500">
        <v>5947</v>
      </c>
      <c r="C7500" t="s">
        <v>189</v>
      </c>
      <c r="D7500">
        <v>10414</v>
      </c>
      <c r="E7500" s="1">
        <v>0.115</v>
      </c>
      <c r="F7500" s="1">
        <v>0.26550000000000001</v>
      </c>
      <c r="G7500" s="1">
        <v>0.2397</v>
      </c>
      <c r="H7500" s="1">
        <v>0.46160000000000001</v>
      </c>
      <c r="I7500" s="1">
        <v>0.23449999999999999</v>
      </c>
      <c r="J7500" s="1">
        <v>0.1777</v>
      </c>
      <c r="K7500" s="1">
        <v>0.18529999999999999</v>
      </c>
      <c r="L7500" s="1">
        <v>1E-3</v>
      </c>
      <c r="M7500" s="1">
        <v>1.2999999999999999E-3</v>
      </c>
      <c r="N7500" s="1">
        <v>0.2258</v>
      </c>
      <c r="O7500" s="1">
        <v>0.22059999999999999</v>
      </c>
      <c r="P7500" s="1">
        <v>0.246</v>
      </c>
      <c r="Q7500" s="1">
        <v>0.10630000000000001</v>
      </c>
      <c r="R7500" s="1">
        <v>8.2299999999999998E-2</v>
      </c>
      <c r="S7500" s="1">
        <v>0.1081</v>
      </c>
      <c r="T7500" s="1">
        <v>0.14249999999999999</v>
      </c>
    </row>
    <row r="7501" spans="1:20" ht="29.1">
      <c r="A7501" s="25" t="s">
        <v>195</v>
      </c>
      <c r="B7501">
        <v>2699</v>
      </c>
      <c r="C7501" t="s">
        <v>189</v>
      </c>
      <c r="D7501">
        <v>10414</v>
      </c>
      <c r="E7501" s="1">
        <v>2.4500000000000001E-2</v>
      </c>
      <c r="F7501" s="1">
        <v>0.36820000000000003</v>
      </c>
      <c r="G7501" s="1">
        <v>9.1999999999999998E-2</v>
      </c>
      <c r="H7501" s="1">
        <v>0.35349999999999998</v>
      </c>
      <c r="I7501" s="1">
        <v>0.1507</v>
      </c>
      <c r="J7501" s="1">
        <v>7.6700000000000004E-2</v>
      </c>
      <c r="K7501" s="1">
        <v>0.1797</v>
      </c>
      <c r="M7501" s="1">
        <v>3.3E-3</v>
      </c>
      <c r="N7501" s="1">
        <v>0.19739999999999999</v>
      </c>
      <c r="O7501" s="1">
        <v>0.11</v>
      </c>
      <c r="P7501" s="1">
        <v>0.18720000000000001</v>
      </c>
      <c r="Q7501" s="1">
        <v>6.3899999999999998E-2</v>
      </c>
      <c r="R7501" s="1">
        <v>1.7500000000000002E-2</v>
      </c>
      <c r="S7501" s="1">
        <v>3.7999999999999999E-2</v>
      </c>
      <c r="T7501" s="1">
        <v>6.3799999999999996E-2</v>
      </c>
    </row>
    <row r="7502" spans="1:20" ht="29.1">
      <c r="A7502" s="25" t="s">
        <v>196</v>
      </c>
      <c r="B7502">
        <v>1711</v>
      </c>
      <c r="C7502" t="s">
        <v>189</v>
      </c>
      <c r="D7502">
        <v>10414</v>
      </c>
      <c r="E7502" s="1">
        <v>2.3800000000000002E-2</v>
      </c>
      <c r="F7502" s="1">
        <v>0.46629999999999999</v>
      </c>
      <c r="G7502" s="1">
        <v>4.8099999999999997E-2</v>
      </c>
      <c r="H7502" s="1">
        <v>0.29630000000000001</v>
      </c>
      <c r="I7502" s="1">
        <v>7.3400000000000007E-2</v>
      </c>
      <c r="J7502" s="1">
        <v>5.9700000000000003E-2</v>
      </c>
      <c r="K7502" s="1">
        <v>0.1293</v>
      </c>
      <c r="L7502" s="1">
        <v>1E-4</v>
      </c>
      <c r="M7502" s="1">
        <v>1E-3</v>
      </c>
      <c r="N7502" s="1">
        <v>0.2157</v>
      </c>
      <c r="O7502" s="1">
        <v>0.1002</v>
      </c>
      <c r="P7502" s="1">
        <v>0.106</v>
      </c>
      <c r="Q7502" s="1">
        <v>4.65E-2</v>
      </c>
      <c r="R7502" s="1">
        <v>2.4400000000000002E-2</v>
      </c>
      <c r="S7502" s="1">
        <v>2.23E-2</v>
      </c>
      <c r="T7502" s="1">
        <v>5.3400000000000003E-2</v>
      </c>
    </row>
    <row r="7503" spans="1:20">
      <c r="A7503" s="25" t="s">
        <v>192</v>
      </c>
      <c r="B7503">
        <v>10414</v>
      </c>
      <c r="C7503" t="s">
        <v>192</v>
      </c>
      <c r="D7503">
        <v>10414</v>
      </c>
      <c r="E7503" s="1">
        <v>8.8900000000000007E-2</v>
      </c>
      <c r="F7503" s="1">
        <v>0.30449999999999999</v>
      </c>
      <c r="G7503" s="1">
        <v>0.19309999999999999</v>
      </c>
      <c r="H7503" s="1">
        <v>0.42499999999999999</v>
      </c>
      <c r="I7503" s="1">
        <v>0.2031</v>
      </c>
      <c r="J7503" s="1">
        <v>0.14710000000000001</v>
      </c>
      <c r="K7503" s="1">
        <v>0.1789</v>
      </c>
      <c r="L7503" s="1">
        <v>6.9999999999999999E-4</v>
      </c>
      <c r="M7503" s="1">
        <v>1.6999999999999999E-3</v>
      </c>
      <c r="N7503" s="1">
        <v>0.21929999999999999</v>
      </c>
      <c r="O7503" s="1">
        <v>0.18790000000000001</v>
      </c>
      <c r="P7503" s="1">
        <v>0.22140000000000001</v>
      </c>
      <c r="Q7503" s="1">
        <v>9.2499999999999999E-2</v>
      </c>
      <c r="R7503" s="1">
        <v>6.4399999999999999E-2</v>
      </c>
      <c r="S7503" s="1">
        <v>8.6499999999999994E-2</v>
      </c>
      <c r="T7503" s="1">
        <v>0.11890000000000001</v>
      </c>
    </row>
    <row r="7505" spans="1:20" ht="43.5">
      <c r="A7505" s="25" t="s">
        <v>1910</v>
      </c>
    </row>
    <row r="7506" spans="1:20">
      <c r="A7506" s="25" t="s">
        <v>182</v>
      </c>
      <c r="B7506" t="s">
        <v>219</v>
      </c>
      <c r="C7506" t="s">
        <v>181</v>
      </c>
      <c r="D7506" t="s">
        <v>188</v>
      </c>
      <c r="E7506" t="s">
        <v>1895</v>
      </c>
      <c r="F7506" t="s">
        <v>241</v>
      </c>
      <c r="G7506" t="s">
        <v>1896</v>
      </c>
      <c r="H7506" t="s">
        <v>1897</v>
      </c>
      <c r="I7506" t="s">
        <v>1898</v>
      </c>
      <c r="J7506" t="s">
        <v>1899</v>
      </c>
      <c r="K7506" t="s">
        <v>324</v>
      </c>
      <c r="L7506" t="s">
        <v>269</v>
      </c>
      <c r="M7506" t="s">
        <v>676</v>
      </c>
      <c r="N7506" t="s">
        <v>1900</v>
      </c>
      <c r="O7506" t="s">
        <v>1901</v>
      </c>
      <c r="P7506" t="s">
        <v>1902</v>
      </c>
      <c r="Q7506" t="s">
        <v>1903</v>
      </c>
      <c r="R7506" t="s">
        <v>1904</v>
      </c>
      <c r="S7506" t="s">
        <v>1905</v>
      </c>
      <c r="T7506" t="s">
        <v>1906</v>
      </c>
    </row>
    <row r="7507" spans="1:20">
      <c r="A7507" s="25" t="s">
        <v>198</v>
      </c>
      <c r="B7507">
        <v>2258</v>
      </c>
      <c r="C7507" t="s">
        <v>189</v>
      </c>
      <c r="D7507">
        <v>10414</v>
      </c>
      <c r="E7507" s="1">
        <v>6.0100000000000001E-2</v>
      </c>
      <c r="F7507" s="1">
        <v>0.36630000000000001</v>
      </c>
      <c r="G7507" s="1">
        <v>0.13789999999999999</v>
      </c>
      <c r="H7507" s="1">
        <v>0.33189999999999997</v>
      </c>
      <c r="I7507" s="1">
        <v>0.106</v>
      </c>
      <c r="J7507" s="1">
        <v>8.6199999999999999E-2</v>
      </c>
      <c r="K7507" s="1">
        <v>0.22059999999999999</v>
      </c>
      <c r="M7507" s="1">
        <v>4.0000000000000002E-4</v>
      </c>
      <c r="N7507" s="1">
        <v>0.1226</v>
      </c>
      <c r="O7507" s="1">
        <v>0.1052</v>
      </c>
      <c r="P7507" s="1">
        <v>0.12039999999999999</v>
      </c>
      <c r="Q7507" s="1">
        <v>4.2200000000000001E-2</v>
      </c>
      <c r="R7507" s="1">
        <v>2.9100000000000001E-2</v>
      </c>
      <c r="S7507" s="1">
        <v>5.7099999999999998E-2</v>
      </c>
      <c r="T7507" s="1">
        <v>6.0600000000000001E-2</v>
      </c>
    </row>
    <row r="7508" spans="1:20">
      <c r="A7508" s="25" t="s">
        <v>199</v>
      </c>
      <c r="B7508">
        <v>8156</v>
      </c>
      <c r="C7508" t="s">
        <v>189</v>
      </c>
      <c r="D7508">
        <v>10414</v>
      </c>
      <c r="E7508" s="1">
        <v>9.5399999999999999E-2</v>
      </c>
      <c r="F7508" s="1">
        <v>0.29060000000000002</v>
      </c>
      <c r="G7508" s="1">
        <v>0.20549999999999999</v>
      </c>
      <c r="H7508" s="1">
        <v>0.44590000000000002</v>
      </c>
      <c r="I7508" s="1">
        <v>0.22500000000000001</v>
      </c>
      <c r="J7508" s="1">
        <v>0.1608</v>
      </c>
      <c r="K7508" s="1">
        <v>0.1696</v>
      </c>
      <c r="L7508" s="1">
        <v>8.9999999999999998E-4</v>
      </c>
      <c r="M7508" s="1">
        <v>2E-3</v>
      </c>
      <c r="N7508" s="1">
        <v>0.24099999999999999</v>
      </c>
      <c r="O7508" s="1">
        <v>0.20649999999999999</v>
      </c>
      <c r="P7508" s="1">
        <v>0.24399999999999999</v>
      </c>
      <c r="Q7508" s="1">
        <v>0.1037</v>
      </c>
      <c r="R7508" s="1">
        <v>7.2300000000000003E-2</v>
      </c>
      <c r="S7508" s="1">
        <v>9.3100000000000002E-2</v>
      </c>
      <c r="T7508" s="1">
        <v>0.13189999999999999</v>
      </c>
    </row>
    <row r="7509" spans="1:20">
      <c r="A7509" s="25" t="s">
        <v>192</v>
      </c>
      <c r="B7509">
        <v>10414</v>
      </c>
      <c r="C7509" t="s">
        <v>192</v>
      </c>
      <c r="D7509">
        <v>10414</v>
      </c>
      <c r="E7509" s="1">
        <v>8.8900000000000007E-2</v>
      </c>
      <c r="F7509" s="1">
        <v>0.30449999999999999</v>
      </c>
      <c r="G7509" s="1">
        <v>0.19309999999999999</v>
      </c>
      <c r="H7509" s="1">
        <v>0.42499999999999999</v>
      </c>
      <c r="I7509" s="1">
        <v>0.2031</v>
      </c>
      <c r="J7509" s="1">
        <v>0.14710000000000001</v>
      </c>
      <c r="K7509" s="1">
        <v>0.1789</v>
      </c>
      <c r="L7509" s="1">
        <v>6.9999999999999999E-4</v>
      </c>
      <c r="M7509" s="1">
        <v>1.6999999999999999E-3</v>
      </c>
      <c r="N7509" s="1">
        <v>0.21929999999999999</v>
      </c>
      <c r="O7509" s="1">
        <v>0.18790000000000001</v>
      </c>
      <c r="P7509" s="1">
        <v>0.22140000000000001</v>
      </c>
      <c r="Q7509" s="1">
        <v>9.2499999999999999E-2</v>
      </c>
      <c r="R7509" s="1">
        <v>6.4399999999999999E-2</v>
      </c>
      <c r="S7509" s="1">
        <v>8.6499999999999994E-2</v>
      </c>
      <c r="T7509" s="1">
        <v>0.11890000000000001</v>
      </c>
    </row>
    <row r="7511" spans="1:20" ht="43.5">
      <c r="A7511" s="25" t="s">
        <v>1911</v>
      </c>
    </row>
    <row r="7512" spans="1:20">
      <c r="A7512" s="25" t="s">
        <v>182</v>
      </c>
      <c r="B7512" t="s">
        <v>219</v>
      </c>
      <c r="C7512" t="s">
        <v>181</v>
      </c>
      <c r="D7512" t="s">
        <v>188</v>
      </c>
      <c r="E7512" t="s">
        <v>1895</v>
      </c>
      <c r="F7512" t="s">
        <v>241</v>
      </c>
      <c r="G7512" t="s">
        <v>1896</v>
      </c>
      <c r="H7512" t="s">
        <v>1897</v>
      </c>
      <c r="I7512" t="s">
        <v>1898</v>
      </c>
      <c r="J7512" t="s">
        <v>1899</v>
      </c>
      <c r="K7512" t="s">
        <v>324</v>
      </c>
      <c r="L7512" t="s">
        <v>269</v>
      </c>
      <c r="M7512" t="s">
        <v>676</v>
      </c>
      <c r="N7512" t="s">
        <v>1900</v>
      </c>
      <c r="O7512" t="s">
        <v>1901</v>
      </c>
      <c r="P7512" t="s">
        <v>1902</v>
      </c>
      <c r="Q7512" t="s">
        <v>1903</v>
      </c>
      <c r="R7512" t="s">
        <v>1904</v>
      </c>
      <c r="S7512" t="s">
        <v>1905</v>
      </c>
      <c r="T7512" t="s">
        <v>1906</v>
      </c>
    </row>
    <row r="7513" spans="1:20">
      <c r="A7513" s="25" t="s">
        <v>201</v>
      </c>
      <c r="B7513">
        <v>765</v>
      </c>
      <c r="C7513" t="s">
        <v>189</v>
      </c>
      <c r="D7513">
        <v>10414</v>
      </c>
      <c r="E7513" s="1">
        <v>0.06</v>
      </c>
      <c r="F7513" s="1">
        <v>0.28939999999999999</v>
      </c>
      <c r="G7513" s="1">
        <v>0.2137</v>
      </c>
      <c r="H7513" s="1">
        <v>0.38179999999999997</v>
      </c>
      <c r="I7513" s="1">
        <v>0.22770000000000001</v>
      </c>
      <c r="J7513" s="1">
        <v>0.15229999999999999</v>
      </c>
      <c r="K7513" s="1">
        <v>0.13980000000000001</v>
      </c>
      <c r="N7513" s="1">
        <v>0.35470000000000002</v>
      </c>
      <c r="O7513" s="1">
        <v>0.2021</v>
      </c>
      <c r="P7513" s="1">
        <v>0.26029999999999998</v>
      </c>
      <c r="Q7513" s="1">
        <v>0.11219999999999999</v>
      </c>
      <c r="R7513" s="1">
        <v>5.33E-2</v>
      </c>
      <c r="S7513" s="1">
        <v>6.7299999999999999E-2</v>
      </c>
      <c r="T7513" s="1">
        <v>0.17799999999999999</v>
      </c>
    </row>
    <row r="7514" spans="1:20">
      <c r="A7514" s="25" t="s">
        <v>202</v>
      </c>
      <c r="B7514">
        <v>109</v>
      </c>
      <c r="C7514" t="s">
        <v>189</v>
      </c>
      <c r="D7514">
        <v>10414</v>
      </c>
      <c r="E7514" s="1">
        <v>4.1000000000000002E-2</v>
      </c>
      <c r="F7514" s="1">
        <v>0.41499999999999998</v>
      </c>
      <c r="G7514" s="1">
        <v>6.5600000000000006E-2</v>
      </c>
      <c r="H7514" s="1">
        <v>0.30549999999999999</v>
      </c>
      <c r="I7514" s="1">
        <v>0.15820000000000001</v>
      </c>
      <c r="J7514" s="1">
        <v>2.5600000000000001E-2</v>
      </c>
      <c r="K7514" s="1">
        <v>0.17860000000000001</v>
      </c>
      <c r="N7514" s="1">
        <v>0.2374</v>
      </c>
      <c r="O7514" s="1">
        <v>0.1081</v>
      </c>
      <c r="P7514" s="1">
        <v>8.5300000000000001E-2</v>
      </c>
      <c r="Q7514" s="1">
        <v>6.6900000000000001E-2</v>
      </c>
      <c r="R7514" s="1">
        <v>3.4700000000000002E-2</v>
      </c>
      <c r="S7514" s="1">
        <v>4.1799999999999997E-2</v>
      </c>
      <c r="T7514" s="1">
        <v>2.3099999999999999E-2</v>
      </c>
    </row>
    <row r="7515" spans="1:20">
      <c r="A7515" s="25" t="s">
        <v>203</v>
      </c>
      <c r="B7515">
        <v>8030</v>
      </c>
      <c r="C7515" t="s">
        <v>189</v>
      </c>
      <c r="D7515">
        <v>10414</v>
      </c>
      <c r="E7515" s="1">
        <v>8.1000000000000003E-2</v>
      </c>
      <c r="F7515" s="1">
        <v>0.31740000000000002</v>
      </c>
      <c r="G7515" s="1">
        <v>0.1822</v>
      </c>
      <c r="H7515" s="1">
        <v>0.41099999999999998</v>
      </c>
      <c r="I7515" s="1">
        <v>0.18459999999999999</v>
      </c>
      <c r="J7515" s="1">
        <v>0.1346</v>
      </c>
      <c r="K7515" s="1">
        <v>0.19350000000000001</v>
      </c>
      <c r="L7515" s="1">
        <v>8.9999999999999998E-4</v>
      </c>
      <c r="M7515" s="1">
        <v>1.8E-3</v>
      </c>
      <c r="N7515" s="1">
        <v>0.18429999999999999</v>
      </c>
      <c r="O7515" s="1">
        <v>0.16819999999999999</v>
      </c>
      <c r="P7515" s="1">
        <v>0.19220000000000001</v>
      </c>
      <c r="Q7515" s="1">
        <v>7.6499999999999999E-2</v>
      </c>
      <c r="R7515" s="1">
        <v>5.7799999999999997E-2</v>
      </c>
      <c r="S7515" s="1">
        <v>7.6399999999999996E-2</v>
      </c>
      <c r="T7515" s="1">
        <v>9.98E-2</v>
      </c>
    </row>
    <row r="7516" spans="1:20">
      <c r="A7516" s="25" t="s">
        <v>204</v>
      </c>
      <c r="B7516">
        <v>31</v>
      </c>
      <c r="C7516" t="s">
        <v>189</v>
      </c>
      <c r="D7516">
        <v>10414</v>
      </c>
      <c r="E7516" s="1">
        <v>0.08</v>
      </c>
      <c r="F7516" s="1">
        <v>0.10249999999999999</v>
      </c>
      <c r="G7516" s="1">
        <v>9.1700000000000004E-2</v>
      </c>
      <c r="H7516" s="1">
        <v>0.28960000000000002</v>
      </c>
      <c r="I7516" s="1">
        <v>9.1700000000000004E-2</v>
      </c>
      <c r="J7516" s="1">
        <v>9.1700000000000004E-2</v>
      </c>
      <c r="K7516" s="1">
        <v>0.48280000000000001</v>
      </c>
      <c r="M7516" s="1">
        <v>4.8000000000000001E-2</v>
      </c>
      <c r="N7516" s="1">
        <v>0.10390000000000001</v>
      </c>
      <c r="O7516" s="1">
        <v>0.08</v>
      </c>
      <c r="P7516" s="1">
        <v>9.1700000000000004E-2</v>
      </c>
      <c r="Q7516" s="1">
        <v>0.08</v>
      </c>
      <c r="R7516" s="1">
        <v>0.18720000000000001</v>
      </c>
      <c r="S7516" s="1">
        <v>0.1072</v>
      </c>
      <c r="T7516" s="1">
        <v>0.1333</v>
      </c>
    </row>
    <row r="7517" spans="1:20">
      <c r="A7517" s="25" t="s">
        <v>205</v>
      </c>
      <c r="B7517">
        <v>1479</v>
      </c>
      <c r="C7517" t="s">
        <v>189</v>
      </c>
      <c r="D7517">
        <v>10414</v>
      </c>
      <c r="E7517" s="1">
        <v>0.15129999999999999</v>
      </c>
      <c r="F7517" s="1">
        <v>0.2364</v>
      </c>
      <c r="G7517" s="1">
        <v>0.25169999999999998</v>
      </c>
      <c r="H7517" s="1">
        <v>0.53410000000000002</v>
      </c>
      <c r="I7517" s="1">
        <v>0.30030000000000001</v>
      </c>
      <c r="J7517" s="1">
        <v>0.2218</v>
      </c>
      <c r="K7517" s="1">
        <v>0.111</v>
      </c>
      <c r="M7517" s="1">
        <v>1.5E-3</v>
      </c>
      <c r="N7517" s="1">
        <v>0.35189999999999999</v>
      </c>
      <c r="O7517" s="1">
        <v>0.2984</v>
      </c>
      <c r="P7517" s="1">
        <v>0.37640000000000001</v>
      </c>
      <c r="Q7517" s="1">
        <v>0.17530000000000001</v>
      </c>
      <c r="R7517" s="1">
        <v>0.1072</v>
      </c>
      <c r="S7517" s="1">
        <v>0.1555</v>
      </c>
      <c r="T7517" s="1">
        <v>0.2021</v>
      </c>
    </row>
    <row r="7518" spans="1:20">
      <c r="A7518" s="25" t="s">
        <v>192</v>
      </c>
      <c r="B7518">
        <v>10414</v>
      </c>
      <c r="C7518" t="s">
        <v>192</v>
      </c>
      <c r="D7518">
        <v>10414</v>
      </c>
      <c r="E7518" s="1">
        <v>8.8900000000000007E-2</v>
      </c>
      <c r="F7518" s="1">
        <v>0.30449999999999999</v>
      </c>
      <c r="G7518" s="1">
        <v>0.19309999999999999</v>
      </c>
      <c r="H7518" s="1">
        <v>0.42499999999999999</v>
      </c>
      <c r="I7518" s="1">
        <v>0.2031</v>
      </c>
      <c r="J7518" s="1">
        <v>0.14710000000000001</v>
      </c>
      <c r="K7518" s="1">
        <v>0.1789</v>
      </c>
      <c r="L7518" s="1">
        <v>6.9999999999999999E-4</v>
      </c>
      <c r="M7518" s="1">
        <v>1.6999999999999999E-3</v>
      </c>
      <c r="N7518" s="1">
        <v>0.21929999999999999</v>
      </c>
      <c r="O7518" s="1">
        <v>0.18790000000000001</v>
      </c>
      <c r="P7518" s="1">
        <v>0.22140000000000001</v>
      </c>
      <c r="Q7518" s="1">
        <v>9.2499999999999999E-2</v>
      </c>
      <c r="R7518" s="1">
        <v>6.4399999999999999E-2</v>
      </c>
      <c r="S7518" s="1">
        <v>8.6499999999999994E-2</v>
      </c>
      <c r="T7518" s="1">
        <v>0.11890000000000001</v>
      </c>
    </row>
    <row r="7520" spans="1:20" ht="43.5">
      <c r="A7520" s="25" t="s">
        <v>1912</v>
      </c>
    </row>
    <row r="7521" spans="1:20">
      <c r="A7521" s="25" t="s">
        <v>182</v>
      </c>
      <c r="B7521" t="s">
        <v>219</v>
      </c>
      <c r="C7521" t="s">
        <v>181</v>
      </c>
      <c r="D7521" t="s">
        <v>188</v>
      </c>
      <c r="E7521" t="s">
        <v>1895</v>
      </c>
      <c r="F7521" t="s">
        <v>241</v>
      </c>
      <c r="G7521" t="s">
        <v>1896</v>
      </c>
      <c r="H7521" t="s">
        <v>1897</v>
      </c>
      <c r="I7521" t="s">
        <v>1898</v>
      </c>
      <c r="J7521" t="s">
        <v>1899</v>
      </c>
      <c r="K7521" t="s">
        <v>324</v>
      </c>
      <c r="L7521" t="s">
        <v>269</v>
      </c>
      <c r="M7521" t="s">
        <v>676</v>
      </c>
      <c r="N7521" t="s">
        <v>1900</v>
      </c>
      <c r="O7521" t="s">
        <v>1901</v>
      </c>
      <c r="P7521" t="s">
        <v>1902</v>
      </c>
      <c r="Q7521" t="s">
        <v>1903</v>
      </c>
      <c r="R7521" t="s">
        <v>1904</v>
      </c>
      <c r="S7521" t="s">
        <v>1905</v>
      </c>
      <c r="T7521" t="s">
        <v>1906</v>
      </c>
    </row>
    <row r="7522" spans="1:20">
      <c r="A7522" s="25" t="s">
        <v>207</v>
      </c>
      <c r="B7522">
        <v>7239</v>
      </c>
      <c r="C7522" t="s">
        <v>189</v>
      </c>
      <c r="D7522">
        <v>10414</v>
      </c>
      <c r="E7522" s="1">
        <v>9.5000000000000001E-2</v>
      </c>
      <c r="F7522" s="1">
        <v>0.28810000000000002</v>
      </c>
      <c r="G7522" s="1">
        <v>0.20449999999999999</v>
      </c>
      <c r="H7522" s="1">
        <v>0.4385</v>
      </c>
      <c r="I7522" s="1">
        <v>0.217</v>
      </c>
      <c r="J7522" s="1">
        <v>0.16139999999999999</v>
      </c>
      <c r="K7522" s="1">
        <v>0.17549999999999999</v>
      </c>
      <c r="L7522" s="1">
        <v>1E-3</v>
      </c>
      <c r="M7522" s="1">
        <v>1.6000000000000001E-3</v>
      </c>
      <c r="N7522" s="1">
        <v>0.2432</v>
      </c>
      <c r="O7522" s="1">
        <v>0.20369999999999999</v>
      </c>
      <c r="P7522" s="1">
        <v>0.2404</v>
      </c>
      <c r="Q7522" s="1">
        <v>0.10249999999999999</v>
      </c>
      <c r="R7522" s="1">
        <v>6.7799999999999999E-2</v>
      </c>
      <c r="S7522" s="1">
        <v>9.01E-2</v>
      </c>
      <c r="T7522" s="1">
        <v>0.1321</v>
      </c>
    </row>
    <row r="7523" spans="1:20">
      <c r="A7523" s="25" t="s">
        <v>208</v>
      </c>
      <c r="B7523">
        <v>2241</v>
      </c>
      <c r="C7523" t="s">
        <v>189</v>
      </c>
      <c r="D7523">
        <v>10414</v>
      </c>
      <c r="E7523" s="1">
        <v>7.8700000000000006E-2</v>
      </c>
      <c r="F7523" s="1">
        <v>0.3851</v>
      </c>
      <c r="G7523" s="1">
        <v>0.17369999999999999</v>
      </c>
      <c r="H7523" s="1">
        <v>0.37730000000000002</v>
      </c>
      <c r="I7523" s="1">
        <v>0.1656</v>
      </c>
      <c r="J7523" s="1">
        <v>0.1191</v>
      </c>
      <c r="K7523" s="1">
        <v>0.16009999999999999</v>
      </c>
      <c r="L7523" s="1">
        <v>2.0000000000000001E-4</v>
      </c>
      <c r="M7523" s="1">
        <v>2.2000000000000001E-3</v>
      </c>
      <c r="N7523" s="1">
        <v>0.1565</v>
      </c>
      <c r="O7523" s="1">
        <v>0.1414</v>
      </c>
      <c r="P7523" s="1">
        <v>0.1734</v>
      </c>
      <c r="Q7523" s="1">
        <v>6.9800000000000001E-2</v>
      </c>
      <c r="R7523" s="1">
        <v>5.6000000000000001E-2</v>
      </c>
      <c r="S7523" s="1">
        <v>8.3099999999999993E-2</v>
      </c>
      <c r="T7523" s="1">
        <v>9.4500000000000001E-2</v>
      </c>
    </row>
    <row r="7524" spans="1:20">
      <c r="A7524" s="25" t="s">
        <v>209</v>
      </c>
      <c r="B7524">
        <v>934</v>
      </c>
      <c r="C7524" t="s">
        <v>189</v>
      </c>
      <c r="D7524">
        <v>10414</v>
      </c>
      <c r="E7524" s="1">
        <v>6.4100000000000004E-2</v>
      </c>
      <c r="F7524" s="1">
        <v>0.2195</v>
      </c>
      <c r="G7524" s="1">
        <v>0.14760000000000001</v>
      </c>
      <c r="H7524" s="1">
        <v>0.44119999999999998</v>
      </c>
      <c r="I7524" s="1">
        <v>0.18779999999999999</v>
      </c>
      <c r="J7524" s="1">
        <v>0.1</v>
      </c>
      <c r="K7524" s="1">
        <v>0.26329999999999998</v>
      </c>
      <c r="M7524" s="1">
        <v>8.9999999999999998E-4</v>
      </c>
      <c r="N7524" s="1">
        <v>0.18640000000000001</v>
      </c>
      <c r="O7524" s="1">
        <v>0.18049999999999999</v>
      </c>
      <c r="P7524" s="1">
        <v>0.1895</v>
      </c>
      <c r="Q7524" s="1">
        <v>6.7900000000000002E-2</v>
      </c>
      <c r="R7524" s="1">
        <v>5.7799999999999997E-2</v>
      </c>
      <c r="S7524" s="1">
        <v>6.3700000000000007E-2</v>
      </c>
      <c r="T7524" s="1">
        <v>7.1400000000000005E-2</v>
      </c>
    </row>
    <row r="7525" spans="1:20">
      <c r="A7525" s="25" t="s">
        <v>192</v>
      </c>
      <c r="B7525">
        <v>10414</v>
      </c>
      <c r="C7525" t="s">
        <v>192</v>
      </c>
      <c r="D7525">
        <v>10414</v>
      </c>
      <c r="E7525" s="1">
        <v>8.8900000000000007E-2</v>
      </c>
      <c r="F7525" s="1">
        <v>0.30449999999999999</v>
      </c>
      <c r="G7525" s="1">
        <v>0.19309999999999999</v>
      </c>
      <c r="H7525" s="1">
        <v>0.42499999999999999</v>
      </c>
      <c r="I7525" s="1">
        <v>0.2031</v>
      </c>
      <c r="J7525" s="1">
        <v>0.14710000000000001</v>
      </c>
      <c r="K7525" s="1">
        <v>0.1789</v>
      </c>
      <c r="L7525" s="1">
        <v>6.9999999999999999E-4</v>
      </c>
      <c r="M7525" s="1">
        <v>1.6999999999999999E-3</v>
      </c>
      <c r="N7525" s="1">
        <v>0.21929999999999999</v>
      </c>
      <c r="O7525" s="1">
        <v>0.18790000000000001</v>
      </c>
      <c r="P7525" s="1">
        <v>0.22140000000000001</v>
      </c>
      <c r="Q7525" s="1">
        <v>9.2499999999999999E-2</v>
      </c>
      <c r="R7525" s="1">
        <v>6.4399999999999999E-2</v>
      </c>
      <c r="S7525" s="1">
        <v>8.6499999999999994E-2</v>
      </c>
      <c r="T7525" s="1">
        <v>0.11890000000000001</v>
      </c>
    </row>
    <row r="7527" spans="1:20" ht="43.5">
      <c r="A7527" s="25" t="s">
        <v>1913</v>
      </c>
    </row>
    <row r="7528" spans="1:20">
      <c r="A7528" s="25" t="s">
        <v>182</v>
      </c>
      <c r="B7528" t="s">
        <v>219</v>
      </c>
      <c r="C7528" t="s">
        <v>181</v>
      </c>
      <c r="D7528" t="s">
        <v>188</v>
      </c>
      <c r="E7528" t="s">
        <v>1895</v>
      </c>
      <c r="F7528" t="s">
        <v>241</v>
      </c>
      <c r="G7528" t="s">
        <v>1896</v>
      </c>
      <c r="H7528" t="s">
        <v>1897</v>
      </c>
      <c r="I7528" t="s">
        <v>1898</v>
      </c>
      <c r="J7528" t="s">
        <v>1899</v>
      </c>
      <c r="K7528" t="s">
        <v>324</v>
      </c>
      <c r="L7528" t="s">
        <v>269</v>
      </c>
      <c r="M7528" t="s">
        <v>676</v>
      </c>
      <c r="N7528" t="s">
        <v>1900</v>
      </c>
      <c r="O7528" t="s">
        <v>1901</v>
      </c>
      <c r="P7528" t="s">
        <v>1902</v>
      </c>
      <c r="Q7528" t="s">
        <v>1903</v>
      </c>
      <c r="R7528" t="s">
        <v>1904</v>
      </c>
      <c r="S7528" t="s">
        <v>1905</v>
      </c>
      <c r="T7528" t="s">
        <v>1906</v>
      </c>
    </row>
    <row r="7529" spans="1:20">
      <c r="A7529" s="25" t="s">
        <v>211</v>
      </c>
      <c r="B7529">
        <v>4962</v>
      </c>
      <c r="C7529" t="s">
        <v>189</v>
      </c>
      <c r="D7529">
        <v>10414</v>
      </c>
      <c r="E7529" s="1">
        <v>0.1004</v>
      </c>
      <c r="F7529" s="1">
        <v>0.2591</v>
      </c>
      <c r="G7529" s="1">
        <v>0.22020000000000001</v>
      </c>
      <c r="H7529" s="1">
        <v>0.4672</v>
      </c>
      <c r="I7529" s="1">
        <v>0.22470000000000001</v>
      </c>
      <c r="J7529" s="1">
        <v>0.17349999999999999</v>
      </c>
      <c r="K7529" s="1">
        <v>0.17299999999999999</v>
      </c>
      <c r="L7529" s="1">
        <v>1.5E-3</v>
      </c>
      <c r="M7529" s="1">
        <v>1.6000000000000001E-3</v>
      </c>
      <c r="N7529" s="1">
        <v>0.25900000000000001</v>
      </c>
      <c r="O7529" s="1">
        <v>0.19600000000000001</v>
      </c>
      <c r="P7529" s="1">
        <v>0.25609999999999999</v>
      </c>
      <c r="Q7529" s="1">
        <v>0.1087</v>
      </c>
      <c r="R7529" s="1">
        <v>7.6499999999999999E-2</v>
      </c>
      <c r="S7529" s="1">
        <v>0.10009999999999999</v>
      </c>
      <c r="T7529" s="1">
        <v>0.14019999999999999</v>
      </c>
    </row>
    <row r="7530" spans="1:20">
      <c r="A7530" s="25" t="s">
        <v>212</v>
      </c>
      <c r="B7530">
        <v>3370</v>
      </c>
      <c r="C7530" t="s">
        <v>189</v>
      </c>
      <c r="D7530">
        <v>10414</v>
      </c>
      <c r="E7530" s="1">
        <v>7.7399999999999997E-2</v>
      </c>
      <c r="F7530" s="1">
        <v>0.3175</v>
      </c>
      <c r="G7530" s="1">
        <v>0.17030000000000001</v>
      </c>
      <c r="H7530" s="1">
        <v>0.39229999999999998</v>
      </c>
      <c r="I7530" s="1">
        <v>0.17860000000000001</v>
      </c>
      <c r="J7530" s="1">
        <v>0.1186</v>
      </c>
      <c r="K7530" s="1">
        <v>0.19450000000000001</v>
      </c>
      <c r="L7530" s="1">
        <v>1E-4</v>
      </c>
      <c r="M7530" s="1">
        <v>1.5E-3</v>
      </c>
      <c r="N7530" s="1">
        <v>0.18129999999999999</v>
      </c>
      <c r="O7530" s="1">
        <v>0.17499999999999999</v>
      </c>
      <c r="P7530" s="1">
        <v>0.19539999999999999</v>
      </c>
      <c r="Q7530" s="1">
        <v>7.3400000000000007E-2</v>
      </c>
      <c r="R7530" s="1">
        <v>5.1400000000000001E-2</v>
      </c>
      <c r="S7530" s="1">
        <v>6.9900000000000004E-2</v>
      </c>
      <c r="T7530" s="1">
        <v>9.7500000000000003E-2</v>
      </c>
    </row>
    <row r="7531" spans="1:20">
      <c r="A7531" s="25" t="s">
        <v>213</v>
      </c>
      <c r="B7531">
        <v>2082</v>
      </c>
      <c r="C7531" t="s">
        <v>189</v>
      </c>
      <c r="D7531">
        <v>10414</v>
      </c>
      <c r="E7531" s="1">
        <v>8.0699999999999994E-2</v>
      </c>
      <c r="F7531" s="1">
        <v>0.3836</v>
      </c>
      <c r="G7531" s="1">
        <v>0.16739999999999999</v>
      </c>
      <c r="H7531" s="1">
        <v>0.38080000000000003</v>
      </c>
      <c r="I7531" s="1">
        <v>0.19170000000000001</v>
      </c>
      <c r="J7531" s="1">
        <v>0.1308</v>
      </c>
      <c r="K7531" s="1">
        <v>0.1694</v>
      </c>
      <c r="M7531" s="1">
        <v>2.0999999999999999E-3</v>
      </c>
      <c r="N7531" s="1">
        <v>0.188</v>
      </c>
      <c r="O7531" s="1">
        <v>0.18870000000000001</v>
      </c>
      <c r="P7531" s="1">
        <v>0.18360000000000001</v>
      </c>
      <c r="Q7531" s="1">
        <v>8.4599999999999995E-2</v>
      </c>
      <c r="R7531" s="1">
        <v>5.6800000000000003E-2</v>
      </c>
      <c r="S7531" s="1">
        <v>8.0799999999999997E-2</v>
      </c>
      <c r="T7531" s="1">
        <v>0.10340000000000001</v>
      </c>
    </row>
    <row r="7532" spans="1:20">
      <c r="A7532" s="25" t="s">
        <v>192</v>
      </c>
      <c r="B7532">
        <v>10414</v>
      </c>
      <c r="C7532" t="s">
        <v>192</v>
      </c>
      <c r="D7532">
        <v>10414</v>
      </c>
      <c r="E7532" s="1">
        <v>8.8900000000000007E-2</v>
      </c>
      <c r="F7532" s="1">
        <v>0.30449999999999999</v>
      </c>
      <c r="G7532" s="1">
        <v>0.19309999999999999</v>
      </c>
      <c r="H7532" s="1">
        <v>0.42499999999999999</v>
      </c>
      <c r="I7532" s="1">
        <v>0.2031</v>
      </c>
      <c r="J7532" s="1">
        <v>0.14710000000000001</v>
      </c>
      <c r="K7532" s="1">
        <v>0.1789</v>
      </c>
      <c r="L7532" s="1">
        <v>6.9999999999999999E-4</v>
      </c>
      <c r="M7532" s="1">
        <v>1.6999999999999999E-3</v>
      </c>
      <c r="N7532" s="1">
        <v>0.21929999999999999</v>
      </c>
      <c r="O7532" s="1">
        <v>0.18790000000000001</v>
      </c>
      <c r="P7532" s="1">
        <v>0.22140000000000001</v>
      </c>
      <c r="Q7532" s="1">
        <v>9.2499999999999999E-2</v>
      </c>
      <c r="R7532" s="1">
        <v>6.4399999999999999E-2</v>
      </c>
      <c r="S7532" s="1">
        <v>8.6499999999999994E-2</v>
      </c>
      <c r="T7532" s="1">
        <v>0.11890000000000001</v>
      </c>
    </row>
    <row r="7534" spans="1:20" ht="43.5">
      <c r="A7534" s="25" t="s">
        <v>1914</v>
      </c>
    </row>
    <row r="7535" spans="1:20">
      <c r="A7535" s="25" t="s">
        <v>182</v>
      </c>
      <c r="B7535" t="s">
        <v>219</v>
      </c>
      <c r="C7535" t="s">
        <v>181</v>
      </c>
      <c r="D7535" t="s">
        <v>188</v>
      </c>
      <c r="E7535" t="s">
        <v>1915</v>
      </c>
      <c r="F7535" t="s">
        <v>241</v>
      </c>
      <c r="G7535" t="s">
        <v>1896</v>
      </c>
      <c r="H7535" t="s">
        <v>1916</v>
      </c>
      <c r="I7535" t="s">
        <v>1917</v>
      </c>
      <c r="J7535" t="s">
        <v>1918</v>
      </c>
      <c r="K7535" t="s">
        <v>324</v>
      </c>
      <c r="L7535" t="s">
        <v>269</v>
      </c>
      <c r="M7535" t="s">
        <v>243</v>
      </c>
      <c r="N7535" t="s">
        <v>1901</v>
      </c>
      <c r="O7535" t="s">
        <v>1919</v>
      </c>
      <c r="P7535" t="s">
        <v>1905</v>
      </c>
    </row>
    <row r="7536" spans="1:20">
      <c r="A7536" s="25" t="s">
        <v>215</v>
      </c>
      <c r="B7536">
        <v>3307</v>
      </c>
      <c r="C7536" t="s">
        <v>189</v>
      </c>
      <c r="D7536">
        <v>10424</v>
      </c>
      <c r="E7536" s="1">
        <v>0.16739999999999999</v>
      </c>
      <c r="F7536" s="1">
        <v>0.35089999999999999</v>
      </c>
      <c r="G7536" s="1">
        <v>0.26040000000000002</v>
      </c>
      <c r="H7536" s="1">
        <v>0.15670000000000001</v>
      </c>
      <c r="I7536" s="1">
        <v>4.8000000000000001E-2</v>
      </c>
      <c r="J7536" s="1">
        <v>0.18779999999999999</v>
      </c>
      <c r="K7536" s="1">
        <v>0.13170000000000001</v>
      </c>
      <c r="L7536" s="1">
        <v>5.0000000000000001E-3</v>
      </c>
      <c r="M7536" s="1">
        <v>1.2999999999999999E-3</v>
      </c>
      <c r="N7536" s="1">
        <v>0.36670000000000003</v>
      </c>
      <c r="O7536" s="1">
        <v>0.13830000000000001</v>
      </c>
      <c r="P7536" s="1">
        <v>7.7700000000000005E-2</v>
      </c>
    </row>
    <row r="7537" spans="1:16">
      <c r="A7537" s="25" t="s">
        <v>216</v>
      </c>
      <c r="B7537">
        <v>2</v>
      </c>
      <c r="C7537" t="s">
        <v>189</v>
      </c>
      <c r="D7537">
        <v>10424</v>
      </c>
      <c r="F7537" s="1">
        <v>0.65969999999999995</v>
      </c>
      <c r="G7537" s="1">
        <v>0.34029999999999999</v>
      </c>
    </row>
    <row r="7538" spans="1:16">
      <c r="A7538" s="25" t="s">
        <v>217</v>
      </c>
      <c r="B7538">
        <v>7115</v>
      </c>
      <c r="C7538" t="s">
        <v>189</v>
      </c>
      <c r="D7538">
        <v>10424</v>
      </c>
      <c r="E7538" s="1">
        <v>0.19889999999999999</v>
      </c>
      <c r="F7538" s="1">
        <v>0.2792</v>
      </c>
      <c r="G7538" s="1">
        <v>0.28210000000000002</v>
      </c>
      <c r="H7538" s="1">
        <v>0.17130000000000001</v>
      </c>
      <c r="I7538" s="1">
        <v>3.6400000000000002E-2</v>
      </c>
      <c r="J7538" s="1">
        <v>0.23549999999999999</v>
      </c>
      <c r="K7538" s="1">
        <v>0.11</v>
      </c>
      <c r="L7538" s="1">
        <v>8.8999999999999999E-3</v>
      </c>
      <c r="M7538" s="1">
        <v>1.1999999999999999E-3</v>
      </c>
      <c r="N7538" s="1">
        <v>0.42920000000000003</v>
      </c>
      <c r="O7538" s="1">
        <v>0.1646</v>
      </c>
      <c r="P7538" s="1">
        <v>7.3700000000000002E-2</v>
      </c>
    </row>
    <row r="7539" spans="1:16">
      <c r="A7539" s="25" t="s">
        <v>192</v>
      </c>
      <c r="B7539">
        <v>10424</v>
      </c>
      <c r="C7539" t="s">
        <v>192</v>
      </c>
      <c r="D7539">
        <v>10424</v>
      </c>
      <c r="E7539" s="1">
        <v>0.18809999999999999</v>
      </c>
      <c r="F7539" s="1">
        <v>0.30370000000000003</v>
      </c>
      <c r="G7539" s="1">
        <v>0.2747</v>
      </c>
      <c r="H7539" s="1">
        <v>0.1663</v>
      </c>
      <c r="I7539" s="1">
        <v>4.0300000000000002E-2</v>
      </c>
      <c r="J7539" s="1">
        <v>0.21920000000000001</v>
      </c>
      <c r="K7539" s="1">
        <v>0.1174</v>
      </c>
      <c r="L7539" s="1">
        <v>7.6E-3</v>
      </c>
      <c r="M7539" s="1">
        <v>1.1999999999999999E-3</v>
      </c>
      <c r="N7539" s="1">
        <v>0.40789999999999998</v>
      </c>
      <c r="O7539" s="1">
        <v>0.15559999999999999</v>
      </c>
      <c r="P7539" s="1">
        <v>7.51E-2</v>
      </c>
    </row>
    <row r="7541" spans="1:16" ht="43.5">
      <c r="A7541" s="25" t="s">
        <v>1920</v>
      </c>
    </row>
    <row r="7542" spans="1:16">
      <c r="A7542" s="25" t="s">
        <v>182</v>
      </c>
      <c r="B7542" t="s">
        <v>219</v>
      </c>
      <c r="C7542" t="s">
        <v>181</v>
      </c>
      <c r="D7542" t="s">
        <v>188</v>
      </c>
      <c r="E7542" t="s">
        <v>1915</v>
      </c>
      <c r="F7542" t="s">
        <v>241</v>
      </c>
      <c r="G7542" t="s">
        <v>1896</v>
      </c>
      <c r="H7542" t="s">
        <v>1916</v>
      </c>
      <c r="I7542" t="s">
        <v>1917</v>
      </c>
      <c r="J7542" t="s">
        <v>1918</v>
      </c>
      <c r="K7542" t="s">
        <v>324</v>
      </c>
      <c r="L7542" t="s">
        <v>269</v>
      </c>
      <c r="M7542" t="s">
        <v>243</v>
      </c>
      <c r="N7542" t="s">
        <v>1901</v>
      </c>
      <c r="O7542" t="s">
        <v>1919</v>
      </c>
      <c r="P7542" t="s">
        <v>1905</v>
      </c>
    </row>
    <row r="7543" spans="1:16">
      <c r="A7543" s="25" t="s">
        <v>223</v>
      </c>
      <c r="B7543">
        <v>882</v>
      </c>
      <c r="C7543" t="s">
        <v>189</v>
      </c>
      <c r="D7543">
        <v>10424</v>
      </c>
      <c r="E7543" s="1">
        <v>0.23080000000000001</v>
      </c>
      <c r="F7543" s="1">
        <v>0.2823</v>
      </c>
      <c r="G7543" s="1">
        <v>0.2477</v>
      </c>
      <c r="H7543" s="1">
        <v>0.1605</v>
      </c>
      <c r="I7543" s="1">
        <v>5.1900000000000002E-2</v>
      </c>
      <c r="J7543" s="1">
        <v>0.26200000000000001</v>
      </c>
      <c r="K7543" s="1">
        <v>0.1239</v>
      </c>
      <c r="L7543" s="1">
        <v>4.0000000000000001E-3</v>
      </c>
      <c r="M7543" s="1">
        <v>6.9999999999999999E-4</v>
      </c>
      <c r="N7543" s="1">
        <v>0.42309999999999998</v>
      </c>
      <c r="O7543" s="1">
        <v>0.1978</v>
      </c>
      <c r="P7543" s="1">
        <v>7.2300000000000003E-2</v>
      </c>
    </row>
    <row r="7544" spans="1:16">
      <c r="A7544" s="25" t="s">
        <v>224</v>
      </c>
      <c r="B7544">
        <v>2876</v>
      </c>
      <c r="C7544" t="s">
        <v>189</v>
      </c>
      <c r="D7544">
        <v>10424</v>
      </c>
      <c r="E7544" s="1">
        <v>0.2392</v>
      </c>
      <c r="F7544" s="1">
        <v>0.13600000000000001</v>
      </c>
      <c r="G7544" s="1">
        <v>0.36840000000000001</v>
      </c>
      <c r="H7544" s="1">
        <v>0.2109</v>
      </c>
      <c r="I7544" s="1">
        <v>5.4899999999999997E-2</v>
      </c>
      <c r="J7544" s="1">
        <v>0.29459999999999997</v>
      </c>
      <c r="K7544" s="1">
        <v>0.1356</v>
      </c>
      <c r="L7544" s="1">
        <v>1.43E-2</v>
      </c>
      <c r="M7544" s="1">
        <v>8.9999999999999998E-4</v>
      </c>
      <c r="N7544" s="1">
        <v>0.53700000000000003</v>
      </c>
      <c r="O7544" s="1">
        <v>0.19209999999999999</v>
      </c>
      <c r="P7544" s="1">
        <v>9.9299999999999999E-2</v>
      </c>
    </row>
    <row r="7545" spans="1:16">
      <c r="A7545" s="25" t="s">
        <v>225</v>
      </c>
      <c r="B7545">
        <v>2811</v>
      </c>
      <c r="C7545" t="s">
        <v>189</v>
      </c>
      <c r="D7545">
        <v>10424</v>
      </c>
      <c r="E7545" s="1">
        <v>0.19689999999999999</v>
      </c>
      <c r="F7545" s="1">
        <v>0.28439999999999999</v>
      </c>
      <c r="G7545" s="1">
        <v>0.2928</v>
      </c>
      <c r="H7545" s="1">
        <v>0.17680000000000001</v>
      </c>
      <c r="I7545" s="1">
        <v>4.6399999999999997E-2</v>
      </c>
      <c r="J7545" s="1">
        <v>0.2324</v>
      </c>
      <c r="K7545" s="1">
        <v>0.1101</v>
      </c>
      <c r="L7545" s="1">
        <v>7.7000000000000002E-3</v>
      </c>
      <c r="M7545" s="1">
        <v>1.6000000000000001E-3</v>
      </c>
      <c r="N7545" s="1">
        <v>0.41770000000000002</v>
      </c>
      <c r="O7545" s="1">
        <v>0.1711</v>
      </c>
      <c r="P7545" s="1">
        <v>8.9499999999999996E-2</v>
      </c>
    </row>
    <row r="7546" spans="1:16">
      <c r="A7546" s="25" t="s">
        <v>226</v>
      </c>
      <c r="B7546">
        <v>3855</v>
      </c>
      <c r="C7546" t="s">
        <v>189</v>
      </c>
      <c r="D7546">
        <v>10424</v>
      </c>
      <c r="E7546" s="1">
        <v>0.13200000000000001</v>
      </c>
      <c r="F7546" s="1">
        <v>0.44240000000000002</v>
      </c>
      <c r="G7546" s="1">
        <v>0.20530000000000001</v>
      </c>
      <c r="H7546" s="1">
        <v>0.12970000000000001</v>
      </c>
      <c r="I7546" s="1">
        <v>2.2200000000000001E-2</v>
      </c>
      <c r="J7546" s="1">
        <v>0.14269999999999999</v>
      </c>
      <c r="K7546" s="1">
        <v>0.1071</v>
      </c>
      <c r="L7546" s="1">
        <v>3.8999999999999998E-3</v>
      </c>
      <c r="M7546" s="1">
        <v>1.2999999999999999E-3</v>
      </c>
      <c r="N7546" s="1">
        <v>0.3049</v>
      </c>
      <c r="O7546" s="1">
        <v>0.10539999999999999</v>
      </c>
      <c r="P7546" s="1">
        <v>4.9200000000000001E-2</v>
      </c>
    </row>
    <row r="7547" spans="1:16">
      <c r="A7547" s="25" t="s">
        <v>192</v>
      </c>
      <c r="B7547">
        <v>10424</v>
      </c>
      <c r="C7547" t="s">
        <v>192</v>
      </c>
      <c r="D7547">
        <v>10424</v>
      </c>
      <c r="E7547" s="1">
        <v>0.18809999999999999</v>
      </c>
      <c r="F7547" s="1">
        <v>0.30370000000000003</v>
      </c>
      <c r="G7547" s="1">
        <v>0.2747</v>
      </c>
      <c r="H7547" s="1">
        <v>0.1663</v>
      </c>
      <c r="I7547" s="1">
        <v>4.0300000000000002E-2</v>
      </c>
      <c r="J7547" s="1">
        <v>0.21920000000000001</v>
      </c>
      <c r="K7547" s="1">
        <v>0.1174</v>
      </c>
      <c r="L7547" s="1">
        <v>7.6E-3</v>
      </c>
      <c r="M7547" s="1">
        <v>1.1999999999999999E-3</v>
      </c>
      <c r="N7547" s="1">
        <v>0.40789999999999998</v>
      </c>
      <c r="O7547" s="1">
        <v>0.15559999999999999</v>
      </c>
      <c r="P7547" s="1">
        <v>7.51E-2</v>
      </c>
    </row>
    <row r="7549" spans="1:16" ht="43.5">
      <c r="A7549" s="25" t="s">
        <v>1921</v>
      </c>
    </row>
    <row r="7550" spans="1:16">
      <c r="A7550" s="25" t="s">
        <v>182</v>
      </c>
      <c r="B7550" t="s">
        <v>219</v>
      </c>
      <c r="C7550" t="s">
        <v>181</v>
      </c>
      <c r="D7550" t="s">
        <v>188</v>
      </c>
      <c r="E7550" t="s">
        <v>1915</v>
      </c>
      <c r="F7550" t="s">
        <v>241</v>
      </c>
      <c r="G7550" t="s">
        <v>1896</v>
      </c>
      <c r="H7550" t="s">
        <v>1916</v>
      </c>
      <c r="I7550" t="s">
        <v>1917</v>
      </c>
      <c r="J7550" t="s">
        <v>1918</v>
      </c>
      <c r="K7550" t="s">
        <v>324</v>
      </c>
      <c r="L7550" t="s">
        <v>269</v>
      </c>
      <c r="M7550" t="s">
        <v>243</v>
      </c>
      <c r="N7550" t="s">
        <v>1901</v>
      </c>
      <c r="O7550" t="s">
        <v>1919</v>
      </c>
      <c r="P7550" t="s">
        <v>1905</v>
      </c>
    </row>
    <row r="7551" spans="1:16">
      <c r="A7551" s="25" t="s">
        <v>190</v>
      </c>
      <c r="B7551">
        <v>4894</v>
      </c>
      <c r="C7551" t="s">
        <v>189</v>
      </c>
      <c r="D7551">
        <v>10424</v>
      </c>
      <c r="E7551" s="1">
        <v>0.1769</v>
      </c>
      <c r="F7551" s="1">
        <v>0.28660000000000002</v>
      </c>
      <c r="G7551" s="1">
        <v>0.29160000000000003</v>
      </c>
      <c r="H7551" s="1">
        <v>0.2026</v>
      </c>
      <c r="I7551" s="1">
        <v>2.5700000000000001E-2</v>
      </c>
      <c r="J7551" s="1">
        <v>0.1799</v>
      </c>
      <c r="K7551" s="1">
        <v>0.1125</v>
      </c>
      <c r="L7551" s="1">
        <v>6.0000000000000001E-3</v>
      </c>
      <c r="M7551" s="1">
        <v>8.9999999999999998E-4</v>
      </c>
      <c r="N7551" s="1">
        <v>0.44579999999999997</v>
      </c>
      <c r="O7551" s="1">
        <v>0.1462</v>
      </c>
      <c r="P7551" s="1">
        <v>5.4399999999999997E-2</v>
      </c>
    </row>
    <row r="7552" spans="1:16">
      <c r="A7552" s="25" t="s">
        <v>191</v>
      </c>
      <c r="B7552">
        <v>5473</v>
      </c>
      <c r="C7552" t="s">
        <v>189</v>
      </c>
      <c r="D7552">
        <v>10424</v>
      </c>
      <c r="E7552" s="1">
        <v>0.19520000000000001</v>
      </c>
      <c r="F7552" s="1">
        <v>0.31409999999999999</v>
      </c>
      <c r="G7552" s="1">
        <v>0.26429999999999998</v>
      </c>
      <c r="H7552" s="1">
        <v>0.14419999999999999</v>
      </c>
      <c r="I7552" s="1">
        <v>4.9399999999999999E-2</v>
      </c>
      <c r="J7552" s="1">
        <v>0.2437</v>
      </c>
      <c r="K7552" s="1">
        <v>0.1205</v>
      </c>
      <c r="L7552" s="1">
        <v>8.5000000000000006E-3</v>
      </c>
      <c r="M7552" s="1">
        <v>1.4E-3</v>
      </c>
      <c r="N7552" s="1">
        <v>0.38500000000000001</v>
      </c>
      <c r="O7552" s="1">
        <v>0.16159999999999999</v>
      </c>
      <c r="P7552" s="1">
        <v>8.7900000000000006E-2</v>
      </c>
    </row>
    <row r="7553" spans="1:16">
      <c r="A7553" s="25" t="s">
        <v>192</v>
      </c>
      <c r="B7553">
        <v>10424</v>
      </c>
      <c r="C7553" t="s">
        <v>192</v>
      </c>
      <c r="D7553">
        <v>10424</v>
      </c>
      <c r="E7553" s="1">
        <v>0.18809999999999999</v>
      </c>
      <c r="F7553" s="1">
        <v>0.30370000000000003</v>
      </c>
      <c r="G7553" s="1">
        <v>0.2747</v>
      </c>
      <c r="H7553" s="1">
        <v>0.1663</v>
      </c>
      <c r="I7553" s="1">
        <v>4.0300000000000002E-2</v>
      </c>
      <c r="J7553" s="1">
        <v>0.21920000000000001</v>
      </c>
      <c r="K7553" s="1">
        <v>0.1174</v>
      </c>
      <c r="L7553" s="1">
        <v>7.6E-3</v>
      </c>
      <c r="M7553" s="1">
        <v>1.1999999999999999E-3</v>
      </c>
      <c r="N7553" s="1">
        <v>0.40789999999999998</v>
      </c>
      <c r="O7553" s="1">
        <v>0.15559999999999999</v>
      </c>
      <c r="P7553" s="1">
        <v>7.51E-2</v>
      </c>
    </row>
    <row r="7555" spans="1:16" ht="43.5">
      <c r="A7555" s="25" t="s">
        <v>1922</v>
      </c>
    </row>
    <row r="7556" spans="1:16">
      <c r="A7556" s="25" t="s">
        <v>182</v>
      </c>
      <c r="B7556" t="s">
        <v>219</v>
      </c>
      <c r="C7556" t="s">
        <v>181</v>
      </c>
      <c r="D7556" t="s">
        <v>188</v>
      </c>
      <c r="E7556" t="s">
        <v>1915</v>
      </c>
      <c r="F7556" t="s">
        <v>241</v>
      </c>
      <c r="G7556" t="s">
        <v>1896</v>
      </c>
      <c r="H7556" t="s">
        <v>1916</v>
      </c>
      <c r="I7556" t="s">
        <v>1917</v>
      </c>
      <c r="J7556" t="s">
        <v>1918</v>
      </c>
      <c r="K7556" t="s">
        <v>324</v>
      </c>
      <c r="L7556" t="s">
        <v>269</v>
      </c>
      <c r="M7556" t="s">
        <v>243</v>
      </c>
      <c r="N7556" t="s">
        <v>1901</v>
      </c>
      <c r="O7556" t="s">
        <v>1919</v>
      </c>
      <c r="P7556" t="s">
        <v>1905</v>
      </c>
    </row>
    <row r="7557" spans="1:16" ht="29.1">
      <c r="A7557" s="25" t="s">
        <v>194</v>
      </c>
      <c r="B7557">
        <v>5950</v>
      </c>
      <c r="C7557" t="s">
        <v>189</v>
      </c>
      <c r="D7557">
        <v>10424</v>
      </c>
      <c r="E7557" s="1">
        <v>0.1827</v>
      </c>
      <c r="F7557" s="1">
        <v>0.29870000000000002</v>
      </c>
      <c r="G7557" s="1">
        <v>0.26150000000000001</v>
      </c>
      <c r="H7557" s="1">
        <v>0.18870000000000001</v>
      </c>
      <c r="I7557" s="1">
        <v>5.4300000000000001E-2</v>
      </c>
      <c r="J7557" s="1">
        <v>0.2248</v>
      </c>
      <c r="K7557" s="1">
        <v>0.1331</v>
      </c>
      <c r="L7557" s="1">
        <v>6.6E-3</v>
      </c>
      <c r="M7557" s="1">
        <v>5.0000000000000001E-4</v>
      </c>
      <c r="N7557" s="1">
        <v>0.42120000000000002</v>
      </c>
      <c r="O7557" s="1">
        <v>0.1613</v>
      </c>
      <c r="P7557" s="1">
        <v>8.0600000000000005E-2</v>
      </c>
    </row>
    <row r="7558" spans="1:16" ht="29.1">
      <c r="A7558" s="25" t="s">
        <v>195</v>
      </c>
      <c r="B7558">
        <v>2701</v>
      </c>
      <c r="C7558" t="s">
        <v>189</v>
      </c>
      <c r="D7558">
        <v>10424</v>
      </c>
      <c r="E7558" s="1">
        <v>0.1925</v>
      </c>
      <c r="F7558" s="1">
        <v>0.28699999999999998</v>
      </c>
      <c r="G7558" s="1">
        <v>0.30020000000000002</v>
      </c>
      <c r="H7558" s="1">
        <v>0.1318</v>
      </c>
      <c r="I7558" s="1">
        <v>4.1000000000000003E-3</v>
      </c>
      <c r="J7558" s="1">
        <v>0.20449999999999999</v>
      </c>
      <c r="K7558" s="1">
        <v>8.6300000000000002E-2</v>
      </c>
      <c r="L7558" s="1">
        <v>1.03E-2</v>
      </c>
      <c r="M7558" s="1">
        <v>3.7000000000000002E-3</v>
      </c>
      <c r="N7558" s="1">
        <v>0.39729999999999999</v>
      </c>
      <c r="O7558" s="1">
        <v>0.16569999999999999</v>
      </c>
      <c r="P7558" s="1">
        <v>7.22E-2</v>
      </c>
    </row>
    <row r="7559" spans="1:16" ht="29.1">
      <c r="A7559" s="25" t="s">
        <v>196</v>
      </c>
      <c r="B7559">
        <v>1716</v>
      </c>
      <c r="C7559" t="s">
        <v>189</v>
      </c>
      <c r="D7559">
        <v>10424</v>
      </c>
      <c r="E7559" s="1">
        <v>0.22159999999999999</v>
      </c>
      <c r="F7559" s="1">
        <v>0.375</v>
      </c>
      <c r="G7559" s="1">
        <v>0.32290000000000002</v>
      </c>
      <c r="H7559" s="1">
        <v>6.8599999999999994E-2</v>
      </c>
      <c r="I7559" s="1">
        <v>8.9999999999999993E-3</v>
      </c>
      <c r="J7559" s="1">
        <v>0.20860000000000001</v>
      </c>
      <c r="K7559" s="1">
        <v>6.2199999999999998E-2</v>
      </c>
      <c r="L7559" s="1">
        <v>9.1000000000000004E-3</v>
      </c>
      <c r="M7559" s="1">
        <v>1.5E-3</v>
      </c>
      <c r="N7559" s="1">
        <v>0.33100000000000002</v>
      </c>
      <c r="O7559" s="1">
        <v>9.3200000000000005E-2</v>
      </c>
      <c r="P7559" s="1">
        <v>3.9600000000000003E-2</v>
      </c>
    </row>
    <row r="7560" spans="1:16">
      <c r="A7560" s="25" t="s">
        <v>192</v>
      </c>
      <c r="B7560">
        <v>10424</v>
      </c>
      <c r="C7560" t="s">
        <v>192</v>
      </c>
      <c r="D7560">
        <v>10424</v>
      </c>
      <c r="E7560" s="1">
        <v>0.18809999999999999</v>
      </c>
      <c r="F7560" s="1">
        <v>0.30370000000000003</v>
      </c>
      <c r="G7560" s="1">
        <v>0.2747</v>
      </c>
      <c r="H7560" s="1">
        <v>0.1663</v>
      </c>
      <c r="I7560" s="1">
        <v>4.0300000000000002E-2</v>
      </c>
      <c r="J7560" s="1">
        <v>0.21920000000000001</v>
      </c>
      <c r="K7560" s="1">
        <v>0.1174</v>
      </c>
      <c r="L7560" s="1">
        <v>7.6E-3</v>
      </c>
      <c r="M7560" s="1">
        <v>1.1999999999999999E-3</v>
      </c>
      <c r="N7560" s="1">
        <v>0.40789999999999998</v>
      </c>
      <c r="O7560" s="1">
        <v>0.15559999999999999</v>
      </c>
      <c r="P7560" s="1">
        <v>7.51E-2</v>
      </c>
    </row>
    <row r="7562" spans="1:16" ht="43.5">
      <c r="A7562" s="25" t="s">
        <v>1923</v>
      </c>
    </row>
    <row r="7563" spans="1:16">
      <c r="A7563" s="25" t="s">
        <v>182</v>
      </c>
      <c r="B7563" t="s">
        <v>219</v>
      </c>
      <c r="C7563" t="s">
        <v>181</v>
      </c>
      <c r="D7563" t="s">
        <v>188</v>
      </c>
      <c r="E7563" t="s">
        <v>1915</v>
      </c>
      <c r="F7563" t="s">
        <v>241</v>
      </c>
      <c r="G7563" t="s">
        <v>1896</v>
      </c>
      <c r="H7563" t="s">
        <v>1916</v>
      </c>
      <c r="I7563" t="s">
        <v>1917</v>
      </c>
      <c r="J7563" t="s">
        <v>1918</v>
      </c>
      <c r="K7563" t="s">
        <v>324</v>
      </c>
      <c r="L7563" t="s">
        <v>269</v>
      </c>
      <c r="M7563" t="s">
        <v>243</v>
      </c>
      <c r="N7563" t="s">
        <v>1901</v>
      </c>
      <c r="O7563" t="s">
        <v>1919</v>
      </c>
      <c r="P7563" t="s">
        <v>1905</v>
      </c>
    </row>
    <row r="7564" spans="1:16">
      <c r="A7564" s="25" t="s">
        <v>198</v>
      </c>
      <c r="B7564">
        <v>2260</v>
      </c>
      <c r="C7564" t="s">
        <v>189</v>
      </c>
      <c r="D7564">
        <v>10424</v>
      </c>
      <c r="E7564" s="1">
        <v>0.15509999999999999</v>
      </c>
      <c r="F7564" s="1">
        <v>0.4078</v>
      </c>
      <c r="G7564" s="1">
        <v>0.2104</v>
      </c>
      <c r="H7564" s="1">
        <v>0.14549999999999999</v>
      </c>
      <c r="I7564" s="1">
        <v>1.6299999999999999E-2</v>
      </c>
      <c r="J7564" s="1">
        <v>0.14419999999999999</v>
      </c>
      <c r="K7564" s="1">
        <v>0.10920000000000001</v>
      </c>
      <c r="L7564" s="1">
        <v>9.4000000000000004E-3</v>
      </c>
      <c r="M7564" s="1">
        <v>2.9999999999999997E-4</v>
      </c>
      <c r="N7564" s="1">
        <v>0.31190000000000001</v>
      </c>
      <c r="O7564" s="1">
        <v>0.10920000000000001</v>
      </c>
      <c r="P7564" s="1">
        <v>6.6100000000000006E-2</v>
      </c>
    </row>
    <row r="7565" spans="1:16">
      <c r="A7565" s="25" t="s">
        <v>199</v>
      </c>
      <c r="B7565">
        <v>8164</v>
      </c>
      <c r="C7565" t="s">
        <v>189</v>
      </c>
      <c r="D7565">
        <v>10424</v>
      </c>
      <c r="E7565" s="1">
        <v>0.1956</v>
      </c>
      <c r="F7565" s="1">
        <v>0.28029999999999999</v>
      </c>
      <c r="G7565" s="1">
        <v>0.28910000000000002</v>
      </c>
      <c r="H7565" s="1">
        <v>0.17100000000000001</v>
      </c>
      <c r="I7565" s="1">
        <v>4.5699999999999998E-2</v>
      </c>
      <c r="J7565" s="1">
        <v>0.23599999999999999</v>
      </c>
      <c r="K7565" s="1">
        <v>0.1192</v>
      </c>
      <c r="L7565" s="1">
        <v>7.1000000000000004E-3</v>
      </c>
      <c r="M7565" s="1">
        <v>1.4E-3</v>
      </c>
      <c r="N7565" s="1">
        <v>0.4294</v>
      </c>
      <c r="O7565" s="1">
        <v>0.16600000000000001</v>
      </c>
      <c r="P7565" s="1">
        <v>7.7100000000000002E-2</v>
      </c>
    </row>
    <row r="7566" spans="1:16">
      <c r="A7566" s="25" t="s">
        <v>192</v>
      </c>
      <c r="B7566">
        <v>10424</v>
      </c>
      <c r="C7566" t="s">
        <v>192</v>
      </c>
      <c r="D7566">
        <v>10424</v>
      </c>
      <c r="E7566" s="1">
        <v>0.18809999999999999</v>
      </c>
      <c r="F7566" s="1">
        <v>0.30370000000000003</v>
      </c>
      <c r="G7566" s="1">
        <v>0.2747</v>
      </c>
      <c r="H7566" s="1">
        <v>0.1663</v>
      </c>
      <c r="I7566" s="1">
        <v>4.0300000000000002E-2</v>
      </c>
      <c r="J7566" s="1">
        <v>0.21920000000000001</v>
      </c>
      <c r="K7566" s="1">
        <v>0.1174</v>
      </c>
      <c r="L7566" s="1">
        <v>7.6E-3</v>
      </c>
      <c r="M7566" s="1">
        <v>1.1999999999999999E-3</v>
      </c>
      <c r="N7566" s="1">
        <v>0.40789999999999998</v>
      </c>
      <c r="O7566" s="1">
        <v>0.15559999999999999</v>
      </c>
      <c r="P7566" s="1">
        <v>7.51E-2</v>
      </c>
    </row>
    <row r="7568" spans="1:16" ht="43.5">
      <c r="A7568" s="25" t="s">
        <v>1924</v>
      </c>
    </row>
    <row r="7569" spans="1:16">
      <c r="A7569" s="25" t="s">
        <v>182</v>
      </c>
      <c r="B7569" t="s">
        <v>219</v>
      </c>
      <c r="C7569" t="s">
        <v>181</v>
      </c>
      <c r="D7569" t="s">
        <v>188</v>
      </c>
      <c r="E7569" t="s">
        <v>1915</v>
      </c>
      <c r="F7569" t="s">
        <v>241</v>
      </c>
      <c r="G7569" t="s">
        <v>1896</v>
      </c>
      <c r="H7569" t="s">
        <v>1916</v>
      </c>
      <c r="I7569" t="s">
        <v>1917</v>
      </c>
      <c r="J7569" t="s">
        <v>1918</v>
      </c>
      <c r="K7569" t="s">
        <v>324</v>
      </c>
      <c r="L7569" t="s">
        <v>269</v>
      </c>
      <c r="M7569" t="s">
        <v>243</v>
      </c>
      <c r="N7569" t="s">
        <v>1901</v>
      </c>
      <c r="O7569" t="s">
        <v>1919</v>
      </c>
      <c r="P7569" t="s">
        <v>1905</v>
      </c>
    </row>
    <row r="7570" spans="1:16">
      <c r="A7570" s="25" t="s">
        <v>201</v>
      </c>
      <c r="B7570">
        <v>767</v>
      </c>
      <c r="C7570" t="s">
        <v>189</v>
      </c>
      <c r="D7570">
        <v>10424</v>
      </c>
      <c r="E7570" s="1">
        <v>0.2092</v>
      </c>
      <c r="F7570" s="1">
        <v>0.34389999999999998</v>
      </c>
      <c r="G7570" s="1">
        <v>0.22819999999999999</v>
      </c>
      <c r="H7570" s="1">
        <v>0.1517</v>
      </c>
      <c r="I7570" s="1">
        <v>2.81E-2</v>
      </c>
      <c r="J7570" s="1">
        <v>0.27239999999999998</v>
      </c>
      <c r="K7570" s="1">
        <v>0.1138</v>
      </c>
      <c r="L7570" s="1">
        <v>1.8E-3</v>
      </c>
      <c r="M7570" s="1">
        <v>5.0000000000000001E-4</v>
      </c>
      <c r="N7570" s="1">
        <v>0.40860000000000002</v>
      </c>
      <c r="O7570" s="1">
        <v>0.1381</v>
      </c>
      <c r="P7570" s="1">
        <v>5.91E-2</v>
      </c>
    </row>
    <row r="7571" spans="1:16">
      <c r="A7571" s="25" t="s">
        <v>202</v>
      </c>
      <c r="B7571">
        <v>109</v>
      </c>
      <c r="C7571" t="s">
        <v>189</v>
      </c>
      <c r="D7571">
        <v>10424</v>
      </c>
      <c r="E7571" s="1">
        <v>0.1067</v>
      </c>
      <c r="F7571" s="1">
        <v>0.34389999999999998</v>
      </c>
      <c r="G7571" s="1">
        <v>0.26829999999999998</v>
      </c>
      <c r="H7571" s="1">
        <v>8.5099999999999995E-2</v>
      </c>
      <c r="J7571" s="1">
        <v>0.28120000000000001</v>
      </c>
      <c r="K7571" s="1">
        <v>7.4800000000000005E-2</v>
      </c>
      <c r="N7571" s="1">
        <v>0.36359999999999998</v>
      </c>
      <c r="O7571" s="1">
        <v>5.6899999999999999E-2</v>
      </c>
      <c r="P7571" s="1">
        <v>2.8400000000000002E-2</v>
      </c>
    </row>
    <row r="7572" spans="1:16">
      <c r="A7572" s="25" t="s">
        <v>203</v>
      </c>
      <c r="B7572">
        <v>8037</v>
      </c>
      <c r="C7572" t="s">
        <v>189</v>
      </c>
      <c r="D7572">
        <v>10424</v>
      </c>
      <c r="E7572" s="1">
        <v>0.17299999999999999</v>
      </c>
      <c r="F7572" s="1">
        <v>0.31130000000000002</v>
      </c>
      <c r="G7572" s="1">
        <v>0.27629999999999999</v>
      </c>
      <c r="H7572" s="1">
        <v>0.16919999999999999</v>
      </c>
      <c r="I7572" s="1">
        <v>3.8800000000000001E-2</v>
      </c>
      <c r="J7572" s="1">
        <v>0.20880000000000001</v>
      </c>
      <c r="K7572" s="1">
        <v>0.1149</v>
      </c>
      <c r="L7572" s="1">
        <v>5.1000000000000004E-3</v>
      </c>
      <c r="M7572" s="1">
        <v>1.1000000000000001E-3</v>
      </c>
      <c r="N7572" s="1">
        <v>0.40229999999999999</v>
      </c>
      <c r="O7572" s="1">
        <v>0.15679999999999999</v>
      </c>
      <c r="P7572" s="1">
        <v>7.5800000000000006E-2</v>
      </c>
    </row>
    <row r="7573" spans="1:16">
      <c r="A7573" s="25" t="s">
        <v>204</v>
      </c>
      <c r="B7573">
        <v>31</v>
      </c>
      <c r="C7573" t="s">
        <v>189</v>
      </c>
      <c r="D7573">
        <v>10424</v>
      </c>
      <c r="E7573" s="1">
        <v>0.222</v>
      </c>
      <c r="F7573" s="1">
        <v>0.38229999999999997</v>
      </c>
      <c r="G7573" s="1">
        <v>0.2525</v>
      </c>
      <c r="H7573" s="1">
        <v>0.13450000000000001</v>
      </c>
      <c r="I7573" s="1">
        <v>0.08</v>
      </c>
      <c r="J7573" s="1">
        <v>0.25069999999999998</v>
      </c>
      <c r="K7573" s="1">
        <v>0.17899999999999999</v>
      </c>
      <c r="M7573" s="1">
        <v>4.8000000000000001E-2</v>
      </c>
      <c r="N7573" s="1">
        <v>0.26729999999999998</v>
      </c>
      <c r="O7573" s="1">
        <v>0.18490000000000001</v>
      </c>
      <c r="P7573" s="1">
        <v>0.16639999999999999</v>
      </c>
    </row>
    <row r="7574" spans="1:16">
      <c r="A7574" s="25" t="s">
        <v>205</v>
      </c>
      <c r="B7574">
        <v>1480</v>
      </c>
      <c r="C7574" t="s">
        <v>189</v>
      </c>
      <c r="D7574">
        <v>10424</v>
      </c>
      <c r="E7574" s="1">
        <v>0.2671</v>
      </c>
      <c r="F7574" s="1">
        <v>0.23680000000000001</v>
      </c>
      <c r="G7574" s="1">
        <v>0.28960000000000002</v>
      </c>
      <c r="H7574" s="1">
        <v>0.16139999999999999</v>
      </c>
      <c r="I7574" s="1">
        <v>5.6599999999999998E-2</v>
      </c>
      <c r="J7574" s="1">
        <v>0.249</v>
      </c>
      <c r="K7574" s="1">
        <v>0.13450000000000001</v>
      </c>
      <c r="L7574" s="1">
        <v>2.5100000000000001E-2</v>
      </c>
      <c r="M7574" s="1">
        <v>1.6999999999999999E-3</v>
      </c>
      <c r="N7574" s="1">
        <v>0.44330000000000003</v>
      </c>
      <c r="O7574" s="1">
        <v>0.16109999999999999</v>
      </c>
      <c r="P7574" s="1">
        <v>7.9699999999999993E-2</v>
      </c>
    </row>
    <row r="7575" spans="1:16">
      <c r="A7575" s="25" t="s">
        <v>192</v>
      </c>
      <c r="B7575">
        <v>10424</v>
      </c>
      <c r="C7575" t="s">
        <v>192</v>
      </c>
      <c r="D7575">
        <v>10424</v>
      </c>
      <c r="E7575" s="1">
        <v>0.18809999999999999</v>
      </c>
      <c r="F7575" s="1">
        <v>0.30370000000000003</v>
      </c>
      <c r="G7575" s="1">
        <v>0.2747</v>
      </c>
      <c r="H7575" s="1">
        <v>0.1663</v>
      </c>
      <c r="I7575" s="1">
        <v>4.0300000000000002E-2</v>
      </c>
      <c r="J7575" s="1">
        <v>0.21920000000000001</v>
      </c>
      <c r="K7575" s="1">
        <v>0.1174</v>
      </c>
      <c r="L7575" s="1">
        <v>7.6E-3</v>
      </c>
      <c r="M7575" s="1">
        <v>1.1999999999999999E-3</v>
      </c>
      <c r="N7575" s="1">
        <v>0.40789999999999998</v>
      </c>
      <c r="O7575" s="1">
        <v>0.15559999999999999</v>
      </c>
      <c r="P7575" s="1">
        <v>7.51E-2</v>
      </c>
    </row>
    <row r="7577" spans="1:16" ht="43.5">
      <c r="A7577" s="25" t="s">
        <v>1925</v>
      </c>
    </row>
    <row r="7578" spans="1:16">
      <c r="A7578" s="25" t="s">
        <v>182</v>
      </c>
      <c r="B7578" t="s">
        <v>219</v>
      </c>
      <c r="C7578" t="s">
        <v>181</v>
      </c>
      <c r="D7578" t="s">
        <v>188</v>
      </c>
      <c r="E7578" t="s">
        <v>1915</v>
      </c>
      <c r="F7578" t="s">
        <v>241</v>
      </c>
      <c r="G7578" t="s">
        <v>1896</v>
      </c>
      <c r="H7578" t="s">
        <v>1916</v>
      </c>
      <c r="I7578" t="s">
        <v>1917</v>
      </c>
      <c r="J7578" t="s">
        <v>1918</v>
      </c>
      <c r="K7578" t="s">
        <v>324</v>
      </c>
      <c r="L7578" t="s">
        <v>269</v>
      </c>
      <c r="M7578" t="s">
        <v>243</v>
      </c>
      <c r="N7578" t="s">
        <v>1901</v>
      </c>
      <c r="O7578" t="s">
        <v>1919</v>
      </c>
      <c r="P7578" t="s">
        <v>1905</v>
      </c>
    </row>
    <row r="7579" spans="1:16">
      <c r="A7579" s="25" t="s">
        <v>207</v>
      </c>
      <c r="B7579">
        <v>7247</v>
      </c>
      <c r="C7579" t="s">
        <v>189</v>
      </c>
      <c r="D7579">
        <v>10424</v>
      </c>
      <c r="E7579" s="1">
        <v>0.19950000000000001</v>
      </c>
      <c r="F7579" s="1">
        <v>0.2767</v>
      </c>
      <c r="G7579" s="1">
        <v>0.28749999999999998</v>
      </c>
      <c r="H7579" s="1">
        <v>0.16969999999999999</v>
      </c>
      <c r="I7579" s="1">
        <v>4.1099999999999998E-2</v>
      </c>
      <c r="J7579" s="1">
        <v>0.2344</v>
      </c>
      <c r="K7579" s="1">
        <v>0.1235</v>
      </c>
      <c r="L7579" s="1">
        <v>7.6E-3</v>
      </c>
      <c r="M7579" s="1">
        <v>1.1999999999999999E-3</v>
      </c>
      <c r="N7579" s="1">
        <v>0.43020000000000003</v>
      </c>
      <c r="O7579" s="1">
        <v>0.16139999999999999</v>
      </c>
      <c r="P7579" s="1">
        <v>8.3099999999999993E-2</v>
      </c>
    </row>
    <row r="7580" spans="1:16">
      <c r="A7580" s="25" t="s">
        <v>208</v>
      </c>
      <c r="B7580">
        <v>2242</v>
      </c>
      <c r="C7580" t="s">
        <v>189</v>
      </c>
      <c r="D7580">
        <v>10424</v>
      </c>
      <c r="E7580" s="1">
        <v>0.1366</v>
      </c>
      <c r="F7580" s="1">
        <v>0.45540000000000003</v>
      </c>
      <c r="G7580" s="1">
        <v>0.2054</v>
      </c>
      <c r="H7580" s="1">
        <v>0.12870000000000001</v>
      </c>
      <c r="I7580" s="1">
        <v>3.5400000000000001E-2</v>
      </c>
      <c r="J7580" s="1">
        <v>0.15490000000000001</v>
      </c>
      <c r="K7580" s="1">
        <v>9.9500000000000005E-2</v>
      </c>
      <c r="L7580" s="1">
        <v>2.5000000000000001E-3</v>
      </c>
      <c r="M7580" s="1">
        <v>1.1999999999999999E-3</v>
      </c>
      <c r="N7580" s="1">
        <v>0.27710000000000001</v>
      </c>
      <c r="O7580" s="1">
        <v>0.1229</v>
      </c>
      <c r="P7580" s="1">
        <v>5.0799999999999998E-2</v>
      </c>
    </row>
    <row r="7581" spans="1:16">
      <c r="A7581" s="25" t="s">
        <v>209</v>
      </c>
      <c r="B7581">
        <v>935</v>
      </c>
      <c r="C7581" t="s">
        <v>189</v>
      </c>
      <c r="D7581">
        <v>10424</v>
      </c>
      <c r="E7581" s="1">
        <v>0.23499999999999999</v>
      </c>
      <c r="F7581" s="1">
        <v>0.10829999999999999</v>
      </c>
      <c r="G7581" s="1">
        <v>0.35899999999999999</v>
      </c>
      <c r="H7581" s="1">
        <v>0.24399999999999999</v>
      </c>
      <c r="I7581" s="1">
        <v>4.7899999999999998E-2</v>
      </c>
      <c r="J7581" s="1">
        <v>0.2681</v>
      </c>
      <c r="K7581" s="1">
        <v>0.11459999999999999</v>
      </c>
      <c r="L7581" s="1">
        <v>2.1700000000000001E-2</v>
      </c>
      <c r="M7581" s="1">
        <v>8.9999999999999998E-4</v>
      </c>
      <c r="N7581" s="1">
        <v>0.58389999999999997</v>
      </c>
      <c r="O7581" s="1">
        <v>0.19789999999999999</v>
      </c>
      <c r="P7581" s="1">
        <v>7.3400000000000007E-2</v>
      </c>
    </row>
    <row r="7582" spans="1:16">
      <c r="A7582" s="25" t="s">
        <v>192</v>
      </c>
      <c r="B7582">
        <v>10424</v>
      </c>
      <c r="C7582" t="s">
        <v>192</v>
      </c>
      <c r="D7582">
        <v>10424</v>
      </c>
      <c r="E7582" s="1">
        <v>0.18809999999999999</v>
      </c>
      <c r="F7582" s="1">
        <v>0.30370000000000003</v>
      </c>
      <c r="G7582" s="1">
        <v>0.2747</v>
      </c>
      <c r="H7582" s="1">
        <v>0.1663</v>
      </c>
      <c r="I7582" s="1">
        <v>4.0300000000000002E-2</v>
      </c>
      <c r="J7582" s="1">
        <v>0.21920000000000001</v>
      </c>
      <c r="K7582" s="1">
        <v>0.1174</v>
      </c>
      <c r="L7582" s="1">
        <v>7.6E-3</v>
      </c>
      <c r="M7582" s="1">
        <v>1.1999999999999999E-3</v>
      </c>
      <c r="N7582" s="1">
        <v>0.40789999999999998</v>
      </c>
      <c r="O7582" s="1">
        <v>0.15559999999999999</v>
      </c>
      <c r="P7582" s="1">
        <v>7.51E-2</v>
      </c>
    </row>
    <row r="7584" spans="1:16" ht="43.5">
      <c r="A7584" s="25" t="s">
        <v>1926</v>
      </c>
    </row>
    <row r="7585" spans="1:16">
      <c r="A7585" s="25" t="s">
        <v>182</v>
      </c>
      <c r="B7585" t="s">
        <v>219</v>
      </c>
      <c r="C7585" t="s">
        <v>181</v>
      </c>
      <c r="D7585" t="s">
        <v>188</v>
      </c>
      <c r="E7585" t="s">
        <v>1915</v>
      </c>
      <c r="F7585" t="s">
        <v>241</v>
      </c>
      <c r="G7585" t="s">
        <v>1896</v>
      </c>
      <c r="H7585" t="s">
        <v>1916</v>
      </c>
      <c r="I7585" t="s">
        <v>1917</v>
      </c>
      <c r="J7585" t="s">
        <v>1918</v>
      </c>
      <c r="K7585" t="s">
        <v>324</v>
      </c>
      <c r="L7585" t="s">
        <v>269</v>
      </c>
      <c r="M7585" t="s">
        <v>243</v>
      </c>
      <c r="N7585" t="s">
        <v>1901</v>
      </c>
      <c r="O7585" t="s">
        <v>1919</v>
      </c>
      <c r="P7585" t="s">
        <v>1905</v>
      </c>
    </row>
    <row r="7586" spans="1:16">
      <c r="A7586" s="25" t="s">
        <v>211</v>
      </c>
      <c r="B7586">
        <v>4969</v>
      </c>
      <c r="C7586" t="s">
        <v>189</v>
      </c>
      <c r="D7586">
        <v>10424</v>
      </c>
      <c r="E7586" s="1">
        <v>0.22689999999999999</v>
      </c>
      <c r="F7586" s="1">
        <v>0.2495</v>
      </c>
      <c r="G7586" s="1">
        <v>0.30909999999999999</v>
      </c>
      <c r="H7586" s="1">
        <v>0.1845</v>
      </c>
      <c r="I7586" s="1">
        <v>5.3400000000000003E-2</v>
      </c>
      <c r="J7586" s="1">
        <v>0.25040000000000001</v>
      </c>
      <c r="K7586" s="1">
        <v>0.1208</v>
      </c>
      <c r="L7586" s="1">
        <v>1.09E-2</v>
      </c>
      <c r="M7586" s="1">
        <v>1.6999999999999999E-3</v>
      </c>
      <c r="N7586" s="1">
        <v>0.45329999999999998</v>
      </c>
      <c r="O7586" s="1">
        <v>0.17929999999999999</v>
      </c>
      <c r="P7586" s="1">
        <v>9.9099999999999994E-2</v>
      </c>
    </row>
    <row r="7587" spans="1:16">
      <c r="A7587" s="25" t="s">
        <v>212</v>
      </c>
      <c r="B7587">
        <v>3372</v>
      </c>
      <c r="C7587" t="s">
        <v>189</v>
      </c>
      <c r="D7587">
        <v>10424</v>
      </c>
      <c r="E7587" s="1">
        <v>0.15210000000000001</v>
      </c>
      <c r="F7587" s="1">
        <v>0.35649999999999998</v>
      </c>
      <c r="G7587" s="1">
        <v>0.2407</v>
      </c>
      <c r="H7587" s="1">
        <v>0.14099999999999999</v>
      </c>
      <c r="I7587" s="1">
        <v>2.46E-2</v>
      </c>
      <c r="J7587" s="1">
        <v>0.18870000000000001</v>
      </c>
      <c r="K7587" s="1">
        <v>0.1007</v>
      </c>
      <c r="L7587" s="1">
        <v>5.1000000000000004E-3</v>
      </c>
      <c r="M7587" s="1">
        <v>8.9999999999999998E-4</v>
      </c>
      <c r="N7587" s="1">
        <v>0.36709999999999998</v>
      </c>
      <c r="O7587" s="1">
        <v>0.1333</v>
      </c>
      <c r="P7587" s="1">
        <v>4.9599999999999998E-2</v>
      </c>
    </row>
    <row r="7588" spans="1:16">
      <c r="A7588" s="25" t="s">
        <v>213</v>
      </c>
      <c r="B7588">
        <v>2083</v>
      </c>
      <c r="C7588" t="s">
        <v>189</v>
      </c>
      <c r="D7588">
        <v>10424</v>
      </c>
      <c r="E7588" s="1">
        <v>0.15620000000000001</v>
      </c>
      <c r="F7588" s="1">
        <v>0.34499999999999997</v>
      </c>
      <c r="G7588" s="1">
        <v>0.2492</v>
      </c>
      <c r="H7588" s="1">
        <v>0.16309999999999999</v>
      </c>
      <c r="I7588" s="1">
        <v>3.4599999999999999E-2</v>
      </c>
      <c r="J7588" s="1">
        <v>0.19550000000000001</v>
      </c>
      <c r="K7588" s="1">
        <v>0.1338</v>
      </c>
      <c r="L7588" s="1">
        <v>3.8999999999999998E-3</v>
      </c>
      <c r="M7588" s="1">
        <v>6.9999999999999999E-4</v>
      </c>
      <c r="N7588" s="1">
        <v>0.36840000000000001</v>
      </c>
      <c r="O7588" s="1">
        <v>0.1363</v>
      </c>
      <c r="P7588" s="1">
        <v>5.9499999999999997E-2</v>
      </c>
    </row>
    <row r="7589" spans="1:16">
      <c r="A7589" s="25" t="s">
        <v>192</v>
      </c>
      <c r="B7589">
        <v>10424</v>
      </c>
      <c r="C7589" t="s">
        <v>192</v>
      </c>
      <c r="D7589">
        <v>10424</v>
      </c>
      <c r="E7589" s="1">
        <v>0.18809999999999999</v>
      </c>
      <c r="F7589" s="1">
        <v>0.30370000000000003</v>
      </c>
      <c r="G7589" s="1">
        <v>0.2747</v>
      </c>
      <c r="H7589" s="1">
        <v>0.1663</v>
      </c>
      <c r="I7589" s="1">
        <v>4.0300000000000002E-2</v>
      </c>
      <c r="J7589" s="1">
        <v>0.21920000000000001</v>
      </c>
      <c r="K7589" s="1">
        <v>0.1174</v>
      </c>
      <c r="L7589" s="1">
        <v>7.6E-3</v>
      </c>
      <c r="M7589" s="1">
        <v>1.1999999999999999E-3</v>
      </c>
      <c r="N7589" s="1">
        <v>0.40789999999999998</v>
      </c>
      <c r="O7589" s="1">
        <v>0.15559999999999999</v>
      </c>
      <c r="P7589" s="1">
        <v>7.51E-2</v>
      </c>
    </row>
    <row r="7591" spans="1:16" ht="43.5">
      <c r="A7591" s="25" t="s">
        <v>1927</v>
      </c>
    </row>
    <row r="7592" spans="1:16">
      <c r="A7592" s="25" t="s">
        <v>181</v>
      </c>
      <c r="B7592" t="s">
        <v>182</v>
      </c>
      <c r="C7592" t="s">
        <v>1015</v>
      </c>
      <c r="D7592" t="s">
        <v>1928</v>
      </c>
      <c r="E7592" t="s">
        <v>1929</v>
      </c>
      <c r="F7592" t="s">
        <v>1930</v>
      </c>
      <c r="G7592" t="s">
        <v>1931</v>
      </c>
      <c r="H7592" t="s">
        <v>1932</v>
      </c>
      <c r="I7592" t="s">
        <v>1026</v>
      </c>
      <c r="J7592" t="s">
        <v>219</v>
      </c>
      <c r="K7592" t="s">
        <v>188</v>
      </c>
    </row>
    <row r="7593" spans="1:16">
      <c r="A7593" s="25" t="s">
        <v>189</v>
      </c>
      <c r="B7593" t="s">
        <v>190</v>
      </c>
      <c r="C7593" t="s">
        <v>1933</v>
      </c>
      <c r="D7593" s="1">
        <v>0.60809999999999997</v>
      </c>
      <c r="E7593" s="1">
        <v>0.89939999999999998</v>
      </c>
      <c r="F7593" s="1">
        <v>0.92259999999999998</v>
      </c>
      <c r="G7593" s="1">
        <v>0.97250000000000003</v>
      </c>
      <c r="H7593" s="1">
        <v>0.94879999999999998</v>
      </c>
      <c r="I7593">
        <v>3792</v>
      </c>
      <c r="J7593">
        <v>4581</v>
      </c>
      <c r="K7593">
        <v>9733</v>
      </c>
    </row>
    <row r="7594" spans="1:16">
      <c r="A7594" s="25" t="s">
        <v>189</v>
      </c>
      <c r="B7594" t="s">
        <v>190</v>
      </c>
      <c r="C7594" t="s">
        <v>1934</v>
      </c>
      <c r="D7594" s="1">
        <v>0.39190000000000003</v>
      </c>
      <c r="E7594" s="1">
        <v>0.10059999999999999</v>
      </c>
      <c r="F7594" s="1">
        <v>7.7399999999999997E-2</v>
      </c>
      <c r="G7594" s="1">
        <v>2.75E-2</v>
      </c>
      <c r="H7594" s="1">
        <v>5.1200000000000002E-2</v>
      </c>
      <c r="I7594">
        <v>3792</v>
      </c>
      <c r="J7594">
        <v>4581</v>
      </c>
      <c r="K7594">
        <v>9733</v>
      </c>
    </row>
    <row r="7595" spans="1:16">
      <c r="A7595" s="25" t="s">
        <v>189</v>
      </c>
      <c r="B7595" t="s">
        <v>191</v>
      </c>
      <c r="C7595" t="s">
        <v>1933</v>
      </c>
      <c r="D7595" s="1">
        <v>0.6179</v>
      </c>
      <c r="E7595" s="1">
        <v>0.91</v>
      </c>
      <c r="F7595" s="1">
        <v>0.92589999999999995</v>
      </c>
      <c r="G7595" s="1">
        <v>0.97289999999999999</v>
      </c>
      <c r="H7595" s="1">
        <v>0.94430000000000003</v>
      </c>
      <c r="I7595">
        <v>6107</v>
      </c>
      <c r="J7595">
        <v>5101</v>
      </c>
      <c r="K7595">
        <v>9733</v>
      </c>
    </row>
    <row r="7596" spans="1:16">
      <c r="A7596" s="25" t="s">
        <v>189</v>
      </c>
      <c r="B7596" t="s">
        <v>191</v>
      </c>
      <c r="C7596" t="s">
        <v>1934</v>
      </c>
      <c r="D7596" s="1">
        <v>0.3821</v>
      </c>
      <c r="E7596" s="1">
        <v>0.09</v>
      </c>
      <c r="F7596" s="1">
        <v>7.4099999999999999E-2</v>
      </c>
      <c r="G7596" s="1">
        <v>2.7099999999999999E-2</v>
      </c>
      <c r="H7596" s="1">
        <v>5.57E-2</v>
      </c>
      <c r="I7596">
        <v>6107</v>
      </c>
      <c r="J7596">
        <v>5101</v>
      </c>
      <c r="K7596">
        <v>9733</v>
      </c>
    </row>
    <row r="7597" spans="1:16">
      <c r="A7597" s="25" t="s">
        <v>192</v>
      </c>
      <c r="B7597" t="s">
        <v>192</v>
      </c>
      <c r="C7597" t="s">
        <v>1933</v>
      </c>
      <c r="D7597" s="1">
        <v>0.61419999999999997</v>
      </c>
      <c r="E7597" s="1">
        <v>0.90600000000000003</v>
      </c>
      <c r="F7597" s="1">
        <v>0.92459999999999998</v>
      </c>
      <c r="G7597" s="1">
        <v>0.97270000000000001</v>
      </c>
      <c r="H7597" s="1">
        <v>0.94589999999999996</v>
      </c>
      <c r="I7597">
        <v>9733</v>
      </c>
      <c r="J7597">
        <v>9733</v>
      </c>
      <c r="K7597">
        <v>9733</v>
      </c>
    </row>
    <row r="7598" spans="1:16">
      <c r="A7598" s="25" t="s">
        <v>192</v>
      </c>
      <c r="B7598" t="s">
        <v>192</v>
      </c>
      <c r="C7598" t="s">
        <v>1934</v>
      </c>
      <c r="D7598" s="1">
        <v>0.38579999999999998</v>
      </c>
      <c r="E7598" s="1">
        <v>9.4E-2</v>
      </c>
      <c r="F7598" s="1">
        <v>7.5399999999999995E-2</v>
      </c>
      <c r="G7598" s="1">
        <v>2.7300000000000001E-2</v>
      </c>
      <c r="H7598" s="1">
        <v>5.4100000000000002E-2</v>
      </c>
      <c r="I7598">
        <v>9733</v>
      </c>
      <c r="J7598">
        <v>9733</v>
      </c>
      <c r="K7598">
        <v>9733</v>
      </c>
    </row>
    <row r="7600" spans="1:16" ht="57.95">
      <c r="A7600" s="25" t="s">
        <v>1935</v>
      </c>
    </row>
    <row r="7601" spans="1:11">
      <c r="A7601" s="25" t="s">
        <v>181</v>
      </c>
      <c r="B7601" t="s">
        <v>182</v>
      </c>
      <c r="C7601" t="s">
        <v>1015</v>
      </c>
      <c r="D7601" t="s">
        <v>1928</v>
      </c>
      <c r="E7601" t="s">
        <v>1929</v>
      </c>
      <c r="F7601" t="s">
        <v>1930</v>
      </c>
      <c r="G7601" t="s">
        <v>1931</v>
      </c>
      <c r="H7601" t="s">
        <v>1932</v>
      </c>
      <c r="I7601" t="s">
        <v>1026</v>
      </c>
      <c r="J7601" t="s">
        <v>219</v>
      </c>
      <c r="K7601" t="s">
        <v>188</v>
      </c>
    </row>
    <row r="7602" spans="1:11">
      <c r="A7602" s="25" t="s">
        <v>189</v>
      </c>
      <c r="B7602" t="s">
        <v>194</v>
      </c>
      <c r="C7602" t="s">
        <v>1933</v>
      </c>
      <c r="D7602" s="1">
        <v>0.63570000000000004</v>
      </c>
      <c r="E7602" s="1">
        <v>0.92449999999999999</v>
      </c>
      <c r="F7602" s="1">
        <v>0.93720000000000003</v>
      </c>
      <c r="G7602" s="1">
        <v>0.98129999999999995</v>
      </c>
      <c r="H7602" s="1">
        <v>0.95840000000000003</v>
      </c>
      <c r="I7602">
        <v>7060</v>
      </c>
      <c r="J7602">
        <v>5607</v>
      </c>
      <c r="K7602">
        <v>9733</v>
      </c>
    </row>
    <row r="7603" spans="1:11">
      <c r="A7603" s="25" t="s">
        <v>189</v>
      </c>
      <c r="B7603" t="s">
        <v>194</v>
      </c>
      <c r="C7603" t="s">
        <v>1934</v>
      </c>
      <c r="D7603" s="1">
        <v>0.36430000000000001</v>
      </c>
      <c r="E7603" s="1">
        <v>7.5499999999999998E-2</v>
      </c>
      <c r="F7603" s="1">
        <v>6.2799999999999995E-2</v>
      </c>
      <c r="G7603" s="1">
        <v>1.8700000000000001E-2</v>
      </c>
      <c r="H7603" s="1">
        <v>4.1599999999999998E-2</v>
      </c>
      <c r="I7603">
        <v>7060</v>
      </c>
      <c r="J7603">
        <v>5607</v>
      </c>
      <c r="K7603">
        <v>9733</v>
      </c>
    </row>
    <row r="7604" spans="1:11">
      <c r="A7604" s="25" t="s">
        <v>189</v>
      </c>
      <c r="B7604" t="s">
        <v>195</v>
      </c>
      <c r="C7604" t="s">
        <v>1933</v>
      </c>
      <c r="D7604" s="1">
        <v>0.59050000000000002</v>
      </c>
      <c r="E7604" s="1">
        <v>0.87929999999999997</v>
      </c>
      <c r="F7604" s="1">
        <v>0.92159999999999997</v>
      </c>
      <c r="G7604" s="1">
        <v>0.96519999999999995</v>
      </c>
      <c r="H7604" s="1">
        <v>0.9365</v>
      </c>
      <c r="I7604">
        <v>1932</v>
      </c>
      <c r="J7604">
        <v>2561</v>
      </c>
      <c r="K7604">
        <v>9733</v>
      </c>
    </row>
    <row r="7605" spans="1:11">
      <c r="A7605" s="25" t="s">
        <v>189</v>
      </c>
      <c r="B7605" t="s">
        <v>195</v>
      </c>
      <c r="C7605" t="s">
        <v>1934</v>
      </c>
      <c r="D7605" s="1">
        <v>0.40949999999999998</v>
      </c>
      <c r="E7605" s="1">
        <v>0.1207</v>
      </c>
      <c r="F7605" s="1">
        <v>7.8399999999999997E-2</v>
      </c>
      <c r="G7605" s="1">
        <v>3.4799999999999998E-2</v>
      </c>
      <c r="H7605" s="1">
        <v>6.3500000000000001E-2</v>
      </c>
      <c r="I7605">
        <v>1932</v>
      </c>
      <c r="J7605">
        <v>2561</v>
      </c>
      <c r="K7605">
        <v>9733</v>
      </c>
    </row>
    <row r="7606" spans="1:11">
      <c r="A7606" s="25" t="s">
        <v>189</v>
      </c>
      <c r="B7606" t="s">
        <v>196</v>
      </c>
      <c r="C7606" t="s">
        <v>1933</v>
      </c>
      <c r="D7606" s="1">
        <v>0.497</v>
      </c>
      <c r="E7606" s="1">
        <v>0.81830000000000003</v>
      </c>
      <c r="F7606" s="1">
        <v>0.83309999999999995</v>
      </c>
      <c r="G7606" s="1">
        <v>0.92159999999999997</v>
      </c>
      <c r="H7606" s="1">
        <v>0.86990000000000001</v>
      </c>
      <c r="I7606">
        <v>907</v>
      </c>
      <c r="J7606">
        <v>1514</v>
      </c>
      <c r="K7606">
        <v>9733</v>
      </c>
    </row>
    <row r="7607" spans="1:11">
      <c r="A7607" s="25" t="s">
        <v>189</v>
      </c>
      <c r="B7607" t="s">
        <v>196</v>
      </c>
      <c r="C7607" t="s">
        <v>1934</v>
      </c>
      <c r="D7607" s="1">
        <v>0.503</v>
      </c>
      <c r="E7607" s="1">
        <v>0.1817</v>
      </c>
      <c r="F7607" s="1">
        <v>0.16689999999999999</v>
      </c>
      <c r="G7607" s="1">
        <v>7.8399999999999997E-2</v>
      </c>
      <c r="H7607" s="1">
        <v>0.13009999999999999</v>
      </c>
      <c r="I7607">
        <v>907</v>
      </c>
      <c r="J7607">
        <v>1514</v>
      </c>
      <c r="K7607">
        <v>9733</v>
      </c>
    </row>
    <row r="7608" spans="1:11">
      <c r="A7608" s="25" t="s">
        <v>192</v>
      </c>
      <c r="B7608" t="s">
        <v>192</v>
      </c>
      <c r="C7608" t="s">
        <v>1933</v>
      </c>
      <c r="D7608" s="1">
        <v>0.61419999999999997</v>
      </c>
      <c r="E7608" s="1">
        <v>0.90600000000000003</v>
      </c>
      <c r="F7608" s="1">
        <v>0.92459999999999998</v>
      </c>
      <c r="G7608" s="1">
        <v>0.97270000000000001</v>
      </c>
      <c r="H7608" s="1">
        <v>0.94589999999999996</v>
      </c>
      <c r="I7608">
        <v>9733</v>
      </c>
      <c r="J7608">
        <v>9733</v>
      </c>
      <c r="K7608">
        <v>9733</v>
      </c>
    </row>
    <row r="7609" spans="1:11">
      <c r="A7609" s="25" t="s">
        <v>192</v>
      </c>
      <c r="B7609" t="s">
        <v>192</v>
      </c>
      <c r="C7609" t="s">
        <v>1934</v>
      </c>
      <c r="D7609" s="1">
        <v>0.38579999999999998</v>
      </c>
      <c r="E7609" s="1">
        <v>9.4E-2</v>
      </c>
      <c r="F7609" s="1">
        <v>7.5399999999999995E-2</v>
      </c>
      <c r="G7609" s="1">
        <v>2.7300000000000001E-2</v>
      </c>
      <c r="H7609" s="1">
        <v>5.4100000000000002E-2</v>
      </c>
      <c r="I7609">
        <v>9733</v>
      </c>
      <c r="J7609">
        <v>9733</v>
      </c>
      <c r="K7609">
        <v>9733</v>
      </c>
    </row>
    <row r="7611" spans="1:11" ht="43.5">
      <c r="A7611" s="25" t="s">
        <v>1936</v>
      </c>
    </row>
    <row r="7612" spans="1:11">
      <c r="A7612" s="25" t="s">
        <v>181</v>
      </c>
      <c r="B7612" t="s">
        <v>182</v>
      </c>
      <c r="C7612" t="s">
        <v>1015</v>
      </c>
      <c r="D7612" t="s">
        <v>1928</v>
      </c>
      <c r="E7612" t="s">
        <v>1929</v>
      </c>
      <c r="F7612" t="s">
        <v>1930</v>
      </c>
      <c r="G7612" t="s">
        <v>1931</v>
      </c>
      <c r="H7612" t="s">
        <v>1932</v>
      </c>
      <c r="I7612" t="s">
        <v>1026</v>
      </c>
      <c r="J7612" t="s">
        <v>219</v>
      </c>
      <c r="K7612" t="s">
        <v>188</v>
      </c>
    </row>
    <row r="7613" spans="1:11">
      <c r="A7613" s="25" t="s">
        <v>189</v>
      </c>
      <c r="B7613" t="s">
        <v>198</v>
      </c>
      <c r="C7613" t="s">
        <v>1933</v>
      </c>
      <c r="D7613" s="1">
        <v>0.43149999999999999</v>
      </c>
      <c r="E7613" s="1">
        <v>0.84</v>
      </c>
      <c r="F7613" s="1">
        <v>0.84540000000000004</v>
      </c>
      <c r="G7613" s="1">
        <v>0.9738</v>
      </c>
      <c r="H7613" s="1">
        <v>0.88190000000000002</v>
      </c>
      <c r="I7613">
        <v>1760</v>
      </c>
      <c r="J7613">
        <v>2059</v>
      </c>
      <c r="K7613">
        <v>9733</v>
      </c>
    </row>
    <row r="7614" spans="1:11">
      <c r="A7614" s="25" t="s">
        <v>189</v>
      </c>
      <c r="B7614" t="s">
        <v>198</v>
      </c>
      <c r="C7614" t="s">
        <v>1934</v>
      </c>
      <c r="D7614" s="1">
        <v>0.56850000000000001</v>
      </c>
      <c r="E7614" s="1">
        <v>0.16</v>
      </c>
      <c r="F7614" s="1">
        <v>0.15459999999999999</v>
      </c>
      <c r="G7614" s="1">
        <v>2.6200000000000001E-2</v>
      </c>
      <c r="H7614" s="1">
        <v>0.1181</v>
      </c>
      <c r="I7614">
        <v>1760</v>
      </c>
      <c r="J7614">
        <v>2059</v>
      </c>
      <c r="K7614">
        <v>9733</v>
      </c>
    </row>
    <row r="7615" spans="1:11">
      <c r="A7615" s="25" t="s">
        <v>189</v>
      </c>
      <c r="B7615" t="s">
        <v>199</v>
      </c>
      <c r="C7615" t="s">
        <v>1933</v>
      </c>
      <c r="D7615" s="1">
        <v>0.65369999999999995</v>
      </c>
      <c r="E7615" s="1">
        <v>0.92010000000000003</v>
      </c>
      <c r="F7615" s="1">
        <v>0.94169999999999998</v>
      </c>
      <c r="G7615" s="1">
        <v>0.97250000000000003</v>
      </c>
      <c r="H7615" s="1">
        <v>0.9597</v>
      </c>
      <c r="I7615">
        <v>8150</v>
      </c>
      <c r="J7615">
        <v>7674</v>
      </c>
      <c r="K7615">
        <v>9733</v>
      </c>
    </row>
    <row r="7616" spans="1:11">
      <c r="A7616" s="25" t="s">
        <v>189</v>
      </c>
      <c r="B7616" t="s">
        <v>199</v>
      </c>
      <c r="C7616" t="s">
        <v>1934</v>
      </c>
      <c r="D7616" s="1">
        <v>0.3463</v>
      </c>
      <c r="E7616" s="1">
        <v>7.9899999999999999E-2</v>
      </c>
      <c r="F7616" s="1">
        <v>5.8299999999999998E-2</v>
      </c>
      <c r="G7616" s="1">
        <v>2.75E-2</v>
      </c>
      <c r="H7616" s="1">
        <v>4.0300000000000002E-2</v>
      </c>
      <c r="I7616">
        <v>8150</v>
      </c>
      <c r="J7616">
        <v>7674</v>
      </c>
      <c r="K7616">
        <v>9733</v>
      </c>
    </row>
    <row r="7617" spans="1:11">
      <c r="A7617" s="25" t="s">
        <v>192</v>
      </c>
      <c r="B7617" t="s">
        <v>192</v>
      </c>
      <c r="C7617" t="s">
        <v>1933</v>
      </c>
      <c r="D7617" s="1">
        <v>0.61419999999999997</v>
      </c>
      <c r="E7617" s="1">
        <v>0.90600000000000003</v>
      </c>
      <c r="F7617" s="1">
        <v>0.92459999999999998</v>
      </c>
      <c r="G7617" s="1">
        <v>0.97270000000000001</v>
      </c>
      <c r="H7617" s="1">
        <v>0.94589999999999996</v>
      </c>
      <c r="I7617">
        <v>9733</v>
      </c>
      <c r="J7617">
        <v>9733</v>
      </c>
      <c r="K7617">
        <v>9733</v>
      </c>
    </row>
    <row r="7618" spans="1:11">
      <c r="A7618" s="25" t="s">
        <v>192</v>
      </c>
      <c r="B7618" t="s">
        <v>192</v>
      </c>
      <c r="C7618" t="s">
        <v>1934</v>
      </c>
      <c r="D7618" s="1">
        <v>0.38579999999999998</v>
      </c>
      <c r="E7618" s="1">
        <v>9.4E-2</v>
      </c>
      <c r="F7618" s="1">
        <v>7.5399999999999995E-2</v>
      </c>
      <c r="G7618" s="1">
        <v>2.7300000000000001E-2</v>
      </c>
      <c r="H7618" s="1">
        <v>5.4100000000000002E-2</v>
      </c>
      <c r="I7618">
        <v>9733</v>
      </c>
      <c r="J7618">
        <v>9733</v>
      </c>
      <c r="K7618">
        <v>9733</v>
      </c>
    </row>
    <row r="7620" spans="1:11" ht="43.5">
      <c r="A7620" s="25" t="s">
        <v>1937</v>
      </c>
    </row>
    <row r="7621" spans="1:11">
      <c r="A7621" s="25" t="s">
        <v>181</v>
      </c>
      <c r="B7621" t="s">
        <v>182</v>
      </c>
      <c r="C7621" t="s">
        <v>1015</v>
      </c>
      <c r="D7621" t="s">
        <v>1928</v>
      </c>
      <c r="E7621" t="s">
        <v>1929</v>
      </c>
      <c r="F7621" t="s">
        <v>1930</v>
      </c>
      <c r="G7621" t="s">
        <v>1931</v>
      </c>
      <c r="H7621" t="s">
        <v>1932</v>
      </c>
      <c r="I7621" t="s">
        <v>1026</v>
      </c>
      <c r="J7621" t="s">
        <v>219</v>
      </c>
      <c r="K7621" t="s">
        <v>188</v>
      </c>
    </row>
    <row r="7622" spans="1:11">
      <c r="A7622" s="25" t="s">
        <v>189</v>
      </c>
      <c r="B7622" t="s">
        <v>1938</v>
      </c>
      <c r="C7622" t="s">
        <v>1933</v>
      </c>
      <c r="D7622" s="1">
        <v>0.53680000000000005</v>
      </c>
      <c r="E7622" s="1">
        <v>0.84830000000000005</v>
      </c>
      <c r="F7622" s="1">
        <v>0.87050000000000005</v>
      </c>
      <c r="G7622" s="1">
        <v>0.90380000000000005</v>
      </c>
      <c r="H7622" s="1">
        <v>0.90369999999999995</v>
      </c>
      <c r="I7622">
        <v>684</v>
      </c>
      <c r="J7622">
        <v>697</v>
      </c>
      <c r="K7622">
        <v>9733</v>
      </c>
    </row>
    <row r="7623" spans="1:11">
      <c r="A7623" s="25" t="s">
        <v>189</v>
      </c>
      <c r="B7623" t="s">
        <v>1938</v>
      </c>
      <c r="C7623" t="s">
        <v>1934</v>
      </c>
      <c r="D7623" s="1">
        <v>0.4632</v>
      </c>
      <c r="E7623" s="1">
        <v>0.1517</v>
      </c>
      <c r="F7623" s="1">
        <v>0.1295</v>
      </c>
      <c r="G7623" s="1">
        <v>9.6199999999999994E-2</v>
      </c>
      <c r="H7623" s="1">
        <v>9.6299999999999997E-2</v>
      </c>
      <c r="I7623">
        <v>684</v>
      </c>
      <c r="J7623">
        <v>697</v>
      </c>
      <c r="K7623">
        <v>9733</v>
      </c>
    </row>
    <row r="7624" spans="1:11">
      <c r="A7624" s="25" t="s">
        <v>189</v>
      </c>
      <c r="B7624" t="s">
        <v>204</v>
      </c>
      <c r="C7624" t="s">
        <v>1933</v>
      </c>
      <c r="D7624" s="1">
        <v>0.61990000000000001</v>
      </c>
      <c r="E7624" s="1">
        <v>0.91020000000000001</v>
      </c>
      <c r="F7624" s="1">
        <v>0.92859999999999998</v>
      </c>
      <c r="G7624" s="1">
        <v>0.9778</v>
      </c>
      <c r="H7624" s="1">
        <v>0.94899999999999995</v>
      </c>
      <c r="I7624">
        <v>9227</v>
      </c>
      <c r="J7624">
        <v>9036</v>
      </c>
      <c r="K7624">
        <v>9733</v>
      </c>
    </row>
    <row r="7625" spans="1:11">
      <c r="A7625" s="25" t="s">
        <v>189</v>
      </c>
      <c r="B7625" t="s">
        <v>204</v>
      </c>
      <c r="C7625" t="s">
        <v>1934</v>
      </c>
      <c r="D7625" s="1">
        <v>0.38009999999999999</v>
      </c>
      <c r="E7625" s="1">
        <v>8.9800000000000005E-2</v>
      </c>
      <c r="F7625" s="1">
        <v>7.1400000000000005E-2</v>
      </c>
      <c r="G7625" s="1">
        <v>2.2200000000000001E-2</v>
      </c>
      <c r="H7625" s="1">
        <v>5.0999999999999997E-2</v>
      </c>
      <c r="I7625">
        <v>9227</v>
      </c>
      <c r="J7625">
        <v>9036</v>
      </c>
      <c r="K7625">
        <v>9733</v>
      </c>
    </row>
    <row r="7626" spans="1:11">
      <c r="A7626" s="25" t="s">
        <v>192</v>
      </c>
      <c r="B7626" t="s">
        <v>192</v>
      </c>
      <c r="C7626" t="s">
        <v>1933</v>
      </c>
      <c r="D7626" s="1">
        <v>0.61419999999999997</v>
      </c>
      <c r="E7626" s="1">
        <v>0.90600000000000003</v>
      </c>
      <c r="F7626" s="1">
        <v>0.92459999999999998</v>
      </c>
      <c r="G7626" s="1">
        <v>0.97270000000000001</v>
      </c>
      <c r="H7626" s="1">
        <v>0.94589999999999996</v>
      </c>
      <c r="I7626">
        <v>9733</v>
      </c>
      <c r="J7626">
        <v>9733</v>
      </c>
      <c r="K7626">
        <v>9733</v>
      </c>
    </row>
    <row r="7627" spans="1:11">
      <c r="A7627" s="25" t="s">
        <v>192</v>
      </c>
      <c r="B7627" t="s">
        <v>192</v>
      </c>
      <c r="C7627" t="s">
        <v>1934</v>
      </c>
      <c r="D7627" s="1">
        <v>0.38579999999999998</v>
      </c>
      <c r="E7627" s="1">
        <v>9.4E-2</v>
      </c>
      <c r="F7627" s="1">
        <v>7.5399999999999995E-2</v>
      </c>
      <c r="G7627" s="1">
        <v>2.7300000000000001E-2</v>
      </c>
      <c r="H7627" s="1">
        <v>5.4100000000000002E-2</v>
      </c>
      <c r="I7627">
        <v>9733</v>
      </c>
      <c r="J7627">
        <v>9733</v>
      </c>
      <c r="K7627">
        <v>9733</v>
      </c>
    </row>
    <row r="7629" spans="1:11" ht="43.5">
      <c r="A7629" s="25" t="s">
        <v>1939</v>
      </c>
    </row>
    <row r="7630" spans="1:11">
      <c r="A7630" s="25" t="s">
        <v>181</v>
      </c>
      <c r="B7630" t="s">
        <v>182</v>
      </c>
      <c r="C7630" t="s">
        <v>1015</v>
      </c>
      <c r="D7630" t="s">
        <v>1928</v>
      </c>
      <c r="E7630" t="s">
        <v>1929</v>
      </c>
      <c r="F7630" t="s">
        <v>1930</v>
      </c>
      <c r="G7630" t="s">
        <v>1931</v>
      </c>
      <c r="H7630" t="s">
        <v>1932</v>
      </c>
      <c r="I7630" t="s">
        <v>1026</v>
      </c>
      <c r="J7630" t="s">
        <v>219</v>
      </c>
      <c r="K7630" t="s">
        <v>188</v>
      </c>
    </row>
    <row r="7631" spans="1:11">
      <c r="A7631" s="25" t="s">
        <v>189</v>
      </c>
      <c r="B7631" t="s">
        <v>207</v>
      </c>
      <c r="C7631" t="s">
        <v>1933</v>
      </c>
      <c r="D7631" s="1">
        <v>0.63970000000000005</v>
      </c>
      <c r="E7631" s="1">
        <v>0.92420000000000002</v>
      </c>
      <c r="F7631" s="1">
        <v>0.93820000000000003</v>
      </c>
      <c r="G7631" s="1">
        <v>0.97089999999999999</v>
      </c>
      <c r="H7631" s="1">
        <v>0.95660000000000001</v>
      </c>
      <c r="I7631">
        <v>6937</v>
      </c>
      <c r="J7631">
        <v>6789</v>
      </c>
      <c r="K7631">
        <v>9733</v>
      </c>
    </row>
    <row r="7632" spans="1:11">
      <c r="A7632" s="25" t="s">
        <v>189</v>
      </c>
      <c r="B7632" t="s">
        <v>207</v>
      </c>
      <c r="C7632" t="s">
        <v>1934</v>
      </c>
      <c r="D7632" s="1">
        <v>0.36030000000000001</v>
      </c>
      <c r="E7632" s="1">
        <v>7.5800000000000006E-2</v>
      </c>
      <c r="F7632" s="1">
        <v>6.1800000000000001E-2</v>
      </c>
      <c r="G7632" s="1">
        <v>2.9100000000000001E-2</v>
      </c>
      <c r="H7632" s="1">
        <v>4.3400000000000001E-2</v>
      </c>
      <c r="I7632">
        <v>6937</v>
      </c>
      <c r="J7632">
        <v>6789</v>
      </c>
      <c r="K7632">
        <v>9733</v>
      </c>
    </row>
    <row r="7633" spans="1:11">
      <c r="A7633" s="25" t="s">
        <v>189</v>
      </c>
      <c r="B7633" t="s">
        <v>208</v>
      </c>
      <c r="C7633" t="s">
        <v>1933</v>
      </c>
      <c r="D7633" s="1">
        <v>0.51700000000000002</v>
      </c>
      <c r="E7633" s="1">
        <v>0.83950000000000002</v>
      </c>
      <c r="F7633" s="1">
        <v>0.87780000000000002</v>
      </c>
      <c r="G7633" s="1">
        <v>1</v>
      </c>
      <c r="H7633" s="1">
        <v>0.90849999999999997</v>
      </c>
      <c r="I7633">
        <v>2206</v>
      </c>
      <c r="J7633">
        <v>2083</v>
      </c>
      <c r="K7633">
        <v>9733</v>
      </c>
    </row>
    <row r="7634" spans="1:11">
      <c r="A7634" s="25" t="s">
        <v>189</v>
      </c>
      <c r="B7634" t="s">
        <v>208</v>
      </c>
      <c r="C7634" t="s">
        <v>1934</v>
      </c>
      <c r="D7634" s="1">
        <v>0.48299999999999998</v>
      </c>
      <c r="E7634" s="1">
        <v>0.1605</v>
      </c>
      <c r="F7634" s="1">
        <v>0.1222</v>
      </c>
      <c r="H7634" s="1">
        <v>9.1499999999999998E-2</v>
      </c>
      <c r="I7634">
        <v>2206</v>
      </c>
      <c r="J7634">
        <v>2083</v>
      </c>
      <c r="K7634">
        <v>9733</v>
      </c>
    </row>
    <row r="7635" spans="1:11">
      <c r="A7635" s="25" t="s">
        <v>189</v>
      </c>
      <c r="B7635" t="s">
        <v>209</v>
      </c>
      <c r="C7635" t="s">
        <v>1933</v>
      </c>
      <c r="D7635" s="1">
        <v>0.66369999999999996</v>
      </c>
      <c r="E7635" s="1">
        <v>0.93149999999999999</v>
      </c>
      <c r="F7635" s="1">
        <v>0.93689999999999996</v>
      </c>
      <c r="G7635" s="1">
        <v>0.90910000000000002</v>
      </c>
      <c r="H7635" s="1">
        <v>0.95679999999999998</v>
      </c>
      <c r="I7635">
        <v>767</v>
      </c>
      <c r="J7635">
        <v>861</v>
      </c>
      <c r="K7635">
        <v>9733</v>
      </c>
    </row>
    <row r="7636" spans="1:11">
      <c r="A7636" s="25" t="s">
        <v>189</v>
      </c>
      <c r="B7636" t="s">
        <v>209</v>
      </c>
      <c r="C7636" t="s">
        <v>1934</v>
      </c>
      <c r="D7636" s="1">
        <v>0.33629999999999999</v>
      </c>
      <c r="E7636" s="1">
        <v>6.8500000000000005E-2</v>
      </c>
      <c r="F7636" s="1">
        <v>6.3100000000000003E-2</v>
      </c>
      <c r="G7636" s="1">
        <v>9.0899999999999995E-2</v>
      </c>
      <c r="H7636" s="1">
        <v>4.3200000000000002E-2</v>
      </c>
      <c r="I7636">
        <v>767</v>
      </c>
      <c r="J7636">
        <v>861</v>
      </c>
      <c r="K7636">
        <v>9733</v>
      </c>
    </row>
    <row r="7637" spans="1:11">
      <c r="A7637" s="25" t="s">
        <v>192</v>
      </c>
      <c r="B7637" t="s">
        <v>192</v>
      </c>
      <c r="C7637" t="s">
        <v>1933</v>
      </c>
      <c r="D7637" s="1">
        <v>0.61419999999999997</v>
      </c>
      <c r="E7637" s="1">
        <v>0.90600000000000003</v>
      </c>
      <c r="F7637" s="1">
        <v>0.92459999999999998</v>
      </c>
      <c r="G7637" s="1">
        <v>0.97270000000000001</v>
      </c>
      <c r="H7637" s="1">
        <v>0.94589999999999996</v>
      </c>
      <c r="I7637">
        <v>9733</v>
      </c>
      <c r="J7637">
        <v>9733</v>
      </c>
      <c r="K7637">
        <v>9733</v>
      </c>
    </row>
    <row r="7638" spans="1:11">
      <c r="A7638" s="25" t="s">
        <v>192</v>
      </c>
      <c r="B7638" t="s">
        <v>192</v>
      </c>
      <c r="C7638" t="s">
        <v>1934</v>
      </c>
      <c r="D7638" s="1">
        <v>0.38579999999999998</v>
      </c>
      <c r="E7638" s="1">
        <v>9.4E-2</v>
      </c>
      <c r="F7638" s="1">
        <v>7.5399999999999995E-2</v>
      </c>
      <c r="G7638" s="1">
        <v>2.7300000000000001E-2</v>
      </c>
      <c r="H7638" s="1">
        <v>5.4100000000000002E-2</v>
      </c>
      <c r="I7638">
        <v>9733</v>
      </c>
      <c r="J7638">
        <v>9733</v>
      </c>
      <c r="K7638">
        <v>9733</v>
      </c>
    </row>
    <row r="7640" spans="1:11" ht="43.5">
      <c r="A7640" s="25" t="s">
        <v>1940</v>
      </c>
    </row>
    <row r="7641" spans="1:11">
      <c r="A7641" s="25" t="s">
        <v>181</v>
      </c>
      <c r="B7641" t="s">
        <v>182</v>
      </c>
      <c r="C7641" t="s">
        <v>1015</v>
      </c>
      <c r="D7641" t="s">
        <v>1928</v>
      </c>
      <c r="E7641" t="s">
        <v>1929</v>
      </c>
      <c r="F7641" t="s">
        <v>1930</v>
      </c>
      <c r="G7641" t="s">
        <v>1931</v>
      </c>
      <c r="H7641" t="s">
        <v>1932</v>
      </c>
      <c r="I7641" t="s">
        <v>1026</v>
      </c>
      <c r="J7641" t="s">
        <v>219</v>
      </c>
      <c r="K7641" t="s">
        <v>188</v>
      </c>
    </row>
    <row r="7642" spans="1:11">
      <c r="A7642" s="25" t="s">
        <v>189</v>
      </c>
      <c r="B7642" t="s">
        <v>211</v>
      </c>
      <c r="C7642" t="s">
        <v>1933</v>
      </c>
      <c r="D7642" s="1">
        <v>0.66900000000000004</v>
      </c>
      <c r="E7642" s="1">
        <v>0.93210000000000004</v>
      </c>
      <c r="F7642" s="1">
        <v>0.95140000000000002</v>
      </c>
      <c r="G7642" s="1">
        <v>0.97140000000000004</v>
      </c>
      <c r="H7642" s="1">
        <v>0.96589999999999998</v>
      </c>
      <c r="I7642">
        <v>4654</v>
      </c>
      <c r="J7642">
        <v>4652</v>
      </c>
      <c r="K7642">
        <v>9733</v>
      </c>
    </row>
    <row r="7643" spans="1:11">
      <c r="A7643" s="25" t="s">
        <v>189</v>
      </c>
      <c r="B7643" t="s">
        <v>211</v>
      </c>
      <c r="C7643" t="s">
        <v>1934</v>
      </c>
      <c r="D7643" s="1">
        <v>0.33100000000000002</v>
      </c>
      <c r="E7643" s="1">
        <v>6.7900000000000002E-2</v>
      </c>
      <c r="F7643" s="1">
        <v>4.8599999999999997E-2</v>
      </c>
      <c r="G7643" s="1">
        <v>2.86E-2</v>
      </c>
      <c r="H7643" s="1">
        <v>3.4099999999999998E-2</v>
      </c>
      <c r="I7643">
        <v>4654</v>
      </c>
      <c r="J7643">
        <v>4652</v>
      </c>
      <c r="K7643">
        <v>9733</v>
      </c>
    </row>
    <row r="7644" spans="1:11">
      <c r="A7644" s="25" t="s">
        <v>189</v>
      </c>
      <c r="B7644" t="s">
        <v>212</v>
      </c>
      <c r="C7644" t="s">
        <v>1933</v>
      </c>
      <c r="D7644" s="1">
        <v>0.50790000000000002</v>
      </c>
      <c r="E7644" s="1">
        <v>0.85819999999999996</v>
      </c>
      <c r="F7644" s="1">
        <v>0.88480000000000003</v>
      </c>
      <c r="G7644" s="1">
        <v>0.96319999999999995</v>
      </c>
      <c r="H7644" s="1">
        <v>0.91590000000000005</v>
      </c>
      <c r="I7644">
        <v>3080</v>
      </c>
      <c r="J7644">
        <v>3119</v>
      </c>
      <c r="K7644">
        <v>9733</v>
      </c>
    </row>
    <row r="7645" spans="1:11">
      <c r="A7645" s="25" t="s">
        <v>189</v>
      </c>
      <c r="B7645" t="s">
        <v>212</v>
      </c>
      <c r="C7645" t="s">
        <v>1934</v>
      </c>
      <c r="D7645" s="1">
        <v>0.49209999999999998</v>
      </c>
      <c r="E7645" s="1">
        <v>0.14180000000000001</v>
      </c>
      <c r="F7645" s="1">
        <v>0.1152</v>
      </c>
      <c r="G7645" s="1">
        <v>3.6799999999999999E-2</v>
      </c>
      <c r="H7645" s="1">
        <v>8.4099999999999994E-2</v>
      </c>
      <c r="I7645">
        <v>3080</v>
      </c>
      <c r="J7645">
        <v>3119</v>
      </c>
      <c r="K7645">
        <v>9733</v>
      </c>
    </row>
    <row r="7646" spans="1:11">
      <c r="A7646" s="25" t="s">
        <v>189</v>
      </c>
      <c r="B7646" t="s">
        <v>213</v>
      </c>
      <c r="C7646" t="s">
        <v>1933</v>
      </c>
      <c r="D7646" s="1">
        <v>0.64749999999999996</v>
      </c>
      <c r="E7646" s="1">
        <v>0.91720000000000002</v>
      </c>
      <c r="F7646" s="1">
        <v>0.92369999999999997</v>
      </c>
      <c r="G7646" s="1">
        <v>0.98899999999999999</v>
      </c>
      <c r="H7646" s="1">
        <v>0.94540000000000002</v>
      </c>
      <c r="I7646">
        <v>2176</v>
      </c>
      <c r="J7646">
        <v>1962</v>
      </c>
      <c r="K7646">
        <v>9733</v>
      </c>
    </row>
    <row r="7647" spans="1:11">
      <c r="A7647" s="25" t="s">
        <v>189</v>
      </c>
      <c r="B7647" t="s">
        <v>213</v>
      </c>
      <c r="C7647" t="s">
        <v>1934</v>
      </c>
      <c r="D7647" s="1">
        <v>0.35249999999999998</v>
      </c>
      <c r="E7647" s="1">
        <v>8.2799999999999999E-2</v>
      </c>
      <c r="F7647" s="1">
        <v>7.6300000000000007E-2</v>
      </c>
      <c r="G7647" s="1">
        <v>1.0999999999999999E-2</v>
      </c>
      <c r="H7647" s="1">
        <v>5.4600000000000003E-2</v>
      </c>
      <c r="I7647">
        <v>2176</v>
      </c>
      <c r="J7647">
        <v>1962</v>
      </c>
      <c r="K7647">
        <v>9733</v>
      </c>
    </row>
    <row r="7648" spans="1:11">
      <c r="A7648" s="25" t="s">
        <v>192</v>
      </c>
      <c r="B7648" t="s">
        <v>192</v>
      </c>
      <c r="C7648" t="s">
        <v>1933</v>
      </c>
      <c r="D7648" s="1">
        <v>0.61419999999999997</v>
      </c>
      <c r="E7648" s="1">
        <v>0.90600000000000003</v>
      </c>
      <c r="F7648" s="1">
        <v>0.92459999999999998</v>
      </c>
      <c r="G7648" s="1">
        <v>0.97270000000000001</v>
      </c>
      <c r="H7648" s="1">
        <v>0.94589999999999996</v>
      </c>
      <c r="I7648">
        <v>9733</v>
      </c>
      <c r="J7648">
        <v>9733</v>
      </c>
      <c r="K7648">
        <v>9733</v>
      </c>
    </row>
    <row r="7649" spans="1:55">
      <c r="A7649" s="25" t="s">
        <v>192</v>
      </c>
      <c r="B7649" t="s">
        <v>192</v>
      </c>
      <c r="C7649" t="s">
        <v>1934</v>
      </c>
      <c r="D7649" s="1">
        <v>0.38579999999999998</v>
      </c>
      <c r="E7649" s="1">
        <v>9.4E-2</v>
      </c>
      <c r="F7649" s="1">
        <v>7.5399999999999995E-2</v>
      </c>
      <c r="G7649" s="1">
        <v>2.7300000000000001E-2</v>
      </c>
      <c r="H7649" s="1">
        <v>5.4100000000000002E-2</v>
      </c>
      <c r="I7649">
        <v>9733</v>
      </c>
      <c r="J7649">
        <v>9733</v>
      </c>
      <c r="K7649">
        <v>9733</v>
      </c>
    </row>
    <row r="7651" spans="1:55" ht="43.5">
      <c r="A7651" s="25" t="s">
        <v>1941</v>
      </c>
    </row>
    <row r="7652" spans="1:55">
      <c r="A7652" s="25" t="s">
        <v>181</v>
      </c>
      <c r="B7652" t="s">
        <v>182</v>
      </c>
      <c r="C7652" t="s">
        <v>1942</v>
      </c>
      <c r="D7652" t="s">
        <v>1943</v>
      </c>
      <c r="E7652" t="s">
        <v>1944</v>
      </c>
      <c r="F7652" t="s">
        <v>1945</v>
      </c>
      <c r="G7652" t="s">
        <v>1946</v>
      </c>
      <c r="H7652" t="s">
        <v>1947</v>
      </c>
      <c r="I7652" t="s">
        <v>1948</v>
      </c>
      <c r="J7652" t="s">
        <v>1949</v>
      </c>
      <c r="K7652" t="s">
        <v>1950</v>
      </c>
      <c r="L7652" t="s">
        <v>1951</v>
      </c>
      <c r="M7652" t="s">
        <v>1952</v>
      </c>
      <c r="N7652" t="s">
        <v>1953</v>
      </c>
      <c r="O7652" t="s">
        <v>1954</v>
      </c>
      <c r="P7652" t="s">
        <v>1955</v>
      </c>
      <c r="Q7652" t="s">
        <v>1956</v>
      </c>
      <c r="R7652" t="s">
        <v>1957</v>
      </c>
      <c r="S7652" t="s">
        <v>1958</v>
      </c>
      <c r="T7652" t="s">
        <v>1959</v>
      </c>
      <c r="U7652" t="s">
        <v>1960</v>
      </c>
      <c r="V7652" t="s">
        <v>1961</v>
      </c>
      <c r="W7652" t="s">
        <v>1962</v>
      </c>
      <c r="X7652" t="s">
        <v>1963</v>
      </c>
      <c r="Y7652" t="s">
        <v>1964</v>
      </c>
      <c r="Z7652" t="s">
        <v>1965</v>
      </c>
      <c r="AA7652" t="s">
        <v>1966</v>
      </c>
      <c r="AB7652" t="s">
        <v>1967</v>
      </c>
      <c r="AC7652" t="s">
        <v>1968</v>
      </c>
      <c r="AD7652" t="s">
        <v>1969</v>
      </c>
      <c r="AE7652" t="s">
        <v>1970</v>
      </c>
      <c r="AF7652" t="s">
        <v>1971</v>
      </c>
      <c r="AG7652" t="s">
        <v>1972</v>
      </c>
      <c r="AH7652" t="s">
        <v>1973</v>
      </c>
      <c r="AI7652" t="s">
        <v>1974</v>
      </c>
      <c r="AJ7652" t="s">
        <v>1975</v>
      </c>
      <c r="AK7652" t="s">
        <v>1976</v>
      </c>
      <c r="AL7652" t="s">
        <v>1977</v>
      </c>
      <c r="AM7652" t="s">
        <v>1978</v>
      </c>
      <c r="AN7652" t="s">
        <v>1979</v>
      </c>
      <c r="AO7652" t="s">
        <v>1980</v>
      </c>
      <c r="AP7652" t="s">
        <v>1981</v>
      </c>
      <c r="AQ7652" t="s">
        <v>1982</v>
      </c>
      <c r="AR7652" t="s">
        <v>1983</v>
      </c>
      <c r="AS7652" t="s">
        <v>1984</v>
      </c>
      <c r="AT7652" t="s">
        <v>1985</v>
      </c>
      <c r="AU7652" t="s">
        <v>1986</v>
      </c>
      <c r="AV7652" t="s">
        <v>1987</v>
      </c>
      <c r="AW7652" t="s">
        <v>1988</v>
      </c>
      <c r="AX7652" t="s">
        <v>1989</v>
      </c>
      <c r="AY7652" t="s">
        <v>1990</v>
      </c>
      <c r="AZ7652" t="s">
        <v>1991</v>
      </c>
      <c r="BA7652" t="s">
        <v>1992</v>
      </c>
      <c r="BB7652" t="s">
        <v>1993</v>
      </c>
      <c r="BC7652" t="s">
        <v>188</v>
      </c>
    </row>
    <row r="7653" spans="1:55">
      <c r="A7653" s="25" t="s">
        <v>189</v>
      </c>
      <c r="B7653" t="s">
        <v>190</v>
      </c>
      <c r="C7653">
        <v>7091.7427230962148</v>
      </c>
      <c r="D7653">
        <v>5000</v>
      </c>
      <c r="E7653">
        <v>400</v>
      </c>
      <c r="F7653">
        <v>250000</v>
      </c>
      <c r="G7653">
        <v>4303.8055883221832</v>
      </c>
      <c r="H7653">
        <v>2750</v>
      </c>
      <c r="I7653">
        <v>28.571428571428601</v>
      </c>
      <c r="J7653">
        <v>26666.666666666701</v>
      </c>
      <c r="K7653">
        <v>9443.0466717154268</v>
      </c>
      <c r="L7653">
        <v>5000</v>
      </c>
      <c r="M7653">
        <v>125</v>
      </c>
      <c r="N7653">
        <v>70000</v>
      </c>
      <c r="O7653">
        <v>2318.7463858040351</v>
      </c>
      <c r="P7653">
        <v>1500</v>
      </c>
      <c r="Q7653">
        <v>100</v>
      </c>
      <c r="R7653">
        <v>15000</v>
      </c>
      <c r="S7653">
        <v>1790.4854219972069</v>
      </c>
      <c r="T7653">
        <v>2000</v>
      </c>
      <c r="U7653">
        <v>333.33333333333297</v>
      </c>
      <c r="V7653">
        <v>7500</v>
      </c>
      <c r="W7653">
        <v>3148.6925639905821</v>
      </c>
      <c r="X7653">
        <v>3000</v>
      </c>
      <c r="Y7653">
        <v>175</v>
      </c>
      <c r="Z7653">
        <v>22000</v>
      </c>
      <c r="AA7653">
        <v>1345.035614753833</v>
      </c>
      <c r="AB7653">
        <v>900</v>
      </c>
      <c r="AC7653">
        <v>60</v>
      </c>
      <c r="AD7653">
        <v>27425</v>
      </c>
      <c r="AE7653">
        <v>1311.622275658129</v>
      </c>
      <c r="AF7653">
        <v>750</v>
      </c>
      <c r="AG7653">
        <v>25</v>
      </c>
      <c r="AH7653">
        <v>40000</v>
      </c>
      <c r="AI7653">
        <v>4089.7069165098992</v>
      </c>
      <c r="AJ7653">
        <v>3500</v>
      </c>
      <c r="AK7653">
        <v>200</v>
      </c>
      <c r="AL7653">
        <v>25000</v>
      </c>
      <c r="AM7653">
        <v>3568.0756976836069</v>
      </c>
      <c r="AN7653">
        <v>1500</v>
      </c>
      <c r="AO7653">
        <v>150</v>
      </c>
      <c r="AP7653">
        <v>20000</v>
      </c>
      <c r="AQ7653">
        <v>2972.5589065453282</v>
      </c>
      <c r="AR7653">
        <v>2000</v>
      </c>
      <c r="AS7653">
        <v>125</v>
      </c>
      <c r="AT7653">
        <v>100000</v>
      </c>
      <c r="AU7653">
        <v>3161.180699619908</v>
      </c>
      <c r="AV7653">
        <v>3600</v>
      </c>
      <c r="AW7653">
        <v>400</v>
      </c>
      <c r="AX7653">
        <v>20000</v>
      </c>
      <c r="AY7653">
        <v>2493.3920191517241</v>
      </c>
      <c r="AZ7653">
        <v>1400</v>
      </c>
      <c r="BA7653">
        <v>240</v>
      </c>
      <c r="BB7653">
        <v>23333.333333333299</v>
      </c>
      <c r="BC7653">
        <v>4883</v>
      </c>
    </row>
    <row r="7654" spans="1:55">
      <c r="A7654" s="25" t="s">
        <v>189</v>
      </c>
      <c r="B7654" t="s">
        <v>191</v>
      </c>
      <c r="C7654">
        <v>11446.15576452305</v>
      </c>
      <c r="D7654">
        <v>9250</v>
      </c>
      <c r="E7654">
        <v>400</v>
      </c>
      <c r="F7654">
        <v>147000</v>
      </c>
      <c r="G7654">
        <v>6110.2203759682779</v>
      </c>
      <c r="H7654">
        <v>4000</v>
      </c>
      <c r="I7654">
        <v>100</v>
      </c>
      <c r="J7654">
        <v>150000</v>
      </c>
      <c r="K7654">
        <v>15103.28797542125</v>
      </c>
      <c r="L7654">
        <v>10000</v>
      </c>
      <c r="M7654">
        <v>500</v>
      </c>
      <c r="N7654">
        <v>150000</v>
      </c>
      <c r="O7654">
        <v>2183.00690336159</v>
      </c>
      <c r="P7654">
        <v>1500</v>
      </c>
      <c r="Q7654">
        <v>150</v>
      </c>
      <c r="R7654">
        <v>12500</v>
      </c>
      <c r="S7654">
        <v>1814.480824261007</v>
      </c>
      <c r="T7654">
        <v>2000</v>
      </c>
      <c r="U7654">
        <v>250</v>
      </c>
      <c r="V7654">
        <v>8000</v>
      </c>
      <c r="W7654">
        <v>3909.0157061716131</v>
      </c>
      <c r="X7654">
        <v>3500</v>
      </c>
      <c r="Y7654">
        <v>337.5</v>
      </c>
      <c r="Z7654">
        <v>42000</v>
      </c>
      <c r="AA7654">
        <v>1290.992479894586</v>
      </c>
      <c r="AB7654">
        <v>1000</v>
      </c>
      <c r="AC7654">
        <v>95.5555555555556</v>
      </c>
      <c r="AD7654">
        <v>22000</v>
      </c>
      <c r="AE7654">
        <v>3292.8329264223971</v>
      </c>
      <c r="AF7654">
        <v>3000</v>
      </c>
      <c r="AG7654">
        <v>93.75</v>
      </c>
      <c r="AH7654">
        <v>30000</v>
      </c>
      <c r="AI7654">
        <v>4597.7224440102646</v>
      </c>
      <c r="AJ7654">
        <v>3000</v>
      </c>
      <c r="AK7654">
        <v>333.33333333333297</v>
      </c>
      <c r="AL7654">
        <v>40000</v>
      </c>
      <c r="AM7654">
        <v>2563.9459104171428</v>
      </c>
      <c r="AN7654">
        <v>1500</v>
      </c>
      <c r="AO7654">
        <v>50</v>
      </c>
      <c r="AP7654">
        <v>21000</v>
      </c>
      <c r="AQ7654">
        <v>3376.507454827567</v>
      </c>
      <c r="AR7654">
        <v>2000</v>
      </c>
      <c r="AS7654">
        <v>125</v>
      </c>
      <c r="AT7654">
        <v>30000</v>
      </c>
      <c r="AU7654">
        <v>1668.2905470607891</v>
      </c>
      <c r="AV7654">
        <v>1250</v>
      </c>
      <c r="AW7654">
        <v>250</v>
      </c>
      <c r="AX7654">
        <v>3000</v>
      </c>
      <c r="AY7654">
        <v>5109.2213957821396</v>
      </c>
      <c r="AZ7654">
        <v>3800</v>
      </c>
      <c r="BA7654">
        <v>283.33333333333297</v>
      </c>
      <c r="BB7654">
        <v>30000</v>
      </c>
      <c r="BC7654">
        <v>4883</v>
      </c>
    </row>
    <row r="7655" spans="1:55">
      <c r="A7655" s="25" t="s">
        <v>192</v>
      </c>
      <c r="B7655" t="s">
        <v>192</v>
      </c>
      <c r="C7655">
        <v>9988.4702521893923</v>
      </c>
      <c r="D7655">
        <v>7500</v>
      </c>
      <c r="E7655">
        <v>400</v>
      </c>
      <c r="F7655">
        <v>250000</v>
      </c>
      <c r="G7655">
        <v>5393.4596867130404</v>
      </c>
      <c r="H7655">
        <v>3333.3333333333298</v>
      </c>
      <c r="I7655">
        <v>28.571428571428601</v>
      </c>
      <c r="J7655">
        <v>150000</v>
      </c>
      <c r="K7655">
        <v>13466.978954036291</v>
      </c>
      <c r="L7655">
        <v>10000</v>
      </c>
      <c r="M7655">
        <v>125</v>
      </c>
      <c r="N7655">
        <v>150000</v>
      </c>
      <c r="O7655">
        <v>2285.6734174494709</v>
      </c>
      <c r="P7655">
        <v>1500</v>
      </c>
      <c r="Q7655">
        <v>100</v>
      </c>
      <c r="R7655">
        <v>15000</v>
      </c>
      <c r="S7655">
        <v>1809.810318466876</v>
      </c>
      <c r="T7655">
        <v>2000</v>
      </c>
      <c r="U7655">
        <v>250</v>
      </c>
      <c r="V7655">
        <v>8000</v>
      </c>
      <c r="W7655">
        <v>3558.5299496743992</v>
      </c>
      <c r="X7655">
        <v>3250</v>
      </c>
      <c r="Y7655">
        <v>175</v>
      </c>
      <c r="Z7655">
        <v>42000</v>
      </c>
      <c r="AA7655">
        <v>1312.700397512875</v>
      </c>
      <c r="AB7655">
        <v>933.33333333333303</v>
      </c>
      <c r="AC7655">
        <v>60</v>
      </c>
      <c r="AD7655">
        <v>27425</v>
      </c>
      <c r="AE7655">
        <v>2162.042680631766</v>
      </c>
      <c r="AF7655">
        <v>1150</v>
      </c>
      <c r="AG7655">
        <v>25</v>
      </c>
      <c r="AH7655">
        <v>40000</v>
      </c>
      <c r="AI7655">
        <v>4405.2595093209165</v>
      </c>
      <c r="AJ7655">
        <v>3000</v>
      </c>
      <c r="AK7655">
        <v>200</v>
      </c>
      <c r="AL7655">
        <v>40000</v>
      </c>
      <c r="AM7655">
        <v>2901.5619753150372</v>
      </c>
      <c r="AN7655">
        <v>1500</v>
      </c>
      <c r="AO7655">
        <v>50</v>
      </c>
      <c r="AP7655">
        <v>21000</v>
      </c>
      <c r="AQ7655">
        <v>3242.954262952047</v>
      </c>
      <c r="AR7655">
        <v>2000</v>
      </c>
      <c r="AS7655">
        <v>125</v>
      </c>
      <c r="AT7655">
        <v>100000</v>
      </c>
      <c r="AU7655">
        <v>2239.955268937395</v>
      </c>
      <c r="AV7655">
        <v>1666.6666666666699</v>
      </c>
      <c r="AW7655">
        <v>250</v>
      </c>
      <c r="AX7655">
        <v>20000</v>
      </c>
      <c r="AY7655">
        <v>4424.163787544383</v>
      </c>
      <c r="AZ7655">
        <v>3000</v>
      </c>
      <c r="BA7655">
        <v>240</v>
      </c>
      <c r="BB7655">
        <v>30000</v>
      </c>
      <c r="BC7655">
        <v>4883</v>
      </c>
    </row>
    <row r="7657" spans="1:55" ht="57.95">
      <c r="A7657" s="25" t="s">
        <v>1994</v>
      </c>
    </row>
    <row r="7658" spans="1:55">
      <c r="A7658" s="25" t="s">
        <v>181</v>
      </c>
      <c r="B7658" t="s">
        <v>182</v>
      </c>
      <c r="C7658" t="s">
        <v>1942</v>
      </c>
      <c r="D7658" t="s">
        <v>1943</v>
      </c>
      <c r="E7658" t="s">
        <v>1944</v>
      </c>
      <c r="F7658" t="s">
        <v>1945</v>
      </c>
      <c r="G7658" t="s">
        <v>1946</v>
      </c>
      <c r="H7658" t="s">
        <v>1947</v>
      </c>
      <c r="I7658" t="s">
        <v>1948</v>
      </c>
      <c r="J7658" t="s">
        <v>1949</v>
      </c>
      <c r="K7658" t="s">
        <v>1950</v>
      </c>
      <c r="L7658" t="s">
        <v>1951</v>
      </c>
      <c r="M7658" t="s">
        <v>1952</v>
      </c>
      <c r="N7658" t="s">
        <v>1953</v>
      </c>
      <c r="O7658" t="s">
        <v>1954</v>
      </c>
      <c r="P7658" t="s">
        <v>1955</v>
      </c>
      <c r="Q7658" t="s">
        <v>1956</v>
      </c>
      <c r="R7658" t="s">
        <v>1957</v>
      </c>
      <c r="S7658" t="s">
        <v>1958</v>
      </c>
      <c r="T7658" t="s">
        <v>1959</v>
      </c>
      <c r="U7658" t="s">
        <v>1960</v>
      </c>
      <c r="V7658" t="s">
        <v>1961</v>
      </c>
      <c r="W7658" t="s">
        <v>1962</v>
      </c>
      <c r="X7658" t="s">
        <v>1963</v>
      </c>
      <c r="Y7658" t="s">
        <v>1964</v>
      </c>
      <c r="Z7658" t="s">
        <v>1965</v>
      </c>
      <c r="AA7658" t="s">
        <v>1966</v>
      </c>
      <c r="AB7658" t="s">
        <v>1967</v>
      </c>
      <c r="AC7658" t="s">
        <v>1968</v>
      </c>
      <c r="AD7658" t="s">
        <v>1969</v>
      </c>
      <c r="AE7658" t="s">
        <v>1970</v>
      </c>
      <c r="AF7658" t="s">
        <v>1971</v>
      </c>
      <c r="AG7658" t="s">
        <v>1972</v>
      </c>
      <c r="AH7658" t="s">
        <v>1973</v>
      </c>
      <c r="AI7658" t="s">
        <v>1974</v>
      </c>
      <c r="AJ7658" t="s">
        <v>1975</v>
      </c>
      <c r="AK7658" t="s">
        <v>1976</v>
      </c>
      <c r="AL7658" t="s">
        <v>1977</v>
      </c>
      <c r="AM7658" t="s">
        <v>1978</v>
      </c>
      <c r="AN7658" t="s">
        <v>1979</v>
      </c>
      <c r="AO7658" t="s">
        <v>1980</v>
      </c>
      <c r="AP7658" t="s">
        <v>1981</v>
      </c>
      <c r="AQ7658" t="s">
        <v>1982</v>
      </c>
      <c r="AR7658" t="s">
        <v>1983</v>
      </c>
      <c r="AS7658" t="s">
        <v>1984</v>
      </c>
      <c r="AT7658" t="s">
        <v>1985</v>
      </c>
      <c r="AU7658" t="s">
        <v>1986</v>
      </c>
      <c r="AV7658" t="s">
        <v>1987</v>
      </c>
      <c r="AW7658" t="s">
        <v>1988</v>
      </c>
      <c r="AX7658" t="s">
        <v>1989</v>
      </c>
      <c r="AY7658" t="s">
        <v>1990</v>
      </c>
      <c r="AZ7658" t="s">
        <v>1991</v>
      </c>
      <c r="BA7658" t="s">
        <v>1992</v>
      </c>
      <c r="BB7658" t="s">
        <v>1993</v>
      </c>
      <c r="BC7658" t="s">
        <v>188</v>
      </c>
    </row>
    <row r="7659" spans="1:55">
      <c r="A7659" s="25" t="s">
        <v>189</v>
      </c>
      <c r="B7659" t="s">
        <v>194</v>
      </c>
      <c r="C7659">
        <v>10339.67178672851</v>
      </c>
      <c r="D7659">
        <v>8000</v>
      </c>
      <c r="E7659">
        <v>444.444444444444</v>
      </c>
      <c r="F7659">
        <v>250000</v>
      </c>
      <c r="G7659">
        <v>5356.5623944738554</v>
      </c>
      <c r="H7659">
        <v>3600</v>
      </c>
      <c r="I7659">
        <v>66.6666666666667</v>
      </c>
      <c r="J7659">
        <v>45000</v>
      </c>
      <c r="K7659">
        <v>13736.71058037094</v>
      </c>
      <c r="L7659">
        <v>10000</v>
      </c>
      <c r="M7659">
        <v>125</v>
      </c>
      <c r="N7659">
        <v>70000</v>
      </c>
      <c r="O7659">
        <v>2392.4932917061719</v>
      </c>
      <c r="P7659">
        <v>1500</v>
      </c>
      <c r="Q7659">
        <v>100</v>
      </c>
      <c r="R7659">
        <v>15000</v>
      </c>
      <c r="S7659">
        <v>1796.9194574381011</v>
      </c>
      <c r="T7659">
        <v>2000</v>
      </c>
      <c r="U7659">
        <v>250</v>
      </c>
      <c r="V7659">
        <v>5250</v>
      </c>
      <c r="W7659">
        <v>3493.7058791103691</v>
      </c>
      <c r="X7659">
        <v>3200</v>
      </c>
      <c r="Y7659">
        <v>175</v>
      </c>
      <c r="Z7659">
        <v>42000</v>
      </c>
      <c r="AA7659">
        <v>1275.005726983431</v>
      </c>
      <c r="AB7659">
        <v>933.33333333333303</v>
      </c>
      <c r="AC7659">
        <v>60</v>
      </c>
      <c r="AD7659">
        <v>27425</v>
      </c>
      <c r="AE7659">
        <v>2187.4897908382541</v>
      </c>
      <c r="AF7659">
        <v>1100</v>
      </c>
      <c r="AG7659">
        <v>25</v>
      </c>
      <c r="AH7659">
        <v>40000</v>
      </c>
      <c r="AI7659">
        <v>4570.1918127254085</v>
      </c>
      <c r="AJ7659">
        <v>3500</v>
      </c>
      <c r="AK7659">
        <v>200</v>
      </c>
      <c r="AL7659">
        <v>40000</v>
      </c>
      <c r="AM7659">
        <v>3995.6283486809739</v>
      </c>
      <c r="AN7659">
        <v>1800</v>
      </c>
      <c r="AO7659">
        <v>125</v>
      </c>
      <c r="AP7659">
        <v>15000</v>
      </c>
      <c r="AQ7659">
        <v>3413.5595984520201</v>
      </c>
      <c r="AR7659">
        <v>2500</v>
      </c>
      <c r="AS7659">
        <v>200</v>
      </c>
      <c r="AT7659">
        <v>30000</v>
      </c>
      <c r="AU7659">
        <v>1699.096360359657</v>
      </c>
      <c r="AV7659">
        <v>1000</v>
      </c>
      <c r="AW7659">
        <v>400</v>
      </c>
      <c r="AX7659">
        <v>20000</v>
      </c>
      <c r="AY7659">
        <v>4906.2905851781297</v>
      </c>
      <c r="AZ7659">
        <v>3800</v>
      </c>
      <c r="BA7659">
        <v>800</v>
      </c>
      <c r="BB7659">
        <v>30000</v>
      </c>
      <c r="BC7659">
        <v>4883</v>
      </c>
    </row>
    <row r="7660" spans="1:55">
      <c r="A7660" s="25" t="s">
        <v>189</v>
      </c>
      <c r="B7660" t="s">
        <v>195</v>
      </c>
      <c r="C7660">
        <v>9584.8870005178178</v>
      </c>
      <c r="D7660">
        <v>7500</v>
      </c>
      <c r="E7660">
        <v>425</v>
      </c>
      <c r="F7660">
        <v>147000</v>
      </c>
      <c r="G7660">
        <v>6310.6709683582367</v>
      </c>
      <c r="H7660">
        <v>3000</v>
      </c>
      <c r="I7660">
        <v>28.571428571428601</v>
      </c>
      <c r="J7660">
        <v>150000</v>
      </c>
      <c r="K7660">
        <v>11279.376103084889</v>
      </c>
      <c r="L7660">
        <v>10000</v>
      </c>
      <c r="M7660">
        <v>540</v>
      </c>
      <c r="N7660">
        <v>33333.333333333299</v>
      </c>
      <c r="O7660">
        <v>1809.066054245108</v>
      </c>
      <c r="P7660">
        <v>1666.6666666666699</v>
      </c>
      <c r="Q7660">
        <v>166.666666666667</v>
      </c>
      <c r="R7660">
        <v>10000</v>
      </c>
      <c r="S7660">
        <v>1696.3446875329439</v>
      </c>
      <c r="T7660">
        <v>1666.6666666666699</v>
      </c>
      <c r="U7660">
        <v>333.33333333333297</v>
      </c>
      <c r="V7660">
        <v>7500</v>
      </c>
      <c r="W7660">
        <v>3833.4451256219008</v>
      </c>
      <c r="X7660">
        <v>3483.3333333333298</v>
      </c>
      <c r="Y7660">
        <v>312.5</v>
      </c>
      <c r="Z7660">
        <v>22000</v>
      </c>
      <c r="AA7660">
        <v>1400.4634865213279</v>
      </c>
      <c r="AB7660">
        <v>986.66666666666697</v>
      </c>
      <c r="AC7660">
        <v>122.857142857143</v>
      </c>
      <c r="AD7660">
        <v>20000</v>
      </c>
      <c r="AE7660">
        <v>1735.070159722314</v>
      </c>
      <c r="AF7660">
        <v>1250</v>
      </c>
      <c r="AG7660">
        <v>96.6666666666667</v>
      </c>
      <c r="AH7660">
        <v>11000</v>
      </c>
      <c r="AI7660">
        <v>4443.0625647390698</v>
      </c>
      <c r="AJ7660">
        <v>4000</v>
      </c>
      <c r="AK7660">
        <v>333.33333333333297</v>
      </c>
      <c r="AL7660">
        <v>30000</v>
      </c>
      <c r="AM7660">
        <v>3018.158094795579</v>
      </c>
      <c r="AN7660">
        <v>1500</v>
      </c>
      <c r="AO7660">
        <v>100</v>
      </c>
      <c r="AP7660">
        <v>21000</v>
      </c>
      <c r="AQ7660">
        <v>2587.2397552657799</v>
      </c>
      <c r="AR7660">
        <v>2000</v>
      </c>
      <c r="AS7660">
        <v>125</v>
      </c>
      <c r="AT7660">
        <v>100000</v>
      </c>
      <c r="AU7660">
        <v>2982.596805751376</v>
      </c>
      <c r="AV7660">
        <v>3600</v>
      </c>
      <c r="AW7660">
        <v>500</v>
      </c>
      <c r="AX7660">
        <v>8333.3333333333303</v>
      </c>
      <c r="AY7660">
        <v>4755.3374516371196</v>
      </c>
      <c r="AZ7660">
        <v>7500</v>
      </c>
      <c r="BA7660">
        <v>250</v>
      </c>
      <c r="BB7660">
        <v>23333.333333333299</v>
      </c>
      <c r="BC7660">
        <v>4883</v>
      </c>
    </row>
    <row r="7661" spans="1:55">
      <c r="A7661" s="25" t="s">
        <v>189</v>
      </c>
      <c r="B7661" t="s">
        <v>196</v>
      </c>
      <c r="C7661">
        <v>8024.1038217073346</v>
      </c>
      <c r="D7661">
        <v>6000</v>
      </c>
      <c r="E7661">
        <v>400</v>
      </c>
      <c r="F7661">
        <v>70000</v>
      </c>
      <c r="G7661">
        <v>3849.46691072264</v>
      </c>
      <c r="H7661">
        <v>3000</v>
      </c>
      <c r="I7661">
        <v>75</v>
      </c>
      <c r="J7661">
        <v>20000</v>
      </c>
      <c r="K7661">
        <v>17210.987448023621</v>
      </c>
      <c r="L7661">
        <v>10000</v>
      </c>
      <c r="M7661">
        <v>357.142857142857</v>
      </c>
      <c r="N7661">
        <v>150000</v>
      </c>
      <c r="O7661">
        <v>2358.7337500298941</v>
      </c>
      <c r="P7661">
        <v>1200</v>
      </c>
      <c r="Q7661">
        <v>200</v>
      </c>
      <c r="R7661">
        <v>15000</v>
      </c>
      <c r="S7661">
        <v>1931.4300092597391</v>
      </c>
      <c r="T7661">
        <v>2000</v>
      </c>
      <c r="U7661">
        <v>333.33333333333297</v>
      </c>
      <c r="V7661">
        <v>8000</v>
      </c>
      <c r="W7661">
        <v>3541.8542746110788</v>
      </c>
      <c r="X7661">
        <v>3200</v>
      </c>
      <c r="Y7661">
        <v>342.857142857143</v>
      </c>
      <c r="Z7661">
        <v>25000</v>
      </c>
      <c r="AA7661">
        <v>1380.4874713763011</v>
      </c>
      <c r="AB7661">
        <v>933.33333333333303</v>
      </c>
      <c r="AC7661">
        <v>113.333333333333</v>
      </c>
      <c r="AD7661">
        <v>15000</v>
      </c>
      <c r="AE7661">
        <v>2663.419896260823</v>
      </c>
      <c r="AF7661">
        <v>1200</v>
      </c>
      <c r="AG7661">
        <v>93.75</v>
      </c>
      <c r="AH7661">
        <v>30000</v>
      </c>
      <c r="AI7661">
        <v>2801.701889072222</v>
      </c>
      <c r="AJ7661">
        <v>1666.6666666666699</v>
      </c>
      <c r="AK7661">
        <v>428.57142857142901</v>
      </c>
      <c r="AL7661">
        <v>25000</v>
      </c>
      <c r="AM7661">
        <v>1944.47074117382</v>
      </c>
      <c r="AN7661">
        <v>1500</v>
      </c>
      <c r="AO7661">
        <v>50</v>
      </c>
      <c r="AP7661">
        <v>14000</v>
      </c>
      <c r="AQ7661">
        <v>4185.2303352908539</v>
      </c>
      <c r="AR7661">
        <v>2000</v>
      </c>
      <c r="AS7661">
        <v>125</v>
      </c>
      <c r="AT7661">
        <v>25000</v>
      </c>
      <c r="AU7661">
        <v>2757.928068492512</v>
      </c>
      <c r="AV7661">
        <v>1666.6666666666699</v>
      </c>
      <c r="AW7661">
        <v>250</v>
      </c>
      <c r="AX7661">
        <v>10800</v>
      </c>
      <c r="AY7661">
        <v>3325.838918350968</v>
      </c>
      <c r="AZ7661">
        <v>1566.6666666666699</v>
      </c>
      <c r="BA7661">
        <v>240</v>
      </c>
      <c r="BB7661">
        <v>15000</v>
      </c>
      <c r="BC7661">
        <v>4883</v>
      </c>
    </row>
    <row r="7662" spans="1:55">
      <c r="A7662" s="25" t="s">
        <v>192</v>
      </c>
      <c r="B7662" t="s">
        <v>192</v>
      </c>
      <c r="C7662">
        <v>9988.4702521893923</v>
      </c>
      <c r="D7662">
        <v>7500</v>
      </c>
      <c r="E7662">
        <v>400</v>
      </c>
      <c r="F7662">
        <v>250000</v>
      </c>
      <c r="G7662">
        <v>5393.4596867130404</v>
      </c>
      <c r="H7662">
        <v>3333.3333333333298</v>
      </c>
      <c r="I7662">
        <v>28.571428571428601</v>
      </c>
      <c r="J7662">
        <v>150000</v>
      </c>
      <c r="K7662">
        <v>13466.978954036291</v>
      </c>
      <c r="L7662">
        <v>10000</v>
      </c>
      <c r="M7662">
        <v>125</v>
      </c>
      <c r="N7662">
        <v>150000</v>
      </c>
      <c r="O7662">
        <v>2285.6734174494709</v>
      </c>
      <c r="P7662">
        <v>1500</v>
      </c>
      <c r="Q7662">
        <v>100</v>
      </c>
      <c r="R7662">
        <v>15000</v>
      </c>
      <c r="S7662">
        <v>1809.810318466876</v>
      </c>
      <c r="T7662">
        <v>2000</v>
      </c>
      <c r="U7662">
        <v>250</v>
      </c>
      <c r="V7662">
        <v>8000</v>
      </c>
      <c r="W7662">
        <v>3558.5299496743992</v>
      </c>
      <c r="X7662">
        <v>3250</v>
      </c>
      <c r="Y7662">
        <v>175</v>
      </c>
      <c r="Z7662">
        <v>42000</v>
      </c>
      <c r="AA7662">
        <v>1312.700397512875</v>
      </c>
      <c r="AB7662">
        <v>933.33333333333303</v>
      </c>
      <c r="AC7662">
        <v>60</v>
      </c>
      <c r="AD7662">
        <v>27425</v>
      </c>
      <c r="AE7662">
        <v>2162.042680631766</v>
      </c>
      <c r="AF7662">
        <v>1150</v>
      </c>
      <c r="AG7662">
        <v>25</v>
      </c>
      <c r="AH7662">
        <v>40000</v>
      </c>
      <c r="AI7662">
        <v>4405.2595093209165</v>
      </c>
      <c r="AJ7662">
        <v>3000</v>
      </c>
      <c r="AK7662">
        <v>200</v>
      </c>
      <c r="AL7662">
        <v>40000</v>
      </c>
      <c r="AM7662">
        <v>2901.5619753150372</v>
      </c>
      <c r="AN7662">
        <v>1500</v>
      </c>
      <c r="AO7662">
        <v>50</v>
      </c>
      <c r="AP7662">
        <v>21000</v>
      </c>
      <c r="AQ7662">
        <v>3242.954262952047</v>
      </c>
      <c r="AR7662">
        <v>2000</v>
      </c>
      <c r="AS7662">
        <v>125</v>
      </c>
      <c r="AT7662">
        <v>100000</v>
      </c>
      <c r="AU7662">
        <v>2239.955268937395</v>
      </c>
      <c r="AV7662">
        <v>1666.6666666666699</v>
      </c>
      <c r="AW7662">
        <v>250</v>
      </c>
      <c r="AX7662">
        <v>20000</v>
      </c>
      <c r="AY7662">
        <v>4424.163787544383</v>
      </c>
      <c r="AZ7662">
        <v>3000</v>
      </c>
      <c r="BA7662">
        <v>240</v>
      </c>
      <c r="BB7662">
        <v>30000</v>
      </c>
      <c r="BC7662">
        <v>4883</v>
      </c>
    </row>
    <row r="7664" spans="1:55" ht="57.95">
      <c r="A7664" s="25" t="s">
        <v>1995</v>
      </c>
    </row>
    <row r="7665" spans="1:55">
      <c r="A7665" s="25" t="s">
        <v>181</v>
      </c>
      <c r="B7665" t="s">
        <v>182</v>
      </c>
      <c r="C7665" t="s">
        <v>1942</v>
      </c>
      <c r="D7665" t="s">
        <v>1943</v>
      </c>
      <c r="E7665" t="s">
        <v>1944</v>
      </c>
      <c r="F7665" t="s">
        <v>1945</v>
      </c>
      <c r="G7665" t="s">
        <v>1946</v>
      </c>
      <c r="H7665" t="s">
        <v>1947</v>
      </c>
      <c r="I7665" t="s">
        <v>1948</v>
      </c>
      <c r="J7665" t="s">
        <v>1949</v>
      </c>
      <c r="K7665" t="s">
        <v>1950</v>
      </c>
      <c r="L7665" t="s">
        <v>1951</v>
      </c>
      <c r="M7665" t="s">
        <v>1952</v>
      </c>
      <c r="N7665" t="s">
        <v>1953</v>
      </c>
      <c r="O7665" t="s">
        <v>1954</v>
      </c>
      <c r="P7665" t="s">
        <v>1955</v>
      </c>
      <c r="Q7665" t="s">
        <v>1956</v>
      </c>
      <c r="R7665" t="s">
        <v>1957</v>
      </c>
      <c r="S7665" t="s">
        <v>1958</v>
      </c>
      <c r="T7665" t="s">
        <v>1959</v>
      </c>
      <c r="U7665" t="s">
        <v>1960</v>
      </c>
      <c r="V7665" t="s">
        <v>1961</v>
      </c>
      <c r="W7665" t="s">
        <v>1962</v>
      </c>
      <c r="X7665" t="s">
        <v>1963</v>
      </c>
      <c r="Y7665" t="s">
        <v>1964</v>
      </c>
      <c r="Z7665" t="s">
        <v>1965</v>
      </c>
      <c r="AA7665" t="s">
        <v>1966</v>
      </c>
      <c r="AB7665" t="s">
        <v>1967</v>
      </c>
      <c r="AC7665" t="s">
        <v>1968</v>
      </c>
      <c r="AD7665" t="s">
        <v>1969</v>
      </c>
      <c r="AE7665" t="s">
        <v>1970</v>
      </c>
      <c r="AF7665" t="s">
        <v>1971</v>
      </c>
      <c r="AG7665" t="s">
        <v>1972</v>
      </c>
      <c r="AH7665" t="s">
        <v>1973</v>
      </c>
      <c r="AI7665" t="s">
        <v>1974</v>
      </c>
      <c r="AJ7665" t="s">
        <v>1975</v>
      </c>
      <c r="AK7665" t="s">
        <v>1976</v>
      </c>
      <c r="AL7665" t="s">
        <v>1977</v>
      </c>
      <c r="AM7665" t="s">
        <v>1978</v>
      </c>
      <c r="AN7665" t="s">
        <v>1979</v>
      </c>
      <c r="AO7665" t="s">
        <v>1980</v>
      </c>
      <c r="AP7665" t="s">
        <v>1981</v>
      </c>
      <c r="AQ7665" t="s">
        <v>1982</v>
      </c>
      <c r="AR7665" t="s">
        <v>1983</v>
      </c>
      <c r="AS7665" t="s">
        <v>1984</v>
      </c>
      <c r="AT7665" t="s">
        <v>1985</v>
      </c>
      <c r="AU7665" t="s">
        <v>1986</v>
      </c>
      <c r="AV7665" t="s">
        <v>1987</v>
      </c>
      <c r="AW7665" t="s">
        <v>1988</v>
      </c>
      <c r="AX7665" t="s">
        <v>1989</v>
      </c>
      <c r="AY7665" t="s">
        <v>1990</v>
      </c>
      <c r="AZ7665" t="s">
        <v>1991</v>
      </c>
      <c r="BA7665" t="s">
        <v>1992</v>
      </c>
      <c r="BB7665" t="s">
        <v>1993</v>
      </c>
      <c r="BC7665" t="s">
        <v>188</v>
      </c>
    </row>
    <row r="7666" spans="1:55">
      <c r="A7666" s="25" t="s">
        <v>189</v>
      </c>
      <c r="B7666" t="s">
        <v>198</v>
      </c>
      <c r="C7666">
        <v>6864.6143912673006</v>
      </c>
      <c r="D7666">
        <v>5000</v>
      </c>
      <c r="E7666">
        <v>428.57142857142901</v>
      </c>
      <c r="F7666">
        <v>83500</v>
      </c>
      <c r="G7666">
        <v>3176.443762266882</v>
      </c>
      <c r="H7666">
        <v>2333.3333333333298</v>
      </c>
      <c r="I7666">
        <v>75</v>
      </c>
      <c r="J7666">
        <v>20000</v>
      </c>
      <c r="K7666">
        <v>12461.664109730889</v>
      </c>
      <c r="L7666">
        <v>8000</v>
      </c>
      <c r="M7666">
        <v>540</v>
      </c>
      <c r="N7666">
        <v>66666.666666666701</v>
      </c>
      <c r="O7666">
        <v>1473.758236097545</v>
      </c>
      <c r="P7666">
        <v>1111.1111111111099</v>
      </c>
      <c r="Q7666">
        <v>133.333333333333</v>
      </c>
      <c r="R7666">
        <v>10000</v>
      </c>
      <c r="S7666">
        <v>1573.7754802508191</v>
      </c>
      <c r="T7666">
        <v>1666.6666666666699</v>
      </c>
      <c r="U7666">
        <v>250</v>
      </c>
      <c r="V7666">
        <v>3000</v>
      </c>
      <c r="W7666">
        <v>3255.0199054127688</v>
      </c>
      <c r="X7666">
        <v>3000</v>
      </c>
      <c r="Y7666">
        <v>325</v>
      </c>
      <c r="Z7666">
        <v>14000</v>
      </c>
      <c r="AA7666">
        <v>1628.573044677991</v>
      </c>
      <c r="AB7666">
        <v>1260</v>
      </c>
      <c r="AC7666">
        <v>60</v>
      </c>
      <c r="AD7666">
        <v>15000</v>
      </c>
      <c r="AE7666">
        <v>1255.662060792748</v>
      </c>
      <c r="AF7666">
        <v>850</v>
      </c>
      <c r="AG7666">
        <v>93.75</v>
      </c>
      <c r="AH7666">
        <v>9000</v>
      </c>
      <c r="AI7666">
        <v>3710.018143523946</v>
      </c>
      <c r="AJ7666">
        <v>2500</v>
      </c>
      <c r="AK7666">
        <v>500</v>
      </c>
      <c r="AL7666">
        <v>25000</v>
      </c>
      <c r="AM7666">
        <v>1723.2025482891099</v>
      </c>
      <c r="AN7666">
        <v>750</v>
      </c>
      <c r="AO7666">
        <v>100</v>
      </c>
      <c r="AP7666">
        <v>18250</v>
      </c>
      <c r="AQ7666">
        <v>2231.620768594013</v>
      </c>
      <c r="AR7666">
        <v>1666.6666666666699</v>
      </c>
      <c r="AS7666">
        <v>200</v>
      </c>
      <c r="AT7666">
        <v>25000</v>
      </c>
      <c r="AU7666">
        <v>2268.8606004242752</v>
      </c>
      <c r="AV7666">
        <v>3000</v>
      </c>
      <c r="AW7666">
        <v>250</v>
      </c>
      <c r="AX7666">
        <v>8333.3333333333303</v>
      </c>
      <c r="AY7666">
        <v>3205.7116245430052</v>
      </c>
      <c r="AZ7666">
        <v>2500</v>
      </c>
      <c r="BA7666">
        <v>283.33333333333297</v>
      </c>
      <c r="BB7666">
        <v>23333.333333333299</v>
      </c>
      <c r="BC7666">
        <v>4883</v>
      </c>
    </row>
    <row r="7667" spans="1:55">
      <c r="A7667" s="25" t="s">
        <v>189</v>
      </c>
      <c r="B7667" t="s">
        <v>199</v>
      </c>
      <c r="C7667">
        <v>10414.66083807555</v>
      </c>
      <c r="D7667">
        <v>8000</v>
      </c>
      <c r="E7667">
        <v>400</v>
      </c>
      <c r="F7667">
        <v>250000</v>
      </c>
      <c r="G7667">
        <v>5687.3391362637813</v>
      </c>
      <c r="H7667">
        <v>3500</v>
      </c>
      <c r="I7667">
        <v>28.571428571428601</v>
      </c>
      <c r="J7667">
        <v>150000</v>
      </c>
      <c r="K7667">
        <v>13597.699628623841</v>
      </c>
      <c r="L7667">
        <v>10000</v>
      </c>
      <c r="M7667">
        <v>125</v>
      </c>
      <c r="N7667">
        <v>150000</v>
      </c>
      <c r="O7667">
        <v>2439.2592288355399</v>
      </c>
      <c r="P7667">
        <v>1500</v>
      </c>
      <c r="Q7667">
        <v>100</v>
      </c>
      <c r="R7667">
        <v>15000</v>
      </c>
      <c r="S7667">
        <v>1907.9265241229491</v>
      </c>
      <c r="T7667">
        <v>2000</v>
      </c>
      <c r="U7667">
        <v>333.33333333333297</v>
      </c>
      <c r="V7667">
        <v>8000</v>
      </c>
      <c r="W7667">
        <v>3694.489079397757</v>
      </c>
      <c r="X7667">
        <v>3325</v>
      </c>
      <c r="Y7667">
        <v>175</v>
      </c>
      <c r="Z7667">
        <v>42000</v>
      </c>
      <c r="AA7667">
        <v>1194.0232057890471</v>
      </c>
      <c r="AB7667">
        <v>800</v>
      </c>
      <c r="AC7667">
        <v>95.5555555555556</v>
      </c>
      <c r="AD7667">
        <v>27425</v>
      </c>
      <c r="AE7667">
        <v>2533.2650140374471</v>
      </c>
      <c r="AF7667">
        <v>1333.3333333333301</v>
      </c>
      <c r="AG7667">
        <v>25</v>
      </c>
      <c r="AH7667">
        <v>40000</v>
      </c>
      <c r="AI7667">
        <v>4612.6465361280807</v>
      </c>
      <c r="AJ7667">
        <v>4000</v>
      </c>
      <c r="AK7667">
        <v>200</v>
      </c>
      <c r="AL7667">
        <v>40000</v>
      </c>
      <c r="AM7667">
        <v>3309.4188848836388</v>
      </c>
      <c r="AN7667">
        <v>1500</v>
      </c>
      <c r="AO7667">
        <v>50</v>
      </c>
      <c r="AP7667">
        <v>21000</v>
      </c>
      <c r="AQ7667">
        <v>3533.9049817510158</v>
      </c>
      <c r="AR7667">
        <v>2000</v>
      </c>
      <c r="AS7667">
        <v>125</v>
      </c>
      <c r="AT7667">
        <v>100000</v>
      </c>
      <c r="AU7667">
        <v>2193.3110687309209</v>
      </c>
      <c r="AV7667">
        <v>1200</v>
      </c>
      <c r="AW7667">
        <v>400</v>
      </c>
      <c r="AX7667">
        <v>20000</v>
      </c>
      <c r="AY7667">
        <v>4715.3119391470154</v>
      </c>
      <c r="AZ7667">
        <v>3333.3333333333298</v>
      </c>
      <c r="BA7667">
        <v>240</v>
      </c>
      <c r="BB7667">
        <v>30000</v>
      </c>
      <c r="BC7667">
        <v>4883</v>
      </c>
    </row>
    <row r="7668" spans="1:55">
      <c r="A7668" s="25" t="s">
        <v>192</v>
      </c>
      <c r="B7668" t="s">
        <v>192</v>
      </c>
      <c r="C7668">
        <v>9988.4702521893923</v>
      </c>
      <c r="D7668">
        <v>7500</v>
      </c>
      <c r="E7668">
        <v>400</v>
      </c>
      <c r="F7668">
        <v>250000</v>
      </c>
      <c r="G7668">
        <v>5393.4596867130404</v>
      </c>
      <c r="H7668">
        <v>3333.3333333333298</v>
      </c>
      <c r="I7668">
        <v>28.571428571428601</v>
      </c>
      <c r="J7668">
        <v>150000</v>
      </c>
      <c r="K7668">
        <v>13466.978954036291</v>
      </c>
      <c r="L7668">
        <v>10000</v>
      </c>
      <c r="M7668">
        <v>125</v>
      </c>
      <c r="N7668">
        <v>150000</v>
      </c>
      <c r="O7668">
        <v>2285.6734174494709</v>
      </c>
      <c r="P7668">
        <v>1500</v>
      </c>
      <c r="Q7668">
        <v>100</v>
      </c>
      <c r="R7668">
        <v>15000</v>
      </c>
      <c r="S7668">
        <v>1809.810318466876</v>
      </c>
      <c r="T7668">
        <v>2000</v>
      </c>
      <c r="U7668">
        <v>250</v>
      </c>
      <c r="V7668">
        <v>8000</v>
      </c>
      <c r="W7668">
        <v>3558.5299496743992</v>
      </c>
      <c r="X7668">
        <v>3250</v>
      </c>
      <c r="Y7668">
        <v>175</v>
      </c>
      <c r="Z7668">
        <v>42000</v>
      </c>
      <c r="AA7668">
        <v>1312.700397512875</v>
      </c>
      <c r="AB7668">
        <v>933.33333333333303</v>
      </c>
      <c r="AC7668">
        <v>60</v>
      </c>
      <c r="AD7668">
        <v>27425</v>
      </c>
      <c r="AE7668">
        <v>2162.042680631766</v>
      </c>
      <c r="AF7668">
        <v>1150</v>
      </c>
      <c r="AG7668">
        <v>25</v>
      </c>
      <c r="AH7668">
        <v>40000</v>
      </c>
      <c r="AI7668">
        <v>4405.2595093209165</v>
      </c>
      <c r="AJ7668">
        <v>3000</v>
      </c>
      <c r="AK7668">
        <v>200</v>
      </c>
      <c r="AL7668">
        <v>40000</v>
      </c>
      <c r="AM7668">
        <v>2901.5619753150372</v>
      </c>
      <c r="AN7668">
        <v>1500</v>
      </c>
      <c r="AO7668">
        <v>50</v>
      </c>
      <c r="AP7668">
        <v>21000</v>
      </c>
      <c r="AQ7668">
        <v>3242.954262952047</v>
      </c>
      <c r="AR7668">
        <v>2000</v>
      </c>
      <c r="AS7668">
        <v>125</v>
      </c>
      <c r="AT7668">
        <v>100000</v>
      </c>
      <c r="AU7668">
        <v>2239.955268937395</v>
      </c>
      <c r="AV7668">
        <v>1666.6666666666699</v>
      </c>
      <c r="AW7668">
        <v>250</v>
      </c>
      <c r="AX7668">
        <v>20000</v>
      </c>
      <c r="AY7668">
        <v>4424.163787544383</v>
      </c>
      <c r="AZ7668">
        <v>3000</v>
      </c>
      <c r="BA7668">
        <v>240</v>
      </c>
      <c r="BB7668">
        <v>30000</v>
      </c>
      <c r="BC7668">
        <v>4883</v>
      </c>
    </row>
    <row r="7670" spans="1:55" ht="57.95">
      <c r="A7670" s="25" t="s">
        <v>1996</v>
      </c>
    </row>
    <row r="7671" spans="1:55">
      <c r="A7671" s="25" t="s">
        <v>181</v>
      </c>
      <c r="B7671" t="s">
        <v>182</v>
      </c>
      <c r="C7671" t="s">
        <v>1942</v>
      </c>
      <c r="D7671" t="s">
        <v>1943</v>
      </c>
      <c r="E7671" t="s">
        <v>1944</v>
      </c>
      <c r="F7671" t="s">
        <v>1945</v>
      </c>
      <c r="G7671" t="s">
        <v>1946</v>
      </c>
      <c r="H7671" t="s">
        <v>1947</v>
      </c>
      <c r="I7671" t="s">
        <v>1948</v>
      </c>
      <c r="J7671" t="s">
        <v>1949</v>
      </c>
      <c r="K7671" t="s">
        <v>1950</v>
      </c>
      <c r="L7671" t="s">
        <v>1951</v>
      </c>
      <c r="M7671" t="s">
        <v>1952</v>
      </c>
      <c r="N7671" t="s">
        <v>1953</v>
      </c>
      <c r="O7671" t="s">
        <v>1954</v>
      </c>
      <c r="P7671" t="s">
        <v>1955</v>
      </c>
      <c r="Q7671" t="s">
        <v>1956</v>
      </c>
      <c r="R7671" t="s">
        <v>1957</v>
      </c>
      <c r="S7671" t="s">
        <v>1958</v>
      </c>
      <c r="T7671" t="s">
        <v>1959</v>
      </c>
      <c r="U7671" t="s">
        <v>1960</v>
      </c>
      <c r="V7671" t="s">
        <v>1961</v>
      </c>
      <c r="W7671" t="s">
        <v>1962</v>
      </c>
      <c r="X7671" t="s">
        <v>1963</v>
      </c>
      <c r="Y7671" t="s">
        <v>1964</v>
      </c>
      <c r="Z7671" t="s">
        <v>1965</v>
      </c>
      <c r="AA7671" t="s">
        <v>1966</v>
      </c>
      <c r="AB7671" t="s">
        <v>1967</v>
      </c>
      <c r="AC7671" t="s">
        <v>1968</v>
      </c>
      <c r="AD7671" t="s">
        <v>1969</v>
      </c>
      <c r="AE7671" t="s">
        <v>1970</v>
      </c>
      <c r="AF7671" t="s">
        <v>1971</v>
      </c>
      <c r="AG7671" t="s">
        <v>1972</v>
      </c>
      <c r="AH7671" t="s">
        <v>1973</v>
      </c>
      <c r="AI7671" t="s">
        <v>1974</v>
      </c>
      <c r="AJ7671" t="s">
        <v>1975</v>
      </c>
      <c r="AK7671" t="s">
        <v>1976</v>
      </c>
      <c r="AL7671" t="s">
        <v>1977</v>
      </c>
      <c r="AM7671" t="s">
        <v>1978</v>
      </c>
      <c r="AN7671" t="s">
        <v>1979</v>
      </c>
      <c r="AO7671" t="s">
        <v>1980</v>
      </c>
      <c r="AP7671" t="s">
        <v>1981</v>
      </c>
      <c r="AQ7671" t="s">
        <v>1982</v>
      </c>
      <c r="AR7671" t="s">
        <v>1983</v>
      </c>
      <c r="AS7671" t="s">
        <v>1984</v>
      </c>
      <c r="AT7671" t="s">
        <v>1985</v>
      </c>
      <c r="AU7671" t="s">
        <v>1986</v>
      </c>
      <c r="AV7671" t="s">
        <v>1987</v>
      </c>
      <c r="AW7671" t="s">
        <v>1988</v>
      </c>
      <c r="AX7671" t="s">
        <v>1989</v>
      </c>
      <c r="AY7671" t="s">
        <v>1990</v>
      </c>
      <c r="AZ7671" t="s">
        <v>1991</v>
      </c>
      <c r="BA7671" t="s">
        <v>1992</v>
      </c>
      <c r="BB7671" t="s">
        <v>1993</v>
      </c>
      <c r="BC7671" t="s">
        <v>188</v>
      </c>
    </row>
    <row r="7672" spans="1:55">
      <c r="A7672" s="25" t="s">
        <v>189</v>
      </c>
      <c r="B7672" t="s">
        <v>201</v>
      </c>
      <c r="C7672">
        <v>9901.1570109738859</v>
      </c>
      <c r="D7672">
        <v>8000</v>
      </c>
      <c r="E7672">
        <v>533.33333333333303</v>
      </c>
      <c r="F7672">
        <v>52000</v>
      </c>
      <c r="G7672">
        <v>4248.7780687123468</v>
      </c>
      <c r="H7672">
        <v>3333.3333333333298</v>
      </c>
      <c r="I7672">
        <v>28.571428571428601</v>
      </c>
      <c r="J7672">
        <v>37000</v>
      </c>
      <c r="K7672">
        <v>6552.2493784276676</v>
      </c>
      <c r="L7672">
        <v>5000</v>
      </c>
      <c r="M7672">
        <v>666.66666666666697</v>
      </c>
      <c r="N7672">
        <v>30000</v>
      </c>
      <c r="O7672">
        <v>1547.6154210608991</v>
      </c>
      <c r="P7672">
        <v>800</v>
      </c>
      <c r="Q7672">
        <v>166.666666666667</v>
      </c>
      <c r="R7672">
        <v>5000</v>
      </c>
      <c r="S7672">
        <v>1861.3639686936419</v>
      </c>
      <c r="T7672">
        <v>2000</v>
      </c>
      <c r="U7672">
        <v>333.33333333333297</v>
      </c>
      <c r="V7672">
        <v>7500</v>
      </c>
      <c r="W7672">
        <v>3144.152083257829</v>
      </c>
      <c r="X7672">
        <v>2500</v>
      </c>
      <c r="Y7672">
        <v>450</v>
      </c>
      <c r="Z7672">
        <v>12000</v>
      </c>
      <c r="AA7672">
        <v>1364.914265735179</v>
      </c>
      <c r="AB7672">
        <v>833.33333333333303</v>
      </c>
      <c r="AC7672">
        <v>86</v>
      </c>
      <c r="AD7672">
        <v>22000</v>
      </c>
      <c r="AE7672">
        <v>189.29164137419551</v>
      </c>
      <c r="AF7672">
        <v>187.5</v>
      </c>
      <c r="AG7672">
        <v>93.75</v>
      </c>
      <c r="AH7672">
        <v>2500</v>
      </c>
      <c r="AI7672">
        <v>2796.187107079244</v>
      </c>
      <c r="AJ7672">
        <v>2000</v>
      </c>
      <c r="AK7672">
        <v>333.33333333333297</v>
      </c>
      <c r="AL7672">
        <v>10000</v>
      </c>
      <c r="AM7672">
        <v>3422.143296087092</v>
      </c>
      <c r="AN7672">
        <v>1500</v>
      </c>
      <c r="AO7672">
        <v>150</v>
      </c>
      <c r="AP7672">
        <v>18250</v>
      </c>
      <c r="AQ7672">
        <v>4448.2662512047218</v>
      </c>
      <c r="AR7672">
        <v>3000</v>
      </c>
      <c r="AS7672">
        <v>200</v>
      </c>
      <c r="AT7672">
        <v>19000</v>
      </c>
      <c r="AU7672">
        <v>2718.8205804899089</v>
      </c>
      <c r="AV7672">
        <v>3000</v>
      </c>
      <c r="AW7672">
        <v>500</v>
      </c>
      <c r="AX7672">
        <v>3000</v>
      </c>
      <c r="AY7672">
        <v>8219.9507701343373</v>
      </c>
      <c r="AZ7672">
        <v>15000</v>
      </c>
      <c r="BA7672">
        <v>466.66666666666703</v>
      </c>
      <c r="BB7672">
        <v>16666.666666666701</v>
      </c>
      <c r="BC7672">
        <v>4883</v>
      </c>
    </row>
    <row r="7673" spans="1:55">
      <c r="A7673" s="25" t="s">
        <v>189</v>
      </c>
      <c r="B7673" t="s">
        <v>202</v>
      </c>
      <c r="C7673">
        <v>7183.7953266103486</v>
      </c>
      <c r="D7673">
        <v>6333.3333333333303</v>
      </c>
      <c r="E7673">
        <v>666.66666666666697</v>
      </c>
      <c r="F7673">
        <v>35000</v>
      </c>
      <c r="G7673">
        <v>3145.9369136101968</v>
      </c>
      <c r="H7673">
        <v>3333.3333333333298</v>
      </c>
      <c r="I7673">
        <v>166.666666666667</v>
      </c>
      <c r="J7673">
        <v>5000</v>
      </c>
      <c r="K7673">
        <v>44516.200866140163</v>
      </c>
      <c r="L7673">
        <v>50000</v>
      </c>
      <c r="M7673">
        <v>1428.57142857143</v>
      </c>
      <c r="N7673">
        <v>50000</v>
      </c>
      <c r="O7673">
        <v>5444.1493618940904</v>
      </c>
      <c r="P7673">
        <v>5000</v>
      </c>
      <c r="Q7673">
        <v>5000</v>
      </c>
      <c r="R7673">
        <v>6000</v>
      </c>
      <c r="S7673">
        <v>1855.572523677467</v>
      </c>
      <c r="T7673">
        <v>2000</v>
      </c>
      <c r="U7673">
        <v>250</v>
      </c>
      <c r="V7673">
        <v>3000</v>
      </c>
      <c r="W7673">
        <v>2182.6836242171012</v>
      </c>
      <c r="X7673">
        <v>1666.6666666666699</v>
      </c>
      <c r="Y7673">
        <v>500</v>
      </c>
      <c r="Z7673">
        <v>6000</v>
      </c>
      <c r="AA7673">
        <v>1991.332350972061</v>
      </c>
      <c r="AB7673">
        <v>1000</v>
      </c>
      <c r="AC7673">
        <v>215</v>
      </c>
      <c r="AD7673">
        <v>7500</v>
      </c>
      <c r="AE7673">
        <v>2048.677674153902</v>
      </c>
      <c r="AF7673">
        <v>3000</v>
      </c>
      <c r="AG7673">
        <v>500</v>
      </c>
      <c r="AH7673">
        <v>3000</v>
      </c>
      <c r="AI7673">
        <v>666.66666666666697</v>
      </c>
      <c r="AJ7673">
        <v>666.66666666666697</v>
      </c>
      <c r="AK7673">
        <v>666.66666666666697</v>
      </c>
      <c r="AL7673">
        <v>666.66666666666697</v>
      </c>
      <c r="AM7673">
        <v>2724.4497438461808</v>
      </c>
      <c r="AN7673">
        <v>3600</v>
      </c>
      <c r="AO7673">
        <v>750</v>
      </c>
      <c r="AP7673">
        <v>7500</v>
      </c>
      <c r="AQ7673">
        <v>5400.6946975299315</v>
      </c>
      <c r="AR7673">
        <v>5000</v>
      </c>
      <c r="AS7673">
        <v>1000</v>
      </c>
      <c r="AT7673">
        <v>15000</v>
      </c>
      <c r="AY7673">
        <v>2181.1266727003708</v>
      </c>
      <c r="AZ7673">
        <v>2500</v>
      </c>
      <c r="BA7673">
        <v>1000</v>
      </c>
      <c r="BB7673">
        <v>2500</v>
      </c>
      <c r="BC7673">
        <v>4883</v>
      </c>
    </row>
    <row r="7674" spans="1:55">
      <c r="A7674" s="25" t="s">
        <v>189</v>
      </c>
      <c r="B7674" t="s">
        <v>203</v>
      </c>
      <c r="C7674">
        <v>9425.9040633884524</v>
      </c>
      <c r="D7674">
        <v>7333.3333333333303</v>
      </c>
      <c r="E7674">
        <v>428.57142857142901</v>
      </c>
      <c r="F7674">
        <v>147000</v>
      </c>
      <c r="G7674">
        <v>5148.170891530217</v>
      </c>
      <c r="H7674">
        <v>3250</v>
      </c>
      <c r="I7674">
        <v>75</v>
      </c>
      <c r="J7674">
        <v>150000</v>
      </c>
      <c r="K7674">
        <v>12547.55295358164</v>
      </c>
      <c r="L7674">
        <v>10000</v>
      </c>
      <c r="M7674">
        <v>125</v>
      </c>
      <c r="N7674">
        <v>70000</v>
      </c>
      <c r="O7674">
        <v>2319.439755955792</v>
      </c>
      <c r="P7674">
        <v>1500</v>
      </c>
      <c r="Q7674">
        <v>100</v>
      </c>
      <c r="R7674">
        <v>15000</v>
      </c>
      <c r="S7674">
        <v>1419.1350165502449</v>
      </c>
      <c r="T7674">
        <v>1500</v>
      </c>
      <c r="U7674">
        <v>333.33333333333297</v>
      </c>
      <c r="V7674">
        <v>3000</v>
      </c>
      <c r="W7674">
        <v>3604.56690639826</v>
      </c>
      <c r="X7674">
        <v>3300</v>
      </c>
      <c r="Y7674">
        <v>175</v>
      </c>
      <c r="Z7674">
        <v>42000</v>
      </c>
      <c r="AA7674">
        <v>1333.8581784889229</v>
      </c>
      <c r="AB7674">
        <v>1000</v>
      </c>
      <c r="AC7674">
        <v>60</v>
      </c>
      <c r="AD7674">
        <v>27425</v>
      </c>
      <c r="AE7674">
        <v>2067.8905721898759</v>
      </c>
      <c r="AF7674">
        <v>1000</v>
      </c>
      <c r="AG7674">
        <v>25</v>
      </c>
      <c r="AH7674">
        <v>40000</v>
      </c>
      <c r="AI7674">
        <v>4543.4184128753895</v>
      </c>
      <c r="AJ7674">
        <v>3333.3333333333298</v>
      </c>
      <c r="AK7674">
        <v>500</v>
      </c>
      <c r="AL7674">
        <v>40000</v>
      </c>
      <c r="AM7674">
        <v>2606.683278127904</v>
      </c>
      <c r="AN7674">
        <v>1500</v>
      </c>
      <c r="AO7674">
        <v>50</v>
      </c>
      <c r="AP7674">
        <v>14000</v>
      </c>
      <c r="AQ7674">
        <v>3114.9119921055071</v>
      </c>
      <c r="AR7674">
        <v>2000</v>
      </c>
      <c r="AS7674">
        <v>125</v>
      </c>
      <c r="AT7674">
        <v>30000</v>
      </c>
      <c r="AU7674">
        <v>1872.560071187258</v>
      </c>
      <c r="AV7674">
        <v>1200</v>
      </c>
      <c r="AW7674">
        <v>250</v>
      </c>
      <c r="AX7674">
        <v>20000</v>
      </c>
      <c r="AY7674">
        <v>4192.6250588723533</v>
      </c>
      <c r="AZ7674">
        <v>3333.3333333333298</v>
      </c>
      <c r="BA7674">
        <v>250</v>
      </c>
      <c r="BB7674">
        <v>30000</v>
      </c>
      <c r="BC7674">
        <v>4883</v>
      </c>
    </row>
    <row r="7675" spans="1:55">
      <c r="A7675" s="25" t="s">
        <v>189</v>
      </c>
      <c r="B7675" t="s">
        <v>204</v>
      </c>
      <c r="C7675">
        <v>11699.42675520279</v>
      </c>
      <c r="D7675">
        <v>13333.333333333299</v>
      </c>
      <c r="E7675">
        <v>2400</v>
      </c>
      <c r="F7675">
        <v>50000</v>
      </c>
      <c r="G7675">
        <v>12466.53394305521</v>
      </c>
      <c r="H7675">
        <v>15000</v>
      </c>
      <c r="I7675">
        <v>3000</v>
      </c>
      <c r="J7675">
        <v>15000</v>
      </c>
      <c r="S7675">
        <v>680.21091023197391</v>
      </c>
      <c r="T7675">
        <v>1000</v>
      </c>
      <c r="U7675">
        <v>500</v>
      </c>
      <c r="V7675">
        <v>1000</v>
      </c>
      <c r="W7675">
        <v>3346.057504189142</v>
      </c>
      <c r="X7675">
        <v>3700</v>
      </c>
      <c r="Y7675">
        <v>837.5</v>
      </c>
      <c r="Z7675">
        <v>7000</v>
      </c>
      <c r="AA7675">
        <v>688.6061200207929</v>
      </c>
      <c r="AB7675">
        <v>1000</v>
      </c>
      <c r="AC7675">
        <v>286.66666666666703</v>
      </c>
      <c r="AD7675">
        <v>1523</v>
      </c>
      <c r="AM7675">
        <v>3200</v>
      </c>
      <c r="AN7675">
        <v>6600</v>
      </c>
      <c r="AO7675">
        <v>1500</v>
      </c>
      <c r="AP7675">
        <v>6600</v>
      </c>
      <c r="AQ7675">
        <v>2250</v>
      </c>
      <c r="AR7675">
        <v>1500</v>
      </c>
      <c r="AS7675">
        <v>1500</v>
      </c>
      <c r="AT7675">
        <v>3000</v>
      </c>
      <c r="AY7675">
        <v>4000</v>
      </c>
      <c r="AZ7675">
        <v>4000</v>
      </c>
      <c r="BA7675">
        <v>4000</v>
      </c>
      <c r="BB7675">
        <v>4000</v>
      </c>
      <c r="BC7675">
        <v>4883</v>
      </c>
    </row>
    <row r="7676" spans="1:55">
      <c r="A7676" s="25" t="s">
        <v>189</v>
      </c>
      <c r="B7676" t="s">
        <v>205</v>
      </c>
      <c r="C7676">
        <v>12673.850463081189</v>
      </c>
      <c r="D7676">
        <v>9333.3333333333303</v>
      </c>
      <c r="E7676">
        <v>400</v>
      </c>
      <c r="F7676">
        <v>250000</v>
      </c>
      <c r="G7676">
        <v>7477.3198189074938</v>
      </c>
      <c r="H7676">
        <v>5000</v>
      </c>
      <c r="I7676">
        <v>166.666666666667</v>
      </c>
      <c r="J7676">
        <v>45000</v>
      </c>
      <c r="K7676">
        <v>16427.825512603122</v>
      </c>
      <c r="L7676">
        <v>11250</v>
      </c>
      <c r="M7676">
        <v>500</v>
      </c>
      <c r="N7676">
        <v>150000</v>
      </c>
      <c r="O7676">
        <v>2030.1194349910049</v>
      </c>
      <c r="P7676">
        <v>1500</v>
      </c>
      <c r="Q7676">
        <v>166.666666666667</v>
      </c>
      <c r="R7676">
        <v>15000</v>
      </c>
      <c r="S7676">
        <v>1623.5470383064289</v>
      </c>
      <c r="T7676">
        <v>2000</v>
      </c>
      <c r="U7676">
        <v>333.33333333333297</v>
      </c>
      <c r="V7676">
        <v>8000</v>
      </c>
      <c r="W7676">
        <v>3371.6354307113388</v>
      </c>
      <c r="X7676">
        <v>3000</v>
      </c>
      <c r="Y7676">
        <v>312.5</v>
      </c>
      <c r="Z7676">
        <v>20000</v>
      </c>
      <c r="AA7676">
        <v>1136.345777129826</v>
      </c>
      <c r="AB7676">
        <v>500</v>
      </c>
      <c r="AC7676">
        <v>122.857142857143</v>
      </c>
      <c r="AD7676">
        <v>20000</v>
      </c>
      <c r="AE7676">
        <v>2742.0062799923621</v>
      </c>
      <c r="AF7676">
        <v>3000</v>
      </c>
      <c r="AG7676">
        <v>96.6666666666667</v>
      </c>
      <c r="AH7676">
        <v>11000</v>
      </c>
      <c r="AI7676">
        <v>4387.0316496453688</v>
      </c>
      <c r="AJ7676">
        <v>3333.3333333333298</v>
      </c>
      <c r="AK7676">
        <v>200</v>
      </c>
      <c r="AL7676">
        <v>30000</v>
      </c>
      <c r="AM7676">
        <v>2853.4482213084621</v>
      </c>
      <c r="AN7676">
        <v>1500</v>
      </c>
      <c r="AO7676">
        <v>87.5</v>
      </c>
      <c r="AP7676">
        <v>21000</v>
      </c>
      <c r="AQ7676">
        <v>3226.721261942705</v>
      </c>
      <c r="AR7676">
        <v>1666.6666666666699</v>
      </c>
      <c r="AS7676">
        <v>400</v>
      </c>
      <c r="AT7676">
        <v>100000</v>
      </c>
      <c r="AU7676">
        <v>4842.7216042904111</v>
      </c>
      <c r="AV7676">
        <v>8333.3333333333303</v>
      </c>
      <c r="AW7676">
        <v>2500</v>
      </c>
      <c r="AX7676">
        <v>8333.3333333333303</v>
      </c>
      <c r="AY7676">
        <v>4080.8999870842549</v>
      </c>
      <c r="AZ7676">
        <v>2000</v>
      </c>
      <c r="BA7676">
        <v>240</v>
      </c>
      <c r="BB7676">
        <v>23333.333333333299</v>
      </c>
      <c r="BC7676">
        <v>4883</v>
      </c>
    </row>
    <row r="7677" spans="1:55">
      <c r="A7677" s="25" t="s">
        <v>192</v>
      </c>
      <c r="B7677" t="s">
        <v>192</v>
      </c>
      <c r="C7677">
        <v>9988.4702521893923</v>
      </c>
      <c r="D7677">
        <v>7500</v>
      </c>
      <c r="E7677">
        <v>400</v>
      </c>
      <c r="F7677">
        <v>250000</v>
      </c>
      <c r="G7677">
        <v>5393.4596867130404</v>
      </c>
      <c r="H7677">
        <v>3333.3333333333298</v>
      </c>
      <c r="I7677">
        <v>28.571428571428601</v>
      </c>
      <c r="J7677">
        <v>150000</v>
      </c>
      <c r="K7677">
        <v>13466.978954036291</v>
      </c>
      <c r="L7677">
        <v>10000</v>
      </c>
      <c r="M7677">
        <v>125</v>
      </c>
      <c r="N7677">
        <v>150000</v>
      </c>
      <c r="O7677">
        <v>2285.6734174494709</v>
      </c>
      <c r="P7677">
        <v>1500</v>
      </c>
      <c r="Q7677">
        <v>100</v>
      </c>
      <c r="R7677">
        <v>15000</v>
      </c>
      <c r="S7677">
        <v>1809.810318466876</v>
      </c>
      <c r="T7677">
        <v>2000</v>
      </c>
      <c r="U7677">
        <v>250</v>
      </c>
      <c r="V7677">
        <v>8000</v>
      </c>
      <c r="W7677">
        <v>3558.5299496743992</v>
      </c>
      <c r="X7677">
        <v>3250</v>
      </c>
      <c r="Y7677">
        <v>175</v>
      </c>
      <c r="Z7677">
        <v>42000</v>
      </c>
      <c r="AA7677">
        <v>1312.700397512875</v>
      </c>
      <c r="AB7677">
        <v>933.33333333333303</v>
      </c>
      <c r="AC7677">
        <v>60</v>
      </c>
      <c r="AD7677">
        <v>27425</v>
      </c>
      <c r="AE7677">
        <v>2162.042680631766</v>
      </c>
      <c r="AF7677">
        <v>1150</v>
      </c>
      <c r="AG7677">
        <v>25</v>
      </c>
      <c r="AH7677">
        <v>40000</v>
      </c>
      <c r="AI7677">
        <v>4405.2595093209165</v>
      </c>
      <c r="AJ7677">
        <v>3000</v>
      </c>
      <c r="AK7677">
        <v>200</v>
      </c>
      <c r="AL7677">
        <v>40000</v>
      </c>
      <c r="AM7677">
        <v>2901.5619753150372</v>
      </c>
      <c r="AN7677">
        <v>1500</v>
      </c>
      <c r="AO7677">
        <v>50</v>
      </c>
      <c r="AP7677">
        <v>21000</v>
      </c>
      <c r="AQ7677">
        <v>3242.954262952047</v>
      </c>
      <c r="AR7677">
        <v>2000</v>
      </c>
      <c r="AS7677">
        <v>125</v>
      </c>
      <c r="AT7677">
        <v>100000</v>
      </c>
      <c r="AU7677">
        <v>2239.955268937395</v>
      </c>
      <c r="AV7677">
        <v>1666.6666666666699</v>
      </c>
      <c r="AW7677">
        <v>250</v>
      </c>
      <c r="AX7677">
        <v>20000</v>
      </c>
      <c r="AY7677">
        <v>4424.163787544383</v>
      </c>
      <c r="AZ7677">
        <v>3000</v>
      </c>
      <c r="BA7677">
        <v>240</v>
      </c>
      <c r="BB7677">
        <v>30000</v>
      </c>
      <c r="BC7677">
        <v>4883</v>
      </c>
    </row>
    <row r="7679" spans="1:55" ht="43.5">
      <c r="A7679" s="25" t="s">
        <v>1997</v>
      </c>
    </row>
    <row r="7680" spans="1:55">
      <c r="A7680" s="25" t="s">
        <v>181</v>
      </c>
      <c r="B7680" t="s">
        <v>182</v>
      </c>
      <c r="C7680" t="s">
        <v>1942</v>
      </c>
      <c r="D7680" t="s">
        <v>1943</v>
      </c>
      <c r="E7680" t="s">
        <v>1944</v>
      </c>
      <c r="F7680" t="s">
        <v>1945</v>
      </c>
      <c r="G7680" t="s">
        <v>1946</v>
      </c>
      <c r="H7680" t="s">
        <v>1947</v>
      </c>
      <c r="I7680" t="s">
        <v>1948</v>
      </c>
      <c r="J7680" t="s">
        <v>1949</v>
      </c>
      <c r="K7680" t="s">
        <v>1950</v>
      </c>
      <c r="L7680" t="s">
        <v>1951</v>
      </c>
      <c r="M7680" t="s">
        <v>1952</v>
      </c>
      <c r="N7680" t="s">
        <v>1953</v>
      </c>
      <c r="O7680" t="s">
        <v>1954</v>
      </c>
      <c r="P7680" t="s">
        <v>1955</v>
      </c>
      <c r="Q7680" t="s">
        <v>1956</v>
      </c>
      <c r="R7680" t="s">
        <v>1957</v>
      </c>
      <c r="S7680" t="s">
        <v>1958</v>
      </c>
      <c r="T7680" t="s">
        <v>1959</v>
      </c>
      <c r="U7680" t="s">
        <v>1960</v>
      </c>
      <c r="V7680" t="s">
        <v>1961</v>
      </c>
      <c r="W7680" t="s">
        <v>1962</v>
      </c>
      <c r="X7680" t="s">
        <v>1963</v>
      </c>
      <c r="Y7680" t="s">
        <v>1964</v>
      </c>
      <c r="Z7680" t="s">
        <v>1965</v>
      </c>
      <c r="AA7680" t="s">
        <v>1966</v>
      </c>
      <c r="AB7680" t="s">
        <v>1967</v>
      </c>
      <c r="AC7680" t="s">
        <v>1968</v>
      </c>
      <c r="AD7680" t="s">
        <v>1969</v>
      </c>
      <c r="AE7680" t="s">
        <v>1970</v>
      </c>
      <c r="AF7680" t="s">
        <v>1971</v>
      </c>
      <c r="AG7680" t="s">
        <v>1972</v>
      </c>
      <c r="AH7680" t="s">
        <v>1973</v>
      </c>
      <c r="AI7680" t="s">
        <v>1974</v>
      </c>
      <c r="AJ7680" t="s">
        <v>1975</v>
      </c>
      <c r="AK7680" t="s">
        <v>1976</v>
      </c>
      <c r="AL7680" t="s">
        <v>1977</v>
      </c>
      <c r="AM7680" t="s">
        <v>1978</v>
      </c>
      <c r="AN7680" t="s">
        <v>1979</v>
      </c>
      <c r="AO7680" t="s">
        <v>1980</v>
      </c>
      <c r="AP7680" t="s">
        <v>1981</v>
      </c>
      <c r="AQ7680" t="s">
        <v>1982</v>
      </c>
      <c r="AR7680" t="s">
        <v>1983</v>
      </c>
      <c r="AS7680" t="s">
        <v>1984</v>
      </c>
      <c r="AT7680" t="s">
        <v>1985</v>
      </c>
      <c r="AU7680" t="s">
        <v>1986</v>
      </c>
      <c r="AV7680" t="s">
        <v>1987</v>
      </c>
      <c r="AW7680" t="s">
        <v>1988</v>
      </c>
      <c r="AX7680" t="s">
        <v>1989</v>
      </c>
      <c r="AY7680" t="s">
        <v>1990</v>
      </c>
      <c r="AZ7680" t="s">
        <v>1991</v>
      </c>
      <c r="BA7680" t="s">
        <v>1992</v>
      </c>
      <c r="BB7680" t="s">
        <v>1993</v>
      </c>
      <c r="BC7680" t="s">
        <v>188</v>
      </c>
    </row>
    <row r="7681" spans="1:55">
      <c r="A7681" s="25" t="s">
        <v>189</v>
      </c>
      <c r="B7681" t="s">
        <v>207</v>
      </c>
      <c r="C7681">
        <v>9618.8987370282084</v>
      </c>
      <c r="D7681">
        <v>7500</v>
      </c>
      <c r="E7681">
        <v>400</v>
      </c>
      <c r="F7681">
        <v>83500</v>
      </c>
      <c r="G7681">
        <v>4672.88840950951</v>
      </c>
      <c r="H7681">
        <v>3333.3333333333298</v>
      </c>
      <c r="I7681">
        <v>66.6666666666667</v>
      </c>
      <c r="J7681">
        <v>150000</v>
      </c>
      <c r="K7681">
        <v>13393.11777420792</v>
      </c>
      <c r="L7681">
        <v>10000</v>
      </c>
      <c r="M7681">
        <v>500</v>
      </c>
      <c r="N7681">
        <v>150000</v>
      </c>
      <c r="O7681">
        <v>2439.9231299844751</v>
      </c>
      <c r="P7681">
        <v>1500</v>
      </c>
      <c r="Q7681">
        <v>150</v>
      </c>
      <c r="R7681">
        <v>15000</v>
      </c>
      <c r="S7681">
        <v>1763.705885889251</v>
      </c>
      <c r="T7681">
        <v>2000</v>
      </c>
      <c r="U7681">
        <v>500</v>
      </c>
      <c r="V7681">
        <v>7500</v>
      </c>
      <c r="W7681">
        <v>3292.280863779336</v>
      </c>
      <c r="X7681">
        <v>3000</v>
      </c>
      <c r="Y7681">
        <v>575</v>
      </c>
      <c r="Z7681">
        <v>32500</v>
      </c>
      <c r="AA7681">
        <v>1199.7452227880001</v>
      </c>
      <c r="AB7681">
        <v>900</v>
      </c>
      <c r="AC7681">
        <v>125</v>
      </c>
      <c r="AD7681">
        <v>27425</v>
      </c>
      <c r="AE7681">
        <v>2019.007475778662</v>
      </c>
      <c r="AF7681">
        <v>1250</v>
      </c>
      <c r="AG7681">
        <v>25</v>
      </c>
      <c r="AH7681">
        <v>17500</v>
      </c>
      <c r="AI7681">
        <v>3963.6992198831558</v>
      </c>
      <c r="AJ7681">
        <v>2500</v>
      </c>
      <c r="AK7681">
        <v>333.33333333333297</v>
      </c>
      <c r="AL7681">
        <v>40000</v>
      </c>
      <c r="AM7681">
        <v>2623.5403848475748</v>
      </c>
      <c r="AN7681">
        <v>1500</v>
      </c>
      <c r="AO7681">
        <v>87.5</v>
      </c>
      <c r="AP7681">
        <v>21000</v>
      </c>
      <c r="AQ7681">
        <v>2825.7067646770861</v>
      </c>
      <c r="AR7681">
        <v>1666.6666666666699</v>
      </c>
      <c r="AS7681">
        <v>125</v>
      </c>
      <c r="AT7681">
        <v>25000</v>
      </c>
      <c r="AU7681">
        <v>1782.282214929239</v>
      </c>
      <c r="AV7681">
        <v>1666.6666666666699</v>
      </c>
      <c r="AW7681">
        <v>250</v>
      </c>
      <c r="AX7681">
        <v>10800</v>
      </c>
      <c r="AY7681">
        <v>3954.9882138735302</v>
      </c>
      <c r="AZ7681">
        <v>1566.6666666666699</v>
      </c>
      <c r="BA7681">
        <v>250</v>
      </c>
      <c r="BB7681">
        <v>23333.333333333299</v>
      </c>
      <c r="BC7681">
        <v>4883</v>
      </c>
    </row>
    <row r="7682" spans="1:55">
      <c r="A7682" s="25" t="s">
        <v>189</v>
      </c>
      <c r="B7682" t="s">
        <v>208</v>
      </c>
      <c r="C7682">
        <v>17196.766614625241</v>
      </c>
      <c r="D7682">
        <v>13000</v>
      </c>
      <c r="E7682">
        <v>1600</v>
      </c>
      <c r="F7682">
        <v>250000</v>
      </c>
      <c r="G7682">
        <v>10118.424570519441</v>
      </c>
      <c r="H7682">
        <v>6000</v>
      </c>
      <c r="I7682">
        <v>200</v>
      </c>
      <c r="J7682">
        <v>45000</v>
      </c>
      <c r="K7682">
        <v>24582.372298822051</v>
      </c>
      <c r="L7682">
        <v>20000</v>
      </c>
      <c r="M7682">
        <v>1728</v>
      </c>
      <c r="N7682">
        <v>70000</v>
      </c>
      <c r="O7682">
        <v>2168.7784968553719</v>
      </c>
      <c r="P7682">
        <v>2000</v>
      </c>
      <c r="Q7682">
        <v>100</v>
      </c>
      <c r="R7682">
        <v>9000</v>
      </c>
      <c r="S7682">
        <v>2090.416702287519</v>
      </c>
      <c r="T7682">
        <v>2000</v>
      </c>
      <c r="U7682">
        <v>2000</v>
      </c>
      <c r="V7682">
        <v>8000</v>
      </c>
      <c r="W7682">
        <v>4748.4278559671802</v>
      </c>
      <c r="X7682">
        <v>4000</v>
      </c>
      <c r="Y7682">
        <v>2300</v>
      </c>
      <c r="Z7682">
        <v>42000</v>
      </c>
      <c r="AA7682">
        <v>2712.3406303342558</v>
      </c>
      <c r="AB7682">
        <v>2361</v>
      </c>
      <c r="AC7682">
        <v>245</v>
      </c>
      <c r="AD7682">
        <v>22000</v>
      </c>
      <c r="AE7682">
        <v>3615.3368656738412</v>
      </c>
      <c r="AF7682">
        <v>1500</v>
      </c>
      <c r="AG7682">
        <v>333</v>
      </c>
      <c r="AH7682">
        <v>40000</v>
      </c>
      <c r="AI7682">
        <v>5813.5585787923756</v>
      </c>
      <c r="AJ7682">
        <v>5000</v>
      </c>
      <c r="AK7682">
        <v>1000</v>
      </c>
      <c r="AL7682">
        <v>25000</v>
      </c>
      <c r="AM7682">
        <v>3152.0819553935248</v>
      </c>
      <c r="AN7682">
        <v>1500</v>
      </c>
      <c r="AO7682">
        <v>400</v>
      </c>
      <c r="AP7682">
        <v>14000</v>
      </c>
      <c r="AQ7682">
        <v>3820.967052435476</v>
      </c>
      <c r="AR7682">
        <v>3000</v>
      </c>
      <c r="AS7682">
        <v>200</v>
      </c>
      <c r="AT7682">
        <v>100000</v>
      </c>
      <c r="AU7682">
        <v>3502.5315794878252</v>
      </c>
      <c r="AV7682">
        <v>20000</v>
      </c>
      <c r="AW7682">
        <v>1200</v>
      </c>
      <c r="AX7682">
        <v>20000</v>
      </c>
      <c r="AY7682">
        <v>5915.2127165905431</v>
      </c>
      <c r="AZ7682">
        <v>4000</v>
      </c>
      <c r="BA7682">
        <v>1500</v>
      </c>
      <c r="BB7682">
        <v>30000</v>
      </c>
      <c r="BC7682">
        <v>4883</v>
      </c>
    </row>
    <row r="7683" spans="1:55">
      <c r="A7683" s="25" t="s">
        <v>189</v>
      </c>
      <c r="B7683" t="s">
        <v>209</v>
      </c>
      <c r="C7683">
        <v>4718.3507389284259</v>
      </c>
      <c r="D7683">
        <v>4000</v>
      </c>
      <c r="E7683">
        <v>400</v>
      </c>
      <c r="F7683">
        <v>40000</v>
      </c>
      <c r="G7683">
        <v>2544.1297939316969</v>
      </c>
      <c r="H7683">
        <v>2000</v>
      </c>
      <c r="I7683">
        <v>28.571428571428601</v>
      </c>
      <c r="J7683">
        <v>10000</v>
      </c>
      <c r="K7683">
        <v>6249.9526965205041</v>
      </c>
      <c r="L7683">
        <v>4000</v>
      </c>
      <c r="M7683">
        <v>125</v>
      </c>
      <c r="N7683">
        <v>40000</v>
      </c>
      <c r="O7683">
        <v>1357.5972614934619</v>
      </c>
      <c r="P7683">
        <v>1000</v>
      </c>
      <c r="Q7683">
        <v>133.333333333333</v>
      </c>
      <c r="R7683">
        <v>10000</v>
      </c>
      <c r="S7683">
        <v>1765.344531252724</v>
      </c>
      <c r="T7683">
        <v>2000</v>
      </c>
      <c r="U7683">
        <v>250</v>
      </c>
      <c r="V7683">
        <v>3000</v>
      </c>
      <c r="W7683">
        <v>1212.209270928952</v>
      </c>
      <c r="X7683">
        <v>1000</v>
      </c>
      <c r="Y7683">
        <v>175</v>
      </c>
      <c r="Z7683">
        <v>7000</v>
      </c>
      <c r="AA7683">
        <v>750.24778259353843</v>
      </c>
      <c r="AB7683">
        <v>493.33333333333297</v>
      </c>
      <c r="AC7683">
        <v>60</v>
      </c>
      <c r="AD7683">
        <v>7000</v>
      </c>
      <c r="AE7683">
        <v>744.59884671248494</v>
      </c>
      <c r="AF7683">
        <v>432</v>
      </c>
      <c r="AG7683">
        <v>100</v>
      </c>
      <c r="AH7683">
        <v>11000</v>
      </c>
      <c r="AI7683">
        <v>1969.698422209485</v>
      </c>
      <c r="AJ7683">
        <v>1600</v>
      </c>
      <c r="AK7683">
        <v>200</v>
      </c>
      <c r="AL7683">
        <v>6000</v>
      </c>
      <c r="AM7683">
        <v>4328.1037173458944</v>
      </c>
      <c r="AN7683">
        <v>3333.3333333333298</v>
      </c>
      <c r="AO7683">
        <v>50</v>
      </c>
      <c r="AP7683">
        <v>10800</v>
      </c>
      <c r="AQ7683">
        <v>1168.5011876694141</v>
      </c>
      <c r="AR7683">
        <v>833.33333333333303</v>
      </c>
      <c r="AS7683">
        <v>200</v>
      </c>
      <c r="AT7683">
        <v>10000</v>
      </c>
      <c r="AU7683">
        <v>749.90121081372752</v>
      </c>
      <c r="AV7683">
        <v>400</v>
      </c>
      <c r="AW7683">
        <v>400</v>
      </c>
      <c r="AX7683">
        <v>1320</v>
      </c>
      <c r="AY7683">
        <v>1796.099226333316</v>
      </c>
      <c r="AZ7683">
        <v>1666.6666666666699</v>
      </c>
      <c r="BA7683">
        <v>240</v>
      </c>
      <c r="BB7683">
        <v>5400</v>
      </c>
      <c r="BC7683">
        <v>4883</v>
      </c>
    </row>
    <row r="7684" spans="1:55">
      <c r="A7684" s="25" t="s">
        <v>192</v>
      </c>
      <c r="B7684" t="s">
        <v>192</v>
      </c>
      <c r="C7684">
        <v>9988.4702521893923</v>
      </c>
      <c r="D7684">
        <v>7500</v>
      </c>
      <c r="E7684">
        <v>400</v>
      </c>
      <c r="F7684">
        <v>250000</v>
      </c>
      <c r="G7684">
        <v>5393.4596867130404</v>
      </c>
      <c r="H7684">
        <v>3333.3333333333298</v>
      </c>
      <c r="I7684">
        <v>28.571428571428601</v>
      </c>
      <c r="J7684">
        <v>150000</v>
      </c>
      <c r="K7684">
        <v>13466.978954036291</v>
      </c>
      <c r="L7684">
        <v>10000</v>
      </c>
      <c r="M7684">
        <v>125</v>
      </c>
      <c r="N7684">
        <v>150000</v>
      </c>
      <c r="O7684">
        <v>2285.6734174494709</v>
      </c>
      <c r="P7684">
        <v>1500</v>
      </c>
      <c r="Q7684">
        <v>100</v>
      </c>
      <c r="R7684">
        <v>15000</v>
      </c>
      <c r="S7684">
        <v>1809.810318466876</v>
      </c>
      <c r="T7684">
        <v>2000</v>
      </c>
      <c r="U7684">
        <v>250</v>
      </c>
      <c r="V7684">
        <v>8000</v>
      </c>
      <c r="W7684">
        <v>3558.5299496743992</v>
      </c>
      <c r="X7684">
        <v>3250</v>
      </c>
      <c r="Y7684">
        <v>175</v>
      </c>
      <c r="Z7684">
        <v>42000</v>
      </c>
      <c r="AA7684">
        <v>1312.700397512875</v>
      </c>
      <c r="AB7684">
        <v>933.33333333333303</v>
      </c>
      <c r="AC7684">
        <v>60</v>
      </c>
      <c r="AD7684">
        <v>27425</v>
      </c>
      <c r="AE7684">
        <v>2162.042680631766</v>
      </c>
      <c r="AF7684">
        <v>1150</v>
      </c>
      <c r="AG7684">
        <v>25</v>
      </c>
      <c r="AH7684">
        <v>40000</v>
      </c>
      <c r="AI7684">
        <v>4405.2595093209165</v>
      </c>
      <c r="AJ7684">
        <v>3000</v>
      </c>
      <c r="AK7684">
        <v>200</v>
      </c>
      <c r="AL7684">
        <v>40000</v>
      </c>
      <c r="AM7684">
        <v>2901.5619753150372</v>
      </c>
      <c r="AN7684">
        <v>1500</v>
      </c>
      <c r="AO7684">
        <v>50</v>
      </c>
      <c r="AP7684">
        <v>21000</v>
      </c>
      <c r="AQ7684">
        <v>3242.954262952047</v>
      </c>
      <c r="AR7684">
        <v>2000</v>
      </c>
      <c r="AS7684">
        <v>125</v>
      </c>
      <c r="AT7684">
        <v>100000</v>
      </c>
      <c r="AU7684">
        <v>2239.955268937395</v>
      </c>
      <c r="AV7684">
        <v>1666.6666666666699</v>
      </c>
      <c r="AW7684">
        <v>250</v>
      </c>
      <c r="AX7684">
        <v>20000</v>
      </c>
      <c r="AY7684">
        <v>4424.163787544383</v>
      </c>
      <c r="AZ7684">
        <v>3000</v>
      </c>
      <c r="BA7684">
        <v>240</v>
      </c>
      <c r="BB7684">
        <v>30000</v>
      </c>
      <c r="BC7684">
        <v>4883</v>
      </c>
    </row>
    <row r="7686" spans="1:55" ht="57.95">
      <c r="A7686" s="25" t="s">
        <v>1998</v>
      </c>
    </row>
    <row r="7687" spans="1:55">
      <c r="A7687" s="25" t="s">
        <v>181</v>
      </c>
      <c r="B7687" t="s">
        <v>182</v>
      </c>
      <c r="C7687" t="s">
        <v>1942</v>
      </c>
      <c r="D7687" t="s">
        <v>1943</v>
      </c>
      <c r="E7687" t="s">
        <v>1944</v>
      </c>
      <c r="F7687" t="s">
        <v>1945</v>
      </c>
      <c r="G7687" t="s">
        <v>1946</v>
      </c>
      <c r="H7687" t="s">
        <v>1947</v>
      </c>
      <c r="I7687" t="s">
        <v>1948</v>
      </c>
      <c r="J7687" t="s">
        <v>1949</v>
      </c>
      <c r="K7687" t="s">
        <v>1950</v>
      </c>
      <c r="L7687" t="s">
        <v>1951</v>
      </c>
      <c r="M7687" t="s">
        <v>1952</v>
      </c>
      <c r="N7687" t="s">
        <v>1953</v>
      </c>
      <c r="O7687" t="s">
        <v>1954</v>
      </c>
      <c r="P7687" t="s">
        <v>1955</v>
      </c>
      <c r="Q7687" t="s">
        <v>1956</v>
      </c>
      <c r="R7687" t="s">
        <v>1957</v>
      </c>
      <c r="S7687" t="s">
        <v>1958</v>
      </c>
      <c r="T7687" t="s">
        <v>1959</v>
      </c>
      <c r="U7687" t="s">
        <v>1960</v>
      </c>
      <c r="V7687" t="s">
        <v>1961</v>
      </c>
      <c r="W7687" t="s">
        <v>1962</v>
      </c>
      <c r="X7687" t="s">
        <v>1963</v>
      </c>
      <c r="Y7687" t="s">
        <v>1964</v>
      </c>
      <c r="Z7687" t="s">
        <v>1965</v>
      </c>
      <c r="AA7687" t="s">
        <v>1966</v>
      </c>
      <c r="AB7687" t="s">
        <v>1967</v>
      </c>
      <c r="AC7687" t="s">
        <v>1968</v>
      </c>
      <c r="AD7687" t="s">
        <v>1969</v>
      </c>
      <c r="AE7687" t="s">
        <v>1970</v>
      </c>
      <c r="AF7687" t="s">
        <v>1971</v>
      </c>
      <c r="AG7687" t="s">
        <v>1972</v>
      </c>
      <c r="AH7687" t="s">
        <v>1973</v>
      </c>
      <c r="AI7687" t="s">
        <v>1974</v>
      </c>
      <c r="AJ7687" t="s">
        <v>1975</v>
      </c>
      <c r="AK7687" t="s">
        <v>1976</v>
      </c>
      <c r="AL7687" t="s">
        <v>1977</v>
      </c>
      <c r="AM7687" t="s">
        <v>1978</v>
      </c>
      <c r="AN7687" t="s">
        <v>1979</v>
      </c>
      <c r="AO7687" t="s">
        <v>1980</v>
      </c>
      <c r="AP7687" t="s">
        <v>1981</v>
      </c>
      <c r="AQ7687" t="s">
        <v>1982</v>
      </c>
      <c r="AR7687" t="s">
        <v>1983</v>
      </c>
      <c r="AS7687" t="s">
        <v>1984</v>
      </c>
      <c r="AT7687" t="s">
        <v>1985</v>
      </c>
      <c r="AU7687" t="s">
        <v>1986</v>
      </c>
      <c r="AV7687" t="s">
        <v>1987</v>
      </c>
      <c r="AW7687" t="s">
        <v>1988</v>
      </c>
      <c r="AX7687" t="s">
        <v>1989</v>
      </c>
      <c r="AY7687" t="s">
        <v>1990</v>
      </c>
      <c r="AZ7687" t="s">
        <v>1991</v>
      </c>
      <c r="BA7687" t="s">
        <v>1992</v>
      </c>
      <c r="BB7687" t="s">
        <v>1993</v>
      </c>
      <c r="BC7687" t="s">
        <v>188</v>
      </c>
    </row>
    <row r="7688" spans="1:55">
      <c r="A7688" s="25" t="s">
        <v>189</v>
      </c>
      <c r="B7688" t="s">
        <v>211</v>
      </c>
      <c r="C7688">
        <v>9319.6902086374557</v>
      </c>
      <c r="D7688">
        <v>7333.3333333333303</v>
      </c>
      <c r="E7688">
        <v>428.57142857142901</v>
      </c>
      <c r="F7688">
        <v>83500</v>
      </c>
      <c r="G7688">
        <v>3806.234933737368</v>
      </c>
      <c r="H7688">
        <v>3000</v>
      </c>
      <c r="I7688">
        <v>28.571428571428601</v>
      </c>
      <c r="J7688">
        <v>30000</v>
      </c>
      <c r="K7688">
        <v>12131.80512073309</v>
      </c>
      <c r="L7688">
        <v>10000</v>
      </c>
      <c r="M7688">
        <v>500</v>
      </c>
      <c r="N7688">
        <v>66666.666666666701</v>
      </c>
      <c r="O7688">
        <v>2341.7497645450312</v>
      </c>
      <c r="P7688">
        <v>1500</v>
      </c>
      <c r="Q7688">
        <v>133.333333333333</v>
      </c>
      <c r="R7688">
        <v>15000</v>
      </c>
      <c r="S7688">
        <v>1629.002358361736</v>
      </c>
      <c r="T7688">
        <v>1750</v>
      </c>
      <c r="U7688">
        <v>250</v>
      </c>
      <c r="V7688">
        <v>3000</v>
      </c>
      <c r="W7688">
        <v>3188.8870110426678</v>
      </c>
      <c r="X7688">
        <v>2857.1428571428601</v>
      </c>
      <c r="Y7688">
        <v>175</v>
      </c>
      <c r="Z7688">
        <v>25000</v>
      </c>
      <c r="AA7688">
        <v>971.29951649956763</v>
      </c>
      <c r="AB7688">
        <v>700</v>
      </c>
      <c r="AC7688">
        <v>60</v>
      </c>
      <c r="AD7688">
        <v>11500</v>
      </c>
      <c r="AE7688">
        <v>1838.3958529883939</v>
      </c>
      <c r="AF7688">
        <v>1000</v>
      </c>
      <c r="AG7688">
        <v>25</v>
      </c>
      <c r="AH7688">
        <v>11000</v>
      </c>
      <c r="AI7688">
        <v>3527.3246521945862</v>
      </c>
      <c r="AJ7688">
        <v>2000</v>
      </c>
      <c r="AK7688">
        <v>200</v>
      </c>
      <c r="AL7688">
        <v>40000</v>
      </c>
      <c r="AM7688">
        <v>2819.5576075426802</v>
      </c>
      <c r="AN7688">
        <v>1125</v>
      </c>
      <c r="AO7688">
        <v>87.5</v>
      </c>
      <c r="AP7688">
        <v>20000</v>
      </c>
      <c r="AQ7688">
        <v>1923.376875867142</v>
      </c>
      <c r="AR7688">
        <v>1000</v>
      </c>
      <c r="AS7688">
        <v>125</v>
      </c>
      <c r="AT7688">
        <v>25000</v>
      </c>
      <c r="AU7688">
        <v>1346.4318523312211</v>
      </c>
      <c r="AV7688">
        <v>1666.6666666666699</v>
      </c>
      <c r="AW7688">
        <v>400</v>
      </c>
      <c r="AX7688">
        <v>8333.3333333333303</v>
      </c>
      <c r="AY7688">
        <v>5344.3958700150833</v>
      </c>
      <c r="AZ7688">
        <v>2500</v>
      </c>
      <c r="BA7688">
        <v>250</v>
      </c>
      <c r="BB7688">
        <v>23333.333333333299</v>
      </c>
      <c r="BC7688">
        <v>4883</v>
      </c>
    </row>
    <row r="7689" spans="1:55">
      <c r="A7689" s="25" t="s">
        <v>189</v>
      </c>
      <c r="B7689" t="s">
        <v>212</v>
      </c>
      <c r="C7689">
        <v>8981.5847143196352</v>
      </c>
      <c r="D7689">
        <v>7142.8571428571404</v>
      </c>
      <c r="E7689">
        <v>400</v>
      </c>
      <c r="F7689">
        <v>70000</v>
      </c>
      <c r="G7689">
        <v>4279.1443406375502</v>
      </c>
      <c r="H7689">
        <v>3250</v>
      </c>
      <c r="I7689">
        <v>133.333333333333</v>
      </c>
      <c r="J7689">
        <v>28000</v>
      </c>
      <c r="K7689">
        <v>13028.239371227601</v>
      </c>
      <c r="L7689">
        <v>10000</v>
      </c>
      <c r="M7689">
        <v>357.142857142857</v>
      </c>
      <c r="N7689">
        <v>150000</v>
      </c>
      <c r="O7689">
        <v>1887.687610866031</v>
      </c>
      <c r="P7689">
        <v>1500</v>
      </c>
      <c r="Q7689">
        <v>200</v>
      </c>
      <c r="R7689">
        <v>15000</v>
      </c>
      <c r="S7689">
        <v>2032.761817934479</v>
      </c>
      <c r="T7689">
        <v>2000</v>
      </c>
      <c r="U7689">
        <v>333.33333333333297</v>
      </c>
      <c r="V7689">
        <v>7500</v>
      </c>
      <c r="W7689">
        <v>3826.830316452737</v>
      </c>
      <c r="X7689">
        <v>3700</v>
      </c>
      <c r="Y7689">
        <v>380</v>
      </c>
      <c r="Z7689">
        <v>19500</v>
      </c>
      <c r="AA7689">
        <v>1653.6683921011629</v>
      </c>
      <c r="AB7689">
        <v>1300</v>
      </c>
      <c r="AC7689">
        <v>113.333333333333</v>
      </c>
      <c r="AD7689">
        <v>27425</v>
      </c>
      <c r="AE7689">
        <v>2476.344389028839</v>
      </c>
      <c r="AF7689">
        <v>1200</v>
      </c>
      <c r="AG7689">
        <v>93.75</v>
      </c>
      <c r="AH7689">
        <v>30000</v>
      </c>
      <c r="AI7689">
        <v>5340.6124369044874</v>
      </c>
      <c r="AJ7689">
        <v>5000</v>
      </c>
      <c r="AK7689">
        <v>333.33333333333297</v>
      </c>
      <c r="AL7689">
        <v>30000</v>
      </c>
      <c r="AM7689">
        <v>2583.7480021758238</v>
      </c>
      <c r="AN7689">
        <v>1500</v>
      </c>
      <c r="AO7689">
        <v>50</v>
      </c>
      <c r="AP7689">
        <v>21000</v>
      </c>
      <c r="AQ7689">
        <v>3756.5350190095342</v>
      </c>
      <c r="AR7689">
        <v>3000</v>
      </c>
      <c r="AS7689">
        <v>200</v>
      </c>
      <c r="AT7689">
        <v>100000</v>
      </c>
      <c r="AU7689">
        <v>1587.733748556891</v>
      </c>
      <c r="AV7689">
        <v>1250</v>
      </c>
      <c r="AW7689">
        <v>500</v>
      </c>
      <c r="AX7689">
        <v>10800</v>
      </c>
      <c r="AY7689">
        <v>2289.9167303923082</v>
      </c>
      <c r="AZ7689">
        <v>1566.6666666666699</v>
      </c>
      <c r="BA7689">
        <v>250</v>
      </c>
      <c r="BB7689">
        <v>23333.333333333299</v>
      </c>
      <c r="BC7689">
        <v>4883</v>
      </c>
    </row>
    <row r="7690" spans="1:55">
      <c r="A7690" s="25" t="s">
        <v>189</v>
      </c>
      <c r="B7690" t="s">
        <v>213</v>
      </c>
      <c r="C7690">
        <v>12715.349519696771</v>
      </c>
      <c r="D7690">
        <v>9000</v>
      </c>
      <c r="E7690">
        <v>400</v>
      </c>
      <c r="F7690">
        <v>250000</v>
      </c>
      <c r="G7690">
        <v>9412.4826155041646</v>
      </c>
      <c r="H7690">
        <v>5000</v>
      </c>
      <c r="I7690">
        <v>200</v>
      </c>
      <c r="J7690">
        <v>150000</v>
      </c>
      <c r="K7690">
        <v>16495.1113496365</v>
      </c>
      <c r="L7690">
        <v>10000</v>
      </c>
      <c r="M7690">
        <v>125</v>
      </c>
      <c r="N7690">
        <v>60000</v>
      </c>
      <c r="O7690">
        <v>2669.4815657848881</v>
      </c>
      <c r="P7690">
        <v>2000</v>
      </c>
      <c r="Q7690">
        <v>100</v>
      </c>
      <c r="R7690">
        <v>15000</v>
      </c>
      <c r="S7690">
        <v>1682.2098574583681</v>
      </c>
      <c r="T7690">
        <v>1666.6666666666699</v>
      </c>
      <c r="U7690">
        <v>500</v>
      </c>
      <c r="V7690">
        <v>8000</v>
      </c>
      <c r="W7690">
        <v>3833.611726177965</v>
      </c>
      <c r="X7690">
        <v>3200</v>
      </c>
      <c r="Y7690">
        <v>450</v>
      </c>
      <c r="Z7690">
        <v>42000</v>
      </c>
      <c r="AA7690">
        <v>1612.4202044642741</v>
      </c>
      <c r="AB7690">
        <v>1000</v>
      </c>
      <c r="AC7690">
        <v>114.28571428571399</v>
      </c>
      <c r="AD7690">
        <v>22000</v>
      </c>
      <c r="AE7690">
        <v>2697.245226490958</v>
      </c>
      <c r="AF7690">
        <v>1250</v>
      </c>
      <c r="AG7690">
        <v>125</v>
      </c>
      <c r="AH7690">
        <v>40000</v>
      </c>
      <c r="AI7690">
        <v>3929.1163824709479</v>
      </c>
      <c r="AJ7690">
        <v>2500</v>
      </c>
      <c r="AK7690">
        <v>666.66666666666697</v>
      </c>
      <c r="AL7690">
        <v>25000</v>
      </c>
      <c r="AM7690">
        <v>3841.740833403856</v>
      </c>
      <c r="AN7690">
        <v>3600</v>
      </c>
      <c r="AO7690">
        <v>262.5</v>
      </c>
      <c r="AP7690">
        <v>10800</v>
      </c>
      <c r="AQ7690">
        <v>3640.8931125078452</v>
      </c>
      <c r="AR7690">
        <v>2000</v>
      </c>
      <c r="AS7690">
        <v>125</v>
      </c>
      <c r="AT7690">
        <v>30000</v>
      </c>
      <c r="AU7690">
        <v>3386.434712614925</v>
      </c>
      <c r="AV7690">
        <v>3000</v>
      </c>
      <c r="AW7690">
        <v>250</v>
      </c>
      <c r="AX7690">
        <v>20000</v>
      </c>
      <c r="AY7690">
        <v>5757.2911375792037</v>
      </c>
      <c r="AZ7690">
        <v>5000</v>
      </c>
      <c r="BA7690">
        <v>240</v>
      </c>
      <c r="BB7690">
        <v>30000</v>
      </c>
      <c r="BC7690">
        <v>4883</v>
      </c>
    </row>
    <row r="7691" spans="1:55">
      <c r="A7691" s="25" t="s">
        <v>192</v>
      </c>
      <c r="B7691" t="s">
        <v>192</v>
      </c>
      <c r="C7691">
        <v>9988.4702521893923</v>
      </c>
      <c r="D7691">
        <v>7500</v>
      </c>
      <c r="E7691">
        <v>400</v>
      </c>
      <c r="F7691">
        <v>250000</v>
      </c>
      <c r="G7691">
        <v>5393.4596867130404</v>
      </c>
      <c r="H7691">
        <v>3333.3333333333298</v>
      </c>
      <c r="I7691">
        <v>28.571428571428601</v>
      </c>
      <c r="J7691">
        <v>150000</v>
      </c>
      <c r="K7691">
        <v>13466.978954036291</v>
      </c>
      <c r="L7691">
        <v>10000</v>
      </c>
      <c r="M7691">
        <v>125</v>
      </c>
      <c r="N7691">
        <v>150000</v>
      </c>
      <c r="O7691">
        <v>2285.6734174494709</v>
      </c>
      <c r="P7691">
        <v>1500</v>
      </c>
      <c r="Q7691">
        <v>100</v>
      </c>
      <c r="R7691">
        <v>15000</v>
      </c>
      <c r="S7691">
        <v>1809.810318466876</v>
      </c>
      <c r="T7691">
        <v>2000</v>
      </c>
      <c r="U7691">
        <v>250</v>
      </c>
      <c r="V7691">
        <v>8000</v>
      </c>
      <c r="W7691">
        <v>3558.5299496743992</v>
      </c>
      <c r="X7691">
        <v>3250</v>
      </c>
      <c r="Y7691">
        <v>175</v>
      </c>
      <c r="Z7691">
        <v>42000</v>
      </c>
      <c r="AA7691">
        <v>1312.700397512875</v>
      </c>
      <c r="AB7691">
        <v>933.33333333333303</v>
      </c>
      <c r="AC7691">
        <v>60</v>
      </c>
      <c r="AD7691">
        <v>27425</v>
      </c>
      <c r="AE7691">
        <v>2162.042680631766</v>
      </c>
      <c r="AF7691">
        <v>1150</v>
      </c>
      <c r="AG7691">
        <v>25</v>
      </c>
      <c r="AH7691">
        <v>40000</v>
      </c>
      <c r="AI7691">
        <v>4405.2595093209165</v>
      </c>
      <c r="AJ7691">
        <v>3000</v>
      </c>
      <c r="AK7691">
        <v>200</v>
      </c>
      <c r="AL7691">
        <v>40000</v>
      </c>
      <c r="AM7691">
        <v>2901.5619753150372</v>
      </c>
      <c r="AN7691">
        <v>1500</v>
      </c>
      <c r="AO7691">
        <v>50</v>
      </c>
      <c r="AP7691">
        <v>21000</v>
      </c>
      <c r="AQ7691">
        <v>3242.954262952047</v>
      </c>
      <c r="AR7691">
        <v>2000</v>
      </c>
      <c r="AS7691">
        <v>125</v>
      </c>
      <c r="AT7691">
        <v>100000</v>
      </c>
      <c r="AU7691">
        <v>2239.955268937395</v>
      </c>
      <c r="AV7691">
        <v>1666.6666666666699</v>
      </c>
      <c r="AW7691">
        <v>250</v>
      </c>
      <c r="AX7691">
        <v>20000</v>
      </c>
      <c r="AY7691">
        <v>4424.163787544383</v>
      </c>
      <c r="AZ7691">
        <v>3000</v>
      </c>
      <c r="BA7691">
        <v>240</v>
      </c>
      <c r="BB7691">
        <v>30000</v>
      </c>
      <c r="BC7691">
        <v>4883</v>
      </c>
    </row>
  </sheetData>
  <conditionalFormatting sqref="A1:A1048576">
    <cfRule type="containsText" dxfId="0" priority="1" operator="containsText" text="admin of">
      <formula>NOT(ISERROR(SEARCH("admin of",A1)))</formula>
    </cfRule>
  </conditionalFormatting>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260C3E-6BB0-4856-A58C-21FE5F8ED72C}"/>
</file>

<file path=customXml/itemProps2.xml><?xml version="1.0" encoding="utf-8"?>
<ds:datastoreItem xmlns:ds="http://schemas.openxmlformats.org/officeDocument/2006/customXml" ds:itemID="{00D0FB83-AD2C-4C79-9B47-425309F7CF76}"/>
</file>

<file path=customXml/itemProps3.xml><?xml version="1.0" encoding="utf-8"?>
<ds:datastoreItem xmlns:ds="http://schemas.openxmlformats.org/officeDocument/2006/customXml" ds:itemID="{C1CAFCC2-5635-4B66-BBCF-10F9A375EA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Oleksandr SOFRONOV</cp:lastModifiedBy>
  <cp:revision/>
  <dcterms:created xsi:type="dcterms:W3CDTF">2024-08-30T08:57:54Z</dcterms:created>
  <dcterms:modified xsi:type="dcterms:W3CDTF">2024-09-02T13:47:12Z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